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RPSDbS\"/>
    </mc:Choice>
  </mc:AlternateContent>
  <xr:revisionPtr revIDLastSave="0" documentId="8_{CE8259F9-4F07-4155-8A2B-0021D13BAFA3}" xr6:coauthVersionLast="47" xr6:coauthVersionMax="47" xr10:uidLastSave="{00000000-0000-0000-0000-000000000000}"/>
  <bookViews>
    <workbookView xWindow="12195" yWindow="225" windowWidth="16605" windowHeight="17055" firstSheet="5" activeTab="6"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7" l="1"/>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2" i="7"/>
  <c r="B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 i="7"/>
  <c r="A10" i="7"/>
  <c r="A18" i="7"/>
  <c r="A42" i="7"/>
  <c r="A50" i="7"/>
  <c r="A53" i="7"/>
  <c r="A54" i="7"/>
  <c r="A55" i="7"/>
  <c r="A56" i="7"/>
  <c r="A57" i="7"/>
  <c r="A58" i="7"/>
  <c r="A59" i="7"/>
  <c r="A60" i="7"/>
  <c r="A61" i="7"/>
  <c r="G53" i="2"/>
  <c r="A52" i="7" s="1"/>
  <c r="G4" i="2"/>
  <c r="A3" i="7" s="1"/>
  <c r="G6" i="2"/>
  <c r="A5" i="7" s="1"/>
  <c r="G13" i="2"/>
  <c r="A12" i="7" s="1"/>
  <c r="G15" i="2"/>
  <c r="A14" i="7" s="1"/>
  <c r="G18" i="2"/>
  <c r="A17" i="7" s="1"/>
  <c r="G19" i="2"/>
  <c r="G20" i="2"/>
  <c r="A19" i="7" s="1"/>
  <c r="G21" i="2"/>
  <c r="A20" i="7" s="1"/>
  <c r="G27" i="2"/>
  <c r="A26" i="7" s="1"/>
  <c r="G29" i="2"/>
  <c r="A28" i="7" s="1"/>
  <c r="G30" i="2"/>
  <c r="A29" i="7" s="1"/>
  <c r="G37" i="2"/>
  <c r="A36" i="7" s="1"/>
  <c r="G39" i="2"/>
  <c r="A38" i="7" s="1"/>
  <c r="G43" i="2"/>
  <c r="G44" i="2"/>
  <c r="A43" i="7" s="1"/>
  <c r="G45" i="2"/>
  <c r="A44" i="7" s="1"/>
  <c r="G47" i="2"/>
  <c r="A46" i="7" s="1"/>
  <c r="G51" i="2"/>
  <c r="G3" i="2"/>
  <c r="A2" i="7" s="1"/>
  <c r="AH26" i="2"/>
  <c r="AI26" i="2" s="1"/>
  <c r="AJ26" i="2" s="1"/>
  <c r="AK26" i="2" s="1"/>
  <c r="AL26" i="2" s="1"/>
  <c r="AM26" i="2" s="1"/>
  <c r="AN26" i="2" s="1"/>
  <c r="AO26" i="2" s="1"/>
  <c r="AP26" i="2" s="1"/>
  <c r="AQ26" i="2" s="1"/>
  <c r="AR26" i="2" s="1"/>
  <c r="AC26" i="2"/>
  <c r="X26" i="2"/>
  <c r="D3" i="4"/>
  <c r="J26" i="2"/>
  <c r="AD10" i="2"/>
  <c r="AE10" i="2" s="1"/>
  <c r="AF10" i="2" s="1"/>
  <c r="AG10" i="2" s="1"/>
  <c r="AI16" i="2"/>
  <c r="AJ16" i="2" s="1"/>
  <c r="AK16" i="2" s="1"/>
  <c r="AL16" i="2" s="1"/>
  <c r="AM16" i="2" s="1"/>
  <c r="AN16" i="2" s="1"/>
  <c r="AO16" i="2" s="1"/>
  <c r="AP16" i="2" s="1"/>
  <c r="AQ16" i="2" s="1"/>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B66" i="4"/>
  <c r="B65" i="4"/>
  <c r="AH49" i="2" s="1"/>
  <c r="B62" i="4"/>
  <c r="B61" i="4"/>
  <c r="B57" i="4"/>
  <c r="B56" i="4"/>
  <c r="K38" i="2" s="1"/>
  <c r="B53" i="4"/>
  <c r="B52" i="4"/>
  <c r="B51" i="4"/>
  <c r="B47" i="4"/>
  <c r="B46" i="4"/>
  <c r="X31" i="2" s="1"/>
  <c r="B42" i="4"/>
  <c r="H28" i="2" s="1"/>
  <c r="B41" i="4"/>
  <c r="B29" i="4"/>
  <c r="B31" i="4" s="1"/>
  <c r="B35" i="4" s="1"/>
  <c r="B26" i="4"/>
  <c r="B25" i="4"/>
  <c r="AR8" i="2" s="1"/>
  <c r="B24" i="4"/>
  <c r="B23" i="4"/>
  <c r="B22" i="4"/>
  <c r="H8" i="2" s="1"/>
  <c r="B18" i="4"/>
  <c r="B17" i="4"/>
  <c r="B10" i="4"/>
  <c r="B9" i="4"/>
  <c r="C14" i="4" s="1"/>
  <c r="B8" i="4"/>
  <c r="G13" i="4" s="1"/>
  <c r="B4" i="4"/>
  <c r="B2" i="4"/>
  <c r="H53" i="3"/>
  <c r="G53" i="3"/>
  <c r="F53" i="3"/>
  <c r="D53" i="3"/>
  <c r="C53" i="3"/>
  <c r="B53" i="3"/>
  <c r="E53" i="3" s="1"/>
  <c r="H52" i="3"/>
  <c r="G52" i="3"/>
  <c r="F52" i="3"/>
  <c r="D52" i="3"/>
  <c r="C52" i="3"/>
  <c r="B52" i="3"/>
  <c r="E52" i="3" s="1"/>
  <c r="H51" i="3"/>
  <c r="G51" i="3"/>
  <c r="F51" i="3"/>
  <c r="D51" i="3"/>
  <c r="C51" i="3"/>
  <c r="B51" i="3"/>
  <c r="E51" i="3" s="1"/>
  <c r="H50" i="3"/>
  <c r="G50" i="3"/>
  <c r="F50" i="3"/>
  <c r="D50" i="3"/>
  <c r="C50" i="3"/>
  <c r="B50" i="3"/>
  <c r="E50" i="3" s="1"/>
  <c r="H49" i="3"/>
  <c r="G49" i="3"/>
  <c r="F49" i="3"/>
  <c r="D49" i="3"/>
  <c r="C49" i="3"/>
  <c r="B49" i="3"/>
  <c r="E49" i="3" s="1"/>
  <c r="H48" i="3"/>
  <c r="G48" i="3"/>
  <c r="F48" i="3"/>
  <c r="D48" i="3"/>
  <c r="C48" i="3"/>
  <c r="B48" i="3"/>
  <c r="E48" i="3" s="1"/>
  <c r="H47" i="3"/>
  <c r="G47" i="3"/>
  <c r="F47" i="3"/>
  <c r="D47" i="3"/>
  <c r="C47" i="3"/>
  <c r="B47" i="3"/>
  <c r="E47" i="3" s="1"/>
  <c r="H46" i="3"/>
  <c r="G46" i="3"/>
  <c r="F46" i="3"/>
  <c r="D46" i="3"/>
  <c r="C46" i="3"/>
  <c r="B46" i="3"/>
  <c r="E46" i="3" s="1"/>
  <c r="H45" i="3"/>
  <c r="G45" i="3"/>
  <c r="F45" i="3"/>
  <c r="D45" i="3"/>
  <c r="C45" i="3"/>
  <c r="B45" i="3"/>
  <c r="E45" i="3" s="1"/>
  <c r="H44" i="3"/>
  <c r="G44" i="3"/>
  <c r="F44" i="3"/>
  <c r="D44" i="3"/>
  <c r="C44" i="3"/>
  <c r="B44" i="3"/>
  <c r="E44" i="3" s="1"/>
  <c r="H43" i="3"/>
  <c r="G43" i="3"/>
  <c r="F43" i="3"/>
  <c r="D43" i="3"/>
  <c r="C43" i="3"/>
  <c r="B43" i="3"/>
  <c r="E43" i="3" s="1"/>
  <c r="H42" i="3"/>
  <c r="G42" i="3"/>
  <c r="F42" i="3"/>
  <c r="D42" i="3"/>
  <c r="C42" i="3"/>
  <c r="B42" i="3"/>
  <c r="E42" i="3" s="1"/>
  <c r="H41" i="3"/>
  <c r="G41" i="3"/>
  <c r="F41" i="3"/>
  <c r="D41" i="3"/>
  <c r="C41" i="3"/>
  <c r="B41" i="3"/>
  <c r="E41" i="3" s="1"/>
  <c r="H40" i="3"/>
  <c r="G40" i="3"/>
  <c r="F40" i="3"/>
  <c r="D40" i="3"/>
  <c r="C40" i="3"/>
  <c r="B40" i="3"/>
  <c r="E40" i="3" s="1"/>
  <c r="H39" i="3"/>
  <c r="G39" i="3"/>
  <c r="F39" i="3"/>
  <c r="D39" i="3"/>
  <c r="C39" i="3"/>
  <c r="B39" i="3"/>
  <c r="E39" i="3" s="1"/>
  <c r="H38" i="3"/>
  <c r="G38" i="3"/>
  <c r="F38" i="3"/>
  <c r="D38" i="3"/>
  <c r="C38" i="3"/>
  <c r="B38" i="3"/>
  <c r="E38" i="3" s="1"/>
  <c r="H37" i="3"/>
  <c r="G37" i="3"/>
  <c r="F37" i="3"/>
  <c r="D37" i="3"/>
  <c r="C37" i="3"/>
  <c r="B37" i="3"/>
  <c r="E37" i="3" s="1"/>
  <c r="H36" i="3"/>
  <c r="G36" i="3"/>
  <c r="F36" i="3"/>
  <c r="D36" i="3"/>
  <c r="C36" i="3"/>
  <c r="B36" i="3"/>
  <c r="E36" i="3" s="1"/>
  <c r="H35" i="3"/>
  <c r="G35" i="3"/>
  <c r="F35" i="3"/>
  <c r="D35" i="3"/>
  <c r="C35" i="3"/>
  <c r="B35" i="3"/>
  <c r="E35" i="3" s="1"/>
  <c r="H34" i="3"/>
  <c r="G34" i="3"/>
  <c r="F34" i="3"/>
  <c r="D34" i="3"/>
  <c r="C34" i="3"/>
  <c r="B34" i="3"/>
  <c r="E34" i="3" s="1"/>
  <c r="H33" i="3"/>
  <c r="G33" i="3"/>
  <c r="F33" i="3"/>
  <c r="D33" i="3"/>
  <c r="C33" i="3"/>
  <c r="B33" i="3"/>
  <c r="E33" i="3" s="1"/>
  <c r="H32" i="3"/>
  <c r="G32" i="3"/>
  <c r="F32" i="3"/>
  <c r="D32" i="3"/>
  <c r="C32" i="3"/>
  <c r="B32" i="3"/>
  <c r="E32" i="3" s="1"/>
  <c r="H31" i="3"/>
  <c r="G31" i="3"/>
  <c r="F31" i="3"/>
  <c r="D31" i="3"/>
  <c r="C31" i="3"/>
  <c r="B31" i="3"/>
  <c r="E31" i="3" s="1"/>
  <c r="H30" i="3"/>
  <c r="G30" i="3"/>
  <c r="F30" i="3"/>
  <c r="D30" i="3"/>
  <c r="C30" i="3"/>
  <c r="B30" i="3"/>
  <c r="E30" i="3" s="1"/>
  <c r="H29" i="3"/>
  <c r="G29" i="3"/>
  <c r="F29" i="3"/>
  <c r="D29" i="3"/>
  <c r="C29" i="3"/>
  <c r="B29" i="3"/>
  <c r="E29" i="3" s="1"/>
  <c r="H28" i="3"/>
  <c r="G28" i="3"/>
  <c r="F28" i="3"/>
  <c r="D28" i="3"/>
  <c r="C28" i="3"/>
  <c r="B28" i="3"/>
  <c r="E28" i="3" s="1"/>
  <c r="H27" i="3"/>
  <c r="G27" i="3"/>
  <c r="D27" i="3"/>
  <c r="C27" i="3"/>
  <c r="F27" i="3" s="1"/>
  <c r="B27" i="3"/>
  <c r="E27" i="3" s="1"/>
  <c r="H26" i="3"/>
  <c r="G26" i="3"/>
  <c r="D26" i="3"/>
  <c r="C26" i="3"/>
  <c r="F26" i="3" s="1"/>
  <c r="B26" i="3"/>
  <c r="E26" i="3" s="1"/>
  <c r="H25" i="3"/>
  <c r="G25" i="3"/>
  <c r="D25" i="3"/>
  <c r="C25" i="3"/>
  <c r="F25" i="3" s="1"/>
  <c r="B25" i="3"/>
  <c r="E25" i="3" s="1"/>
  <c r="H24" i="3"/>
  <c r="G24" i="3"/>
  <c r="D24" i="3"/>
  <c r="C24" i="3"/>
  <c r="F24" i="3" s="1"/>
  <c r="B24" i="3"/>
  <c r="E24" i="3" s="1"/>
  <c r="H23" i="3"/>
  <c r="G23" i="3"/>
  <c r="D23" i="3"/>
  <c r="C23" i="3"/>
  <c r="F23" i="3" s="1"/>
  <c r="B23" i="3"/>
  <c r="E23" i="3" s="1"/>
  <c r="H22" i="3"/>
  <c r="G22" i="3"/>
  <c r="D22" i="3"/>
  <c r="C22" i="3"/>
  <c r="F22" i="3" s="1"/>
  <c r="B22" i="3"/>
  <c r="E22" i="3" s="1"/>
  <c r="H21" i="3"/>
  <c r="G21" i="3"/>
  <c r="D21" i="3"/>
  <c r="C21" i="3"/>
  <c r="F21" i="3" s="1"/>
  <c r="B21" i="3"/>
  <c r="E21" i="3" s="1"/>
  <c r="H20" i="3"/>
  <c r="G20" i="3"/>
  <c r="D20" i="3"/>
  <c r="C20" i="3"/>
  <c r="F20" i="3" s="1"/>
  <c r="B20" i="3"/>
  <c r="E20" i="3" s="1"/>
  <c r="H19" i="3"/>
  <c r="G19" i="3"/>
  <c r="D19" i="3"/>
  <c r="C19" i="3"/>
  <c r="F19" i="3" s="1"/>
  <c r="B19" i="3"/>
  <c r="E19" i="3" s="1"/>
  <c r="H18" i="3"/>
  <c r="G18" i="3"/>
  <c r="D18" i="3"/>
  <c r="C18" i="3"/>
  <c r="F18" i="3" s="1"/>
  <c r="B18" i="3"/>
  <c r="E18" i="3" s="1"/>
  <c r="H17" i="3"/>
  <c r="G17" i="3"/>
  <c r="D17" i="3"/>
  <c r="C17" i="3"/>
  <c r="F17" i="3" s="1"/>
  <c r="B17" i="3"/>
  <c r="E17" i="3"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H11" i="3"/>
  <c r="G11" i="3"/>
  <c r="D11" i="3"/>
  <c r="C11" i="3"/>
  <c r="F11" i="3" s="1"/>
  <c r="B11" i="3"/>
  <c r="E11" i="3" s="1"/>
  <c r="H10" i="3"/>
  <c r="G10" i="3"/>
  <c r="D10" i="3"/>
  <c r="C10" i="3"/>
  <c r="F10" i="3" s="1"/>
  <c r="B10" i="3"/>
  <c r="E10" i="3" s="1"/>
  <c r="H9" i="3"/>
  <c r="G9" i="3"/>
  <c r="D9" i="3"/>
  <c r="C9" i="3"/>
  <c r="F9" i="3" s="1"/>
  <c r="B9" i="3"/>
  <c r="E9" i="3" s="1"/>
  <c r="H8" i="3"/>
  <c r="G8" i="3"/>
  <c r="D8" i="3"/>
  <c r="C8" i="3"/>
  <c r="F8" i="3" s="1"/>
  <c r="B8" i="3"/>
  <c r="E8" i="3" s="1"/>
  <c r="H7" i="3"/>
  <c r="G7" i="3"/>
  <c r="D7" i="3"/>
  <c r="C7" i="3"/>
  <c r="F7" i="3" s="1"/>
  <c r="B7" i="3"/>
  <c r="E7" i="3" s="1"/>
  <c r="H6" i="3"/>
  <c r="G6" i="3"/>
  <c r="D6" i="3"/>
  <c r="C6" i="3"/>
  <c r="F6" i="3" s="1"/>
  <c r="B6" i="3"/>
  <c r="E6" i="3" s="1"/>
  <c r="H5" i="3"/>
  <c r="G5" i="3"/>
  <c r="D5" i="3"/>
  <c r="C5" i="3"/>
  <c r="F5" i="3" s="1"/>
  <c r="B5" i="3"/>
  <c r="E5" i="3" s="1"/>
  <c r="H4" i="3"/>
  <c r="G4" i="3"/>
  <c r="D4" i="3"/>
  <c r="C4" i="3"/>
  <c r="F4" i="3" s="1"/>
  <c r="B4" i="3"/>
  <c r="E4" i="3" s="1"/>
  <c r="H3" i="3"/>
  <c r="G3" i="3"/>
  <c r="D3" i="3"/>
  <c r="C3" i="3"/>
  <c r="F3" i="3" s="1"/>
  <c r="B3" i="3"/>
  <c r="E3" i="3" s="1"/>
  <c r="F53"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F52" i="2"/>
  <c r="F51" i="2"/>
  <c r="F50" i="2"/>
  <c r="AR49" i="2"/>
  <c r="S49" i="2"/>
  <c r="F49" i="2"/>
  <c r="AR48" i="2"/>
  <c r="AQ48" i="2"/>
  <c r="AP48" i="2"/>
  <c r="AO48" i="2"/>
  <c r="AN48" i="2"/>
  <c r="AM48" i="2"/>
  <c r="AL48" i="2"/>
  <c r="AK48" i="2"/>
  <c r="AJ48" i="2"/>
  <c r="AI48" i="2"/>
  <c r="AH48" i="2"/>
  <c r="AG48" i="2"/>
  <c r="AF48" i="2"/>
  <c r="AE48" i="2"/>
  <c r="AD48" i="2"/>
  <c r="AC48" i="2"/>
  <c r="AB48" i="2"/>
  <c r="AA48" i="2"/>
  <c r="Y48" i="2"/>
  <c r="X48" i="2"/>
  <c r="W48" i="2"/>
  <c r="V48" i="2"/>
  <c r="U48" i="2"/>
  <c r="T48" i="2"/>
  <c r="S48" i="2"/>
  <c r="R48" i="2"/>
  <c r="Q48" i="2"/>
  <c r="P48" i="2"/>
  <c r="O48" i="2"/>
  <c r="N48" i="2"/>
  <c r="M48" i="2"/>
  <c r="L48" i="2"/>
  <c r="F48" i="2"/>
  <c r="F47" i="2"/>
  <c r="AQ46" i="2"/>
  <c r="AJ46" i="2"/>
  <c r="AB46" i="2"/>
  <c r="S46" i="2"/>
  <c r="AR46" i="2" s="1"/>
  <c r="I46" i="2"/>
  <c r="F46" i="2"/>
  <c r="F45" i="2"/>
  <c r="F44" i="2"/>
  <c r="F43" i="2"/>
  <c r="AR42" i="2"/>
  <c r="AQ42" i="2"/>
  <c r="AP42" i="2"/>
  <c r="AO42" i="2"/>
  <c r="AN42" i="2"/>
  <c r="AM42" i="2"/>
  <c r="AL42" i="2"/>
  <c r="AK42" i="2"/>
  <c r="AJ42" i="2"/>
  <c r="AI42" i="2"/>
  <c r="AH42" i="2"/>
  <c r="AG42" i="2"/>
  <c r="AF42" i="2"/>
  <c r="AE42" i="2"/>
  <c r="AD42" i="2"/>
  <c r="I42" i="2"/>
  <c r="J42" i="2" s="1"/>
  <c r="K42" i="2" s="1"/>
  <c r="L42" i="2" s="1"/>
  <c r="M42" i="2" s="1"/>
  <c r="N42" i="2" s="1"/>
  <c r="O42" i="2" s="1"/>
  <c r="F42"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N41" i="2"/>
  <c r="M41" i="2"/>
  <c r="L41" i="2"/>
  <c r="K41" i="2"/>
  <c r="J41" i="2"/>
  <c r="I41" i="2"/>
  <c r="H41" i="2"/>
  <c r="F41" i="2"/>
  <c r="F40" i="2"/>
  <c r="F39" i="2"/>
  <c r="F38" i="2"/>
  <c r="F37" i="2"/>
  <c r="F36" i="2"/>
  <c r="AI35" i="2"/>
  <c r="AJ35" i="2" s="1"/>
  <c r="AG35" i="2"/>
  <c r="AF35" i="2"/>
  <c r="AE35" i="2"/>
  <c r="AD35" i="2"/>
  <c r="AC35" i="2"/>
  <c r="AB35" i="2"/>
  <c r="AA35" i="2"/>
  <c r="Z35" i="2"/>
  <c r="Y35" i="2"/>
  <c r="W35" i="2"/>
  <c r="V35" i="2"/>
  <c r="U35" i="2"/>
  <c r="T35" i="2"/>
  <c r="S35" i="2"/>
  <c r="R35" i="2"/>
  <c r="Q35" i="2"/>
  <c r="P35" i="2"/>
  <c r="O35" i="2"/>
  <c r="N35" i="2"/>
  <c r="M35" i="2"/>
  <c r="L35" i="2"/>
  <c r="K35" i="2"/>
  <c r="J35" i="2"/>
  <c r="F35" i="2"/>
  <c r="F34" i="2"/>
  <c r="Y33" i="2"/>
  <c r="Z33" i="2" s="1"/>
  <c r="AA33" i="2" s="1"/>
  <c r="T33" i="2"/>
  <c r="P33" i="2"/>
  <c r="Q33" i="2" s="1"/>
  <c r="F33" i="2"/>
  <c r="S32" i="2"/>
  <c r="AO32" i="2" s="1"/>
  <c r="R32" i="2"/>
  <c r="Q32" i="2"/>
  <c r="P32" i="2"/>
  <c r="O32" i="2"/>
  <c r="N32" i="2"/>
  <c r="M32" i="2"/>
  <c r="L32" i="2"/>
  <c r="K32" i="2"/>
  <c r="J32" i="2"/>
  <c r="I32" i="2"/>
  <c r="H32" i="2"/>
  <c r="F32" i="2"/>
  <c r="F31" i="2"/>
  <c r="F30" i="2"/>
  <c r="F29" i="2"/>
  <c r="P28" i="2"/>
  <c r="AM28" i="2" s="1"/>
  <c r="F28" i="2"/>
  <c r="F27" i="2"/>
  <c r="F26" i="2"/>
  <c r="P25" i="2"/>
  <c r="K25" i="2"/>
  <c r="J25" i="2"/>
  <c r="F25" i="2"/>
  <c r="Y24" i="2"/>
  <c r="Z24" i="2" s="1"/>
  <c r="F24" i="2"/>
  <c r="Y23" i="2"/>
  <c r="Z23" i="2" s="1"/>
  <c r="AA23" i="2" s="1"/>
  <c r="O23" i="2"/>
  <c r="P23" i="2" s="1"/>
  <c r="L23" i="2"/>
  <c r="K23" i="2"/>
  <c r="J23" i="2"/>
  <c r="I23" i="2"/>
  <c r="H23" i="2"/>
  <c r="F23" i="2"/>
  <c r="Y22" i="2"/>
  <c r="L22" i="2"/>
  <c r="M22" i="2" s="1"/>
  <c r="N22" i="2" s="1"/>
  <c r="O22" i="2" s="1"/>
  <c r="F22" i="2"/>
  <c r="F21" i="2"/>
  <c r="F20" i="2"/>
  <c r="F19" i="2"/>
  <c r="F18" i="2"/>
  <c r="AR17" i="2"/>
  <c r="AQ17" i="2"/>
  <c r="AP17" i="2"/>
  <c r="AO17" i="2"/>
  <c r="AN17" i="2"/>
  <c r="AM17" i="2"/>
  <c r="AL17" i="2"/>
  <c r="AK17" i="2"/>
  <c r="AJ17" i="2"/>
  <c r="AI17" i="2"/>
  <c r="AH17" i="2"/>
  <c r="AG17" i="2"/>
  <c r="AF17" i="2"/>
  <c r="AE17" i="2"/>
  <c r="AD17" i="2"/>
  <c r="AC17" i="2"/>
  <c r="AB17" i="2"/>
  <c r="AA17" i="2"/>
  <c r="Z17" i="2"/>
  <c r="Y17" i="2"/>
  <c r="X17" i="2"/>
  <c r="W17" i="2"/>
  <c r="V17" i="2"/>
  <c r="U17" i="2"/>
  <c r="T17" i="2"/>
  <c r="R17" i="2"/>
  <c r="Q17" i="2"/>
  <c r="P17" i="2"/>
  <c r="O17" i="2"/>
  <c r="N17" i="2"/>
  <c r="L17" i="2"/>
  <c r="K17" i="2"/>
  <c r="J17" i="2"/>
  <c r="I17" i="2"/>
  <c r="F17" i="2"/>
  <c r="AG16" i="2"/>
  <c r="AF16" i="2"/>
  <c r="AE16" i="2"/>
  <c r="AD16" i="2"/>
  <c r="AC16" i="2"/>
  <c r="AB16" i="2"/>
  <c r="AA16" i="2"/>
  <c r="Z16" i="2"/>
  <c r="Y16" i="2"/>
  <c r="F16" i="2"/>
  <c r="F15" i="2"/>
  <c r="AR14" i="2"/>
  <c r="AQ14" i="2"/>
  <c r="AP14" i="2"/>
  <c r="AO14" i="2"/>
  <c r="AN14" i="2"/>
  <c r="AL14" i="2"/>
  <c r="AK14" i="2"/>
  <c r="AJ14" i="2"/>
  <c r="AI14" i="2"/>
  <c r="AG14" i="2"/>
  <c r="AF14" i="2"/>
  <c r="AE14" i="2"/>
  <c r="AD14" i="2"/>
  <c r="AC14" i="2"/>
  <c r="AB14" i="2"/>
  <c r="AA14" i="2"/>
  <c r="Z14" i="2"/>
  <c r="Y14" i="2"/>
  <c r="W14" i="2"/>
  <c r="V14" i="2"/>
  <c r="U14" i="2"/>
  <c r="T14" i="2"/>
  <c r="S14" i="2"/>
  <c r="R14" i="2"/>
  <c r="Q14" i="2"/>
  <c r="P14" i="2"/>
  <c r="O14" i="2"/>
  <c r="M14" i="2"/>
  <c r="L14" i="2"/>
  <c r="K14" i="2"/>
  <c r="J14" i="2"/>
  <c r="H14" i="2"/>
  <c r="F14" i="2"/>
  <c r="F13" i="2"/>
  <c r="H12" i="2"/>
  <c r="I12" i="2" s="1"/>
  <c r="J12" i="2" s="1"/>
  <c r="K12" i="2" s="1"/>
  <c r="L12" i="2" s="1"/>
  <c r="M12" i="2" s="1"/>
  <c r="N12" i="2" s="1"/>
  <c r="O12" i="2" s="1"/>
  <c r="F12" i="2"/>
  <c r="AR11" i="2"/>
  <c r="AQ11" i="2"/>
  <c r="AP11" i="2"/>
  <c r="AO11" i="2"/>
  <c r="AN11" i="2"/>
  <c r="AM11" i="2"/>
  <c r="AL11" i="2"/>
  <c r="AK11" i="2"/>
  <c r="AJ11" i="2"/>
  <c r="AI11" i="2"/>
  <c r="AH11" i="2"/>
  <c r="AG11" i="2"/>
  <c r="AF11" i="2"/>
  <c r="AE11" i="2"/>
  <c r="AD11" i="2"/>
  <c r="AC11" i="2"/>
  <c r="AB11" i="2"/>
  <c r="AA11" i="2"/>
  <c r="F11" i="2"/>
  <c r="AB10" i="2"/>
  <c r="AA10" i="2"/>
  <c r="Z10" i="2"/>
  <c r="Y10" i="2"/>
  <c r="W10" i="2"/>
  <c r="V10" i="2"/>
  <c r="U10" i="2"/>
  <c r="T10" i="2"/>
  <c r="F10" i="2"/>
  <c r="AR9" i="2"/>
  <c r="AQ9" i="2"/>
  <c r="AP9" i="2"/>
  <c r="AO9" i="2"/>
  <c r="AN9" i="2"/>
  <c r="AM9" i="2"/>
  <c r="AL9" i="2"/>
  <c r="AK9" i="2"/>
  <c r="AJ9" i="2"/>
  <c r="AI9" i="2"/>
  <c r="AH9" i="2"/>
  <c r="AG9" i="2"/>
  <c r="AF9" i="2"/>
  <c r="AE9" i="2"/>
  <c r="AD9" i="2"/>
  <c r="AC9" i="2"/>
  <c r="AB9" i="2"/>
  <c r="AA9" i="2"/>
  <c r="Z9" i="2"/>
  <c r="Y9" i="2"/>
  <c r="T9" i="2"/>
  <c r="U9" i="2" s="1"/>
  <c r="V9" i="2" s="1"/>
  <c r="F9" i="2"/>
  <c r="F8" i="2"/>
  <c r="H7" i="2"/>
  <c r="F7" i="2"/>
  <c r="F6" i="2"/>
  <c r="AR5" i="2"/>
  <c r="AQ5" i="2"/>
  <c r="AP5" i="2"/>
  <c r="AO5" i="2"/>
  <c r="AN5" i="2"/>
  <c r="AM5" i="2"/>
  <c r="AL5" i="2"/>
  <c r="AK5" i="2"/>
  <c r="AJ5" i="2"/>
  <c r="AI5" i="2"/>
  <c r="AH5" i="2"/>
  <c r="AG5" i="2"/>
  <c r="AF5" i="2"/>
  <c r="AE5" i="2"/>
  <c r="AD5" i="2"/>
  <c r="AC5" i="2"/>
  <c r="AB5" i="2"/>
  <c r="AA5" i="2"/>
  <c r="Z5" i="2"/>
  <c r="Y5" i="2"/>
  <c r="X5" i="2"/>
  <c r="W5" i="2"/>
  <c r="V5" i="2"/>
  <c r="U5" i="2"/>
  <c r="T5" i="2"/>
  <c r="F5" i="2"/>
  <c r="F4" i="2"/>
  <c r="F3" i="2"/>
  <c r="B2" i="1"/>
  <c r="I4" i="3" l="1"/>
  <c r="I12" i="3"/>
  <c r="I20" i="3"/>
  <c r="G11" i="2"/>
  <c r="G16" i="2"/>
  <c r="A15" i="7" s="1"/>
  <c r="G17" i="2"/>
  <c r="A16" i="7" s="1"/>
  <c r="AE32" i="2"/>
  <c r="AF32" i="2"/>
  <c r="Y26" i="2"/>
  <c r="Z26" i="2" s="1"/>
  <c r="AA26" i="2" s="1"/>
  <c r="AB26" i="2" s="1"/>
  <c r="AG32" i="2"/>
  <c r="AA32" i="2"/>
  <c r="G5" i="2"/>
  <c r="A4" i="7" s="1"/>
  <c r="G14" i="2"/>
  <c r="A13" i="7" s="1"/>
  <c r="AM32" i="2"/>
  <c r="G48" i="2"/>
  <c r="A47" i="7" s="1"/>
  <c r="G52" i="2"/>
  <c r="A51" i="7" s="1"/>
  <c r="G41" i="2"/>
  <c r="A40" i="7" s="1"/>
  <c r="W32" i="2"/>
  <c r="Y32" i="2"/>
  <c r="I28" i="3"/>
  <c r="I32" i="3"/>
  <c r="I36" i="3"/>
  <c r="I40" i="3"/>
  <c r="I44" i="3"/>
  <c r="I48" i="3"/>
  <c r="I52" i="3"/>
  <c r="I9" i="3"/>
  <c r="I17" i="3"/>
  <c r="I6" i="3"/>
  <c r="I22" i="3"/>
  <c r="I31" i="3"/>
  <c r="I35" i="3"/>
  <c r="I39" i="3"/>
  <c r="I43" i="3"/>
  <c r="I47" i="3"/>
  <c r="I51" i="3"/>
  <c r="AQ32" i="2"/>
  <c r="W9" i="2"/>
  <c r="AK35" i="2"/>
  <c r="AB33" i="2"/>
  <c r="N46" i="2"/>
  <c r="K46" i="2"/>
  <c r="I25" i="3"/>
  <c r="AA46" i="2"/>
  <c r="I8" i="3"/>
  <c r="I24" i="3"/>
  <c r="I30" i="3"/>
  <c r="I34" i="3"/>
  <c r="I38" i="3"/>
  <c r="I42" i="3"/>
  <c r="I46" i="3"/>
  <c r="I50" i="3"/>
  <c r="I10" i="3"/>
  <c r="I18" i="3"/>
  <c r="I29" i="3"/>
  <c r="I33" i="3"/>
  <c r="I37" i="3"/>
  <c r="I41" i="3"/>
  <c r="I45" i="3"/>
  <c r="I49" i="3"/>
  <c r="I53" i="3"/>
  <c r="AD26" i="2"/>
  <c r="AE26" i="2" s="1"/>
  <c r="AF26" i="2" s="1"/>
  <c r="AG26" i="2" s="1"/>
  <c r="I26" i="3"/>
  <c r="AH10" i="2"/>
  <c r="AI10" i="2" s="1"/>
  <c r="AJ10" i="2" s="1"/>
  <c r="S38" i="2"/>
  <c r="N50" i="2"/>
  <c r="O38" i="2"/>
  <c r="H38" i="2"/>
  <c r="I38" i="2"/>
  <c r="P38" i="2"/>
  <c r="Q38" i="2"/>
  <c r="B43" i="4"/>
  <c r="I14" i="3"/>
  <c r="J50" i="2"/>
  <c r="M50" i="2" s="1"/>
  <c r="I16" i="3"/>
  <c r="I8" i="2"/>
  <c r="N8" i="2"/>
  <c r="L8" i="2" s="1"/>
  <c r="R28" i="2"/>
  <c r="AD28" i="2"/>
  <c r="AQ28" i="2"/>
  <c r="I31" i="2"/>
  <c r="H31" i="2" s="1"/>
  <c r="S28" i="2"/>
  <c r="U28" i="2"/>
  <c r="AH28" i="2"/>
  <c r="N31" i="2"/>
  <c r="X49" i="2"/>
  <c r="D14" i="4"/>
  <c r="L28" i="2"/>
  <c r="J28" i="2" s="1"/>
  <c r="V28" i="2"/>
  <c r="AI28" i="2"/>
  <c r="B30" i="4"/>
  <c r="Y28" i="2"/>
  <c r="AK28" i="2"/>
  <c r="Z28" i="2"/>
  <c r="AL28" i="2"/>
  <c r="AM50" i="2"/>
  <c r="R38" i="2"/>
  <c r="H50" i="2"/>
  <c r="I50" i="2" s="1"/>
  <c r="AA28" i="2"/>
  <c r="AO28" i="2"/>
  <c r="Q28" i="2"/>
  <c r="AC28" i="2"/>
  <c r="AP28" i="2"/>
  <c r="B48" i="4"/>
  <c r="AG28" i="2"/>
  <c r="B67" i="4"/>
  <c r="O36" i="2"/>
  <c r="AA36" i="2" s="1"/>
  <c r="I36" i="2"/>
  <c r="L36" i="2"/>
  <c r="H36" i="2"/>
  <c r="J36" i="2"/>
  <c r="AM7" i="2"/>
  <c r="J7" i="2"/>
  <c r="I7" i="2" s="1"/>
  <c r="N7" i="2"/>
  <c r="X7" i="2"/>
  <c r="R7" i="2"/>
  <c r="AC7" i="2"/>
  <c r="U7" i="2"/>
  <c r="AH7" i="2"/>
  <c r="P42" i="2"/>
  <c r="G42" i="2" s="1"/>
  <c r="A41" i="7" s="1"/>
  <c r="P12" i="2"/>
  <c r="P22" i="2"/>
  <c r="B101" i="13"/>
  <c r="B100" i="13"/>
  <c r="B37" i="9"/>
  <c r="AI49" i="2"/>
  <c r="B86" i="13"/>
  <c r="B31" i="9"/>
  <c r="B87" i="13"/>
  <c r="B85" i="13"/>
  <c r="B89" i="13"/>
  <c r="B84" i="13"/>
  <c r="B88" i="13"/>
  <c r="B28" i="13"/>
  <c r="B6" i="9"/>
  <c r="B18" i="9"/>
  <c r="B28" i="9"/>
  <c r="B77" i="13"/>
  <c r="B12" i="9"/>
  <c r="Q25" i="2"/>
  <c r="B55" i="9"/>
  <c r="B60" i="9"/>
  <c r="B57" i="9"/>
  <c r="B56" i="9"/>
  <c r="B2" i="9"/>
  <c r="B53" i="9"/>
  <c r="B59" i="9"/>
  <c r="B58" i="9"/>
  <c r="B54" i="9"/>
  <c r="B61" i="9"/>
  <c r="B13" i="9"/>
  <c r="B48" i="13"/>
  <c r="Q23" i="2"/>
  <c r="AB23" i="2"/>
  <c r="O31" i="2"/>
  <c r="AH36" i="2"/>
  <c r="AI46" i="2"/>
  <c r="B42" i="13"/>
  <c r="B41" i="13"/>
  <c r="B40" i="13"/>
  <c r="B10" i="9"/>
  <c r="B43" i="13"/>
  <c r="Z22" i="2"/>
  <c r="B58" i="13"/>
  <c r="B54" i="13"/>
  <c r="B23" i="9"/>
  <c r="B55" i="13"/>
  <c r="B57" i="13"/>
  <c r="B56" i="13"/>
  <c r="I3" i="3"/>
  <c r="I11" i="3"/>
  <c r="I19" i="3"/>
  <c r="I27" i="3"/>
  <c r="B82" i="13"/>
  <c r="B78" i="13"/>
  <c r="B83" i="13"/>
  <c r="B35" i="9"/>
  <c r="B81" i="13"/>
  <c r="B80" i="13"/>
  <c r="B79" i="13"/>
  <c r="AA24" i="2"/>
  <c r="B29" i="9"/>
  <c r="AP32" i="2"/>
  <c r="AH32" i="2"/>
  <c r="Z32" i="2"/>
  <c r="AL32" i="2"/>
  <c r="AD32" i="2"/>
  <c r="V32" i="2"/>
  <c r="AR32" i="2"/>
  <c r="AJ32" i="2"/>
  <c r="T32" i="2"/>
  <c r="AK32" i="2"/>
  <c r="AC32" i="2"/>
  <c r="U32" i="2"/>
  <c r="AB32" i="2"/>
  <c r="AI32" i="2"/>
  <c r="R33" i="2"/>
  <c r="L46" i="2"/>
  <c r="I5" i="3"/>
  <c r="I13" i="3"/>
  <c r="I21" i="3"/>
  <c r="B50" i="13"/>
  <c r="B15" i="9"/>
  <c r="B51" i="13"/>
  <c r="B53" i="13"/>
  <c r="B52" i="13"/>
  <c r="B16" i="9"/>
  <c r="B94" i="13"/>
  <c r="B96" i="13"/>
  <c r="B95" i="13"/>
  <c r="B33" i="9"/>
  <c r="B5" i="9"/>
  <c r="B30" i="9"/>
  <c r="B97" i="13"/>
  <c r="U33" i="2"/>
  <c r="AL46" i="2"/>
  <c r="AD46" i="2"/>
  <c r="V46" i="2"/>
  <c r="AK46" i="2"/>
  <c r="AC46" i="2"/>
  <c r="U46" i="2"/>
  <c r="M46" i="2"/>
  <c r="AP46" i="2"/>
  <c r="AH46" i="2"/>
  <c r="Z46" i="2"/>
  <c r="R46" i="2"/>
  <c r="J46" i="2"/>
  <c r="X46" i="2"/>
  <c r="AM46" i="2"/>
  <c r="AE46" i="2"/>
  <c r="W46" i="2"/>
  <c r="O46" i="2"/>
  <c r="AO46" i="2"/>
  <c r="AG46" i="2"/>
  <c r="Y46" i="2"/>
  <c r="AN46" i="2"/>
  <c r="AF46" i="2"/>
  <c r="P46" i="2"/>
  <c r="X32" i="2"/>
  <c r="AN32" i="2"/>
  <c r="B42" i="9"/>
  <c r="T46" i="2"/>
  <c r="I7" i="3"/>
  <c r="I15" i="3"/>
  <c r="I23" i="3"/>
  <c r="B34" i="4"/>
  <c r="B38" i="13"/>
  <c r="B37" i="13"/>
  <c r="B39" i="13"/>
  <c r="B8" i="9"/>
  <c r="B26" i="9"/>
  <c r="K36" i="2"/>
  <c r="L38" i="2"/>
  <c r="T38" i="2"/>
  <c r="B45" i="9"/>
  <c r="B116" i="13"/>
  <c r="N49" i="2"/>
  <c r="O49" i="2" s="1"/>
  <c r="B26" i="13"/>
  <c r="B4" i="9"/>
  <c r="B27" i="13"/>
  <c r="B46" i="13"/>
  <c r="B44" i="13"/>
  <c r="B9" i="9"/>
  <c r="B47" i="13"/>
  <c r="B45" i="13"/>
  <c r="B20" i="9"/>
  <c r="B76" i="13"/>
  <c r="B75" i="13"/>
  <c r="B27" i="9"/>
  <c r="W28" i="2"/>
  <c r="AE28" i="2"/>
  <c r="B90" i="13"/>
  <c r="B92" i="13"/>
  <c r="B32" i="9"/>
  <c r="B93" i="13"/>
  <c r="B91" i="13"/>
  <c r="M38" i="2"/>
  <c r="B38" i="9"/>
  <c r="Q46" i="2"/>
  <c r="R13" i="4"/>
  <c r="F14" i="4"/>
  <c r="B44" i="9"/>
  <c r="B118" i="13"/>
  <c r="B117" i="13"/>
  <c r="B48" i="9"/>
  <c r="B121" i="13"/>
  <c r="B49" i="9"/>
  <c r="H13" i="4"/>
  <c r="B3" i="9"/>
  <c r="B19" i="9"/>
  <c r="B110" i="13"/>
  <c r="B112" i="13"/>
  <c r="B109" i="13"/>
  <c r="B40" i="9"/>
  <c r="B111" i="13"/>
  <c r="AG13" i="4"/>
  <c r="E14" i="4"/>
  <c r="M14" i="4"/>
  <c r="B34" i="13"/>
  <c r="B30" i="13"/>
  <c r="B7" i="9"/>
  <c r="B32" i="13"/>
  <c r="B31" i="13"/>
  <c r="B35" i="13"/>
  <c r="B29" i="13"/>
  <c r="B36" i="13"/>
  <c r="B33" i="13"/>
  <c r="B66" i="13"/>
  <c r="B64" i="13"/>
  <c r="B21" i="9"/>
  <c r="B67" i="13"/>
  <c r="B68" i="13"/>
  <c r="B65" i="13"/>
  <c r="B62" i="13"/>
  <c r="B60" i="13"/>
  <c r="B63" i="13"/>
  <c r="B61" i="13"/>
  <c r="B22" i="9"/>
  <c r="B59" i="13"/>
  <c r="B69" i="13"/>
  <c r="B24" i="9"/>
  <c r="B74" i="13"/>
  <c r="B70" i="13"/>
  <c r="B25" i="9"/>
  <c r="B73" i="13"/>
  <c r="B72" i="13"/>
  <c r="B71" i="13"/>
  <c r="X28" i="2"/>
  <c r="AF28" i="2"/>
  <c r="AN28" i="2"/>
  <c r="B98" i="13"/>
  <c r="B34" i="9"/>
  <c r="B99" i="13"/>
  <c r="B36" i="9"/>
  <c r="N38" i="2"/>
  <c r="B106" i="13"/>
  <c r="B102" i="13"/>
  <c r="B39" i="9"/>
  <c r="B105" i="13"/>
  <c r="B104" i="13"/>
  <c r="B108" i="13"/>
  <c r="B103" i="13"/>
  <c r="B107" i="13"/>
  <c r="B52" i="9"/>
  <c r="C13" i="4"/>
  <c r="I34" i="2" s="1"/>
  <c r="G14" i="4"/>
  <c r="M34" i="2" s="1"/>
  <c r="D13" i="4"/>
  <c r="J34" i="2" s="1"/>
  <c r="AB13" i="4"/>
  <c r="B3" i="4"/>
  <c r="E13" i="4"/>
  <c r="M13" i="4"/>
  <c r="B58" i="4"/>
  <c r="B50" i="9"/>
  <c r="F13" i="4"/>
  <c r="R14" i="4"/>
  <c r="B32" i="4"/>
  <c r="B33" i="4" s="1"/>
  <c r="B114" i="13"/>
  <c r="B115" i="13"/>
  <c r="B113" i="13"/>
  <c r="B41" i="9"/>
  <c r="B46" i="9"/>
  <c r="B11" i="9"/>
  <c r="B14" i="9"/>
  <c r="B49" i="13"/>
  <c r="B17" i="9"/>
  <c r="T28" i="2"/>
  <c r="AB28" i="2"/>
  <c r="AJ28" i="2"/>
  <c r="AR28" i="2"/>
  <c r="J38" i="2"/>
  <c r="B43" i="9"/>
  <c r="B47" i="9"/>
  <c r="B119" i="13"/>
  <c r="B120" i="13"/>
  <c r="B122" i="13"/>
  <c r="B51" i="9"/>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O50" i="2" l="1"/>
  <c r="T36" i="2"/>
  <c r="AC36" i="2"/>
  <c r="S7" i="2"/>
  <c r="Y36" i="2"/>
  <c r="K28" i="2"/>
  <c r="AD36" i="2"/>
  <c r="AP36" i="2"/>
  <c r="AL36" i="2"/>
  <c r="AL35" i="2"/>
  <c r="Z36" i="2"/>
  <c r="Y49" i="2"/>
  <c r="V36" i="2"/>
  <c r="N36" i="2"/>
  <c r="AM36" i="2"/>
  <c r="AK36" i="2"/>
  <c r="W36" i="2"/>
  <c r="M36" i="2"/>
  <c r="Q36" i="2"/>
  <c r="L50" i="2"/>
  <c r="G32" i="2"/>
  <c r="A31" i="7" s="1"/>
  <c r="T49" i="2"/>
  <c r="AF36" i="2"/>
  <c r="AE36" i="2"/>
  <c r="G9" i="2"/>
  <c r="A8" i="7" s="1"/>
  <c r="G46" i="2"/>
  <c r="A45" i="7" s="1"/>
  <c r="AN36" i="2"/>
  <c r="P36" i="2"/>
  <c r="G38" i="2"/>
  <c r="A37" i="7" s="1"/>
  <c r="AO36" i="2"/>
  <c r="X36" i="2"/>
  <c r="K8" i="2"/>
  <c r="AI36" i="2"/>
  <c r="R36" i="2"/>
  <c r="AQ36" i="2"/>
  <c r="AC33" i="2"/>
  <c r="AR36" i="2"/>
  <c r="AN7" i="2"/>
  <c r="AI7" i="2"/>
  <c r="AJ7" i="2" s="1"/>
  <c r="AK7" i="2" s="1"/>
  <c r="AL7" i="2" s="1"/>
  <c r="AD7" i="2"/>
  <c r="AE7" i="2" s="1"/>
  <c r="AF7" i="2" s="1"/>
  <c r="AG7" i="2" s="1"/>
  <c r="V7" i="2"/>
  <c r="W7" i="2"/>
  <c r="Y7" i="2"/>
  <c r="Z7" i="2" s="1"/>
  <c r="AA7" i="2" s="1"/>
  <c r="AB7" i="2" s="1"/>
  <c r="AK10" i="2"/>
  <c r="J8" i="2"/>
  <c r="O8" i="2"/>
  <c r="P8" i="2" s="1"/>
  <c r="K50" i="2"/>
  <c r="M8" i="2"/>
  <c r="S34" i="2"/>
  <c r="J31" i="2"/>
  <c r="K31" i="2"/>
  <c r="L31" i="2"/>
  <c r="O28" i="2"/>
  <c r="AN50" i="2"/>
  <c r="I28" i="2"/>
  <c r="P50" i="2"/>
  <c r="P49" i="2"/>
  <c r="Q49" i="2" s="1"/>
  <c r="S36" i="2"/>
  <c r="U36" i="2"/>
  <c r="L34" i="2"/>
  <c r="AJ49" i="2"/>
  <c r="N28" i="2"/>
  <c r="M28" i="2"/>
  <c r="M31" i="2"/>
  <c r="AB36" i="2"/>
  <c r="AG36" i="2"/>
  <c r="AJ36" i="2"/>
  <c r="T7" i="2"/>
  <c r="K7" i="2"/>
  <c r="M7" i="2"/>
  <c r="Q7" i="2"/>
  <c r="L7" i="2"/>
  <c r="P7" i="2"/>
  <c r="O7" i="2"/>
  <c r="Q70" i="14"/>
  <c r="Q73" i="14" s="1"/>
  <c r="N70" i="14"/>
  <c r="N73" i="14" s="1"/>
  <c r="AZ70" i="14"/>
  <c r="AZ73" i="14" s="1"/>
  <c r="P70" i="14"/>
  <c r="P73" i="14" s="1"/>
  <c r="Y70" i="14"/>
  <c r="Y73" i="14" s="1"/>
  <c r="AP70" i="14"/>
  <c r="AP73" i="14" s="1"/>
  <c r="AC13" i="4"/>
  <c r="AD13" i="4" s="1"/>
  <c r="AH13" i="4"/>
  <c r="B5" i="4"/>
  <c r="N26" i="2" s="1"/>
  <c r="Q22" i="2"/>
  <c r="AM70" i="14"/>
  <c r="AM73" i="14" s="1"/>
  <c r="AT70" i="14"/>
  <c r="AT73" i="14" s="1"/>
  <c r="AD70" i="14"/>
  <c r="AD73" i="14" s="1"/>
  <c r="M70" i="14"/>
  <c r="M73" i="14" s="1"/>
  <c r="X70" i="14"/>
  <c r="X73" i="14" s="1"/>
  <c r="AG70" i="14"/>
  <c r="AG73" i="14" s="1"/>
  <c r="AX70" i="14"/>
  <c r="AX73" i="14" s="1"/>
  <c r="I13" i="4"/>
  <c r="S26" i="2"/>
  <c r="AC23" i="2"/>
  <c r="P31" i="2"/>
  <c r="AR70" i="14"/>
  <c r="AR73" i="14" s="1"/>
  <c r="AY70" i="14"/>
  <c r="AY73" i="14" s="1"/>
  <c r="O70" i="14"/>
  <c r="O73" i="14" s="1"/>
  <c r="F70" i="14"/>
  <c r="F73" i="14" s="1"/>
  <c r="U70" i="14"/>
  <c r="U73" i="14" s="1"/>
  <c r="AF70" i="14"/>
  <c r="AF73" i="14" s="1"/>
  <c r="AO70" i="14"/>
  <c r="AO73" i="14" s="1"/>
  <c r="K70" i="14"/>
  <c r="K73" i="14" s="1"/>
  <c r="R23" i="2"/>
  <c r="Q12" i="2"/>
  <c r="H70" i="14"/>
  <c r="H73" i="14" s="1"/>
  <c r="AL70" i="14"/>
  <c r="AL73" i="14" s="1"/>
  <c r="AU70" i="14"/>
  <c r="AU73" i="14" s="1"/>
  <c r="AE70" i="14"/>
  <c r="AE73" i="14" s="1"/>
  <c r="AC70" i="14"/>
  <c r="AC73" i="14" s="1"/>
  <c r="AN70" i="14"/>
  <c r="AN73" i="14" s="1"/>
  <c r="AW70" i="14"/>
  <c r="AW73" i="14" s="1"/>
  <c r="S70" i="14"/>
  <c r="S73" i="14" s="1"/>
  <c r="S40" i="2"/>
  <c r="N40" i="2"/>
  <c r="AC40" i="2"/>
  <c r="I40" i="2"/>
  <c r="X40" i="2"/>
  <c r="H40" i="2"/>
  <c r="AH40"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N34" i="2" s="1"/>
  <c r="N14" i="4"/>
  <c r="O14" i="4" s="1"/>
  <c r="P14" i="4" s="1"/>
  <c r="Q14" i="4" s="1"/>
  <c r="AA22" i="2"/>
  <c r="R25" i="2"/>
  <c r="BB70" i="14"/>
  <c r="BB73" i="14" s="1"/>
  <c r="AB70" i="14"/>
  <c r="AB73" i="14" s="1"/>
  <c r="AS70" i="14"/>
  <c r="AS73" i="14" s="1"/>
  <c r="BD70" i="14"/>
  <c r="BD73" i="14" s="1"/>
  <c r="R70" i="14"/>
  <c r="R73" i="14" s="1"/>
  <c r="AI70" i="14"/>
  <c r="AI73" i="14" s="1"/>
  <c r="K34" i="2"/>
  <c r="AB24" i="2"/>
  <c r="BC70" i="14"/>
  <c r="BC73" i="14" s="1"/>
  <c r="L70" i="14"/>
  <c r="L73" i="14" s="1"/>
  <c r="W70" i="14"/>
  <c r="W73" i="14" s="1"/>
  <c r="AJ70" i="14"/>
  <c r="AJ73" i="14" s="1"/>
  <c r="BA70" i="14"/>
  <c r="BA73" i="14" s="1"/>
  <c r="I70" i="14"/>
  <c r="I73" i="14" s="1"/>
  <c r="Z70" i="14"/>
  <c r="Z73" i="14" s="1"/>
  <c r="AQ70" i="14"/>
  <c r="AQ73" i="14" s="1"/>
  <c r="N13" i="4"/>
  <c r="T34" i="2" s="1"/>
  <c r="S13" i="4"/>
  <c r="X34" i="2"/>
  <c r="V33" i="2"/>
  <c r="Z49" i="2" l="1"/>
  <c r="AA49" i="2" s="1"/>
  <c r="AM35" i="2"/>
  <c r="AK49" i="2"/>
  <c r="AO7" i="2"/>
  <c r="AO50" i="2"/>
  <c r="U49" i="2"/>
  <c r="G28" i="2"/>
  <c r="A27" i="7" s="1"/>
  <c r="G36" i="2"/>
  <c r="A35" i="7" s="1"/>
  <c r="AD33" i="2"/>
  <c r="I14" i="4"/>
  <c r="J14" i="4" s="1"/>
  <c r="K14" i="4" s="1"/>
  <c r="L14" i="4" s="1"/>
  <c r="Q50" i="2"/>
  <c r="R50" i="2" s="1"/>
  <c r="AL10" i="2"/>
  <c r="O26" i="2"/>
  <c r="R26" i="2"/>
  <c r="P26" i="2"/>
  <c r="Q26" i="2"/>
  <c r="AE40" i="2"/>
  <c r="AD40" i="2"/>
  <c r="AG40" i="2"/>
  <c r="AF40" i="2"/>
  <c r="Q8" i="2"/>
  <c r="AH34" i="2"/>
  <c r="AJ34" i="2"/>
  <c r="W33" i="2"/>
  <c r="S25" i="2"/>
  <c r="O40" i="2"/>
  <c r="Q40" i="2"/>
  <c r="P40" i="2"/>
  <c r="R40" i="2"/>
  <c r="Q31" i="2"/>
  <c r="AE13" i="4"/>
  <c r="W40" i="2"/>
  <c r="V40" i="2"/>
  <c r="U40" i="2"/>
  <c r="T40" i="2"/>
  <c r="S23" i="2"/>
  <c r="AP50" i="2"/>
  <c r="AD23" i="2"/>
  <c r="R22" i="2"/>
  <c r="AC24" i="2"/>
  <c r="J13" i="4"/>
  <c r="K26" i="2"/>
  <c r="M26" i="2"/>
  <c r="L26" i="2"/>
  <c r="AP7" i="2"/>
  <c r="H26" i="2"/>
  <c r="I26" i="2" s="1"/>
  <c r="AB22" i="2"/>
  <c r="AQ40" i="2"/>
  <c r="AI40" i="2"/>
  <c r="AM40" i="2"/>
  <c r="AL40" i="2"/>
  <c r="AK40" i="2"/>
  <c r="AP40" i="2"/>
  <c r="AR40" i="2"/>
  <c r="AO40" i="2"/>
  <c r="AN40" i="2"/>
  <c r="AJ40" i="2"/>
  <c r="V49" i="2"/>
  <c r="W26" i="2"/>
  <c r="U26" i="2"/>
  <c r="V26" i="2"/>
  <c r="T26" i="2"/>
  <c r="AM34" i="2"/>
  <c r="AI13" i="4"/>
  <c r="AN34" i="2"/>
  <c r="R49" i="2"/>
  <c r="AL49" i="2"/>
  <c r="Y34" i="2"/>
  <c r="T13" i="4"/>
  <c r="AA40" i="2"/>
  <c r="AB40" i="2"/>
  <c r="Z40" i="2"/>
  <c r="Y40" i="2"/>
  <c r="R12" i="2"/>
  <c r="O13" i="4"/>
  <c r="K40" i="2"/>
  <c r="M40" i="2"/>
  <c r="J40" i="2"/>
  <c r="L40" i="2"/>
  <c r="AI34" i="2"/>
  <c r="AN35" i="2" l="1"/>
  <c r="G26" i="2"/>
  <c r="A25" i="7" s="1"/>
  <c r="G40" i="2"/>
  <c r="A39" i="7" s="1"/>
  <c r="O34" i="2"/>
  <c r="AE33" i="2"/>
  <c r="AM10" i="2"/>
  <c r="S50" i="2"/>
  <c r="W49" i="2"/>
  <c r="AB49" i="2"/>
  <c r="AK34" i="2"/>
  <c r="AF13" i="4"/>
  <c r="AL34" i="2" s="1"/>
  <c r="K13" i="4"/>
  <c r="P34" i="2"/>
  <c r="S22" i="2"/>
  <c r="AC22" i="2"/>
  <c r="T23" i="2"/>
  <c r="R31" i="2"/>
  <c r="AQ7" i="2"/>
  <c r="AO34" i="2"/>
  <c r="AJ13" i="4"/>
  <c r="U34" i="2"/>
  <c r="P13" i="4"/>
  <c r="U13" i="4"/>
  <c r="Z34" i="2"/>
  <c r="AO35" i="2"/>
  <c r="AE23" i="2"/>
  <c r="R8" i="2"/>
  <c r="S12" i="2"/>
  <c r="AM49" i="2"/>
  <c r="AD24" i="2"/>
  <c r="AQ50" i="2"/>
  <c r="T25" i="2"/>
  <c r="C2" i="8" l="1"/>
  <c r="D2" i="8"/>
  <c r="AF33" i="2"/>
  <c r="AN10" i="2"/>
  <c r="T50" i="2"/>
  <c r="AK13" i="4"/>
  <c r="AP34" i="2"/>
  <c r="Q34" i="2"/>
  <c r="L13" i="4"/>
  <c r="R34" i="2" s="1"/>
  <c r="U25" i="2"/>
  <c r="AR7" i="2"/>
  <c r="AD22" i="2"/>
  <c r="AC49" i="2"/>
  <c r="AN49" i="2"/>
  <c r="U23" i="2"/>
  <c r="AR50" i="2"/>
  <c r="AE24" i="2"/>
  <c r="T12" i="2"/>
  <c r="V13" i="4"/>
  <c r="AA34" i="2"/>
  <c r="AF23" i="2"/>
  <c r="E2" i="8"/>
  <c r="S8" i="2"/>
  <c r="V34" i="2"/>
  <c r="Q13" i="4"/>
  <c r="W34" i="2" s="1"/>
  <c r="S31" i="2"/>
  <c r="T22" i="2"/>
  <c r="AP35" i="2"/>
  <c r="G7" i="2" l="1"/>
  <c r="A6" i="7" s="1"/>
  <c r="AG33" i="2"/>
  <c r="AO10" i="2"/>
  <c r="U50" i="2"/>
  <c r="AE2" i="8"/>
  <c r="AF24" i="2"/>
  <c r="U22" i="2"/>
  <c r="U12" i="2"/>
  <c r="V23" i="2"/>
  <c r="V25" i="2"/>
  <c r="AQ35" i="2"/>
  <c r="AG23" i="2"/>
  <c r="AD49" i="2"/>
  <c r="AO49" i="2"/>
  <c r="AE22" i="2"/>
  <c r="AN31" i="2"/>
  <c r="AF31" i="2"/>
  <c r="AR31" i="2"/>
  <c r="AJ31" i="2"/>
  <c r="AB31" i="2"/>
  <c r="AP31" i="2"/>
  <c r="AH31" i="2"/>
  <c r="AQ31" i="2"/>
  <c r="AI31" i="2"/>
  <c r="AA31" i="2"/>
  <c r="Z31" i="2"/>
  <c r="AM31" i="2"/>
  <c r="AL31" i="2"/>
  <c r="AG31" i="2"/>
  <c r="AK31" i="2"/>
  <c r="AE31" i="2"/>
  <c r="AD31" i="2"/>
  <c r="AC31" i="2"/>
  <c r="AO31" i="2"/>
  <c r="Y31" i="2"/>
  <c r="T31" i="2"/>
  <c r="F2" i="8"/>
  <c r="T8" i="2"/>
  <c r="W13" i="4"/>
  <c r="AB34" i="2"/>
  <c r="AL13" i="4"/>
  <c r="AR34" i="2" s="1"/>
  <c r="AQ34" i="2"/>
  <c r="AH33" i="2" l="1"/>
  <c r="AP10" i="2"/>
  <c r="V50" i="2"/>
  <c r="AF2" i="8"/>
  <c r="W25" i="2"/>
  <c r="AC34" i="2"/>
  <c r="X13" i="4"/>
  <c r="AF22" i="2"/>
  <c r="AH23" i="2"/>
  <c r="W23" i="2"/>
  <c r="V22" i="2"/>
  <c r="G2" i="8"/>
  <c r="U8" i="2"/>
  <c r="U31" i="2"/>
  <c r="AP49" i="2"/>
  <c r="AR35" i="2"/>
  <c r="V12" i="2"/>
  <c r="AG24" i="2"/>
  <c r="AE49" i="2"/>
  <c r="G35" i="2" l="1"/>
  <c r="A34" i="7" s="1"/>
  <c r="AI33" i="2"/>
  <c r="AQ10" i="2"/>
  <c r="W50" i="2"/>
  <c r="AG2" i="8"/>
  <c r="AI23" i="2"/>
  <c r="AG22" i="2"/>
  <c r="AQ49" i="2"/>
  <c r="V31" i="2"/>
  <c r="Y13" i="4"/>
  <c r="AD34" i="2"/>
  <c r="W22" i="2"/>
  <c r="AH24" i="2"/>
  <c r="W12" i="2"/>
  <c r="H2" i="8"/>
  <c r="V8" i="2"/>
  <c r="X25" i="2"/>
  <c r="AF49" i="2"/>
  <c r="AJ33" i="2" l="1"/>
  <c r="AR10" i="2"/>
  <c r="X50" i="2"/>
  <c r="AH2" i="8"/>
  <c r="Y25" i="2"/>
  <c r="AH22" i="2"/>
  <c r="W31" i="2"/>
  <c r="X12" i="2"/>
  <c r="Z13" i="4"/>
  <c r="AE34" i="2"/>
  <c r="AI24" i="2"/>
  <c r="AJ23" i="2"/>
  <c r="I2" i="8"/>
  <c r="W8" i="2"/>
  <c r="AG49" i="2"/>
  <c r="G49" i="2" l="1"/>
  <c r="A48" i="7" s="1"/>
  <c r="G10" i="2"/>
  <c r="A9" i="7" s="1"/>
  <c r="G31" i="2"/>
  <c r="A30" i="7" s="1"/>
  <c r="AK33" i="2"/>
  <c r="Y50" i="2"/>
  <c r="AI2" i="8"/>
  <c r="Y12" i="2"/>
  <c r="J2" i="8"/>
  <c r="X8" i="2"/>
  <c r="AI22" i="2"/>
  <c r="Z25" i="2"/>
  <c r="AJ24" i="2"/>
  <c r="AK23" i="2"/>
  <c r="AA13" i="4"/>
  <c r="AG34" i="2" s="1"/>
  <c r="AF34" i="2"/>
  <c r="G34" i="2" l="1"/>
  <c r="A33" i="7" s="1"/>
  <c r="AL33" i="2"/>
  <c r="Z50" i="2"/>
  <c r="AJ2" i="8"/>
  <c r="AK24" i="2"/>
  <c r="AA25" i="2"/>
  <c r="AJ22" i="2"/>
  <c r="Z12" i="2"/>
  <c r="K2" i="8"/>
  <c r="Y8" i="2"/>
  <c r="AL23" i="2"/>
  <c r="AM33" i="2" l="1"/>
  <c r="AA50" i="2"/>
  <c r="AK2" i="8"/>
  <c r="AK22" i="2"/>
  <c r="L2" i="8"/>
  <c r="Z8" i="2"/>
  <c r="AL24" i="2"/>
  <c r="AA12" i="2"/>
  <c r="AM23" i="2"/>
  <c r="AB25" i="2"/>
  <c r="AN33" i="2" l="1"/>
  <c r="AB50" i="2"/>
  <c r="AL2" i="8"/>
  <c r="AB12" i="2"/>
  <c r="AC25" i="2"/>
  <c r="AM24" i="2"/>
  <c r="AN23" i="2"/>
  <c r="M2" i="8"/>
  <c r="AA8" i="2"/>
  <c r="AL22" i="2"/>
  <c r="AO33" i="2" l="1"/>
  <c r="AC50" i="2"/>
  <c r="AM2" i="8"/>
  <c r="AM22" i="2"/>
  <c r="AN24" i="2"/>
  <c r="N2" i="8"/>
  <c r="AB8" i="2"/>
  <c r="AO23" i="2"/>
  <c r="AC12" i="2"/>
  <c r="AD25" i="2"/>
  <c r="AP33" i="2" l="1"/>
  <c r="AD50" i="2"/>
  <c r="AN2" i="8"/>
  <c r="AE25" i="2"/>
  <c r="AO24" i="2"/>
  <c r="O2" i="8"/>
  <c r="AC8" i="2"/>
  <c r="AD12" i="2"/>
  <c r="AN22" i="2"/>
  <c r="AP23" i="2"/>
  <c r="AQ33" i="2" l="1"/>
  <c r="AE50" i="2"/>
  <c r="AO2" i="8"/>
  <c r="P2" i="8"/>
  <c r="AD8" i="2"/>
  <c r="AP24" i="2"/>
  <c r="AQ23" i="2"/>
  <c r="AE12" i="2"/>
  <c r="AO22" i="2"/>
  <c r="AF25" i="2"/>
  <c r="AR33" i="2" l="1"/>
  <c r="AF50" i="2"/>
  <c r="AP2" i="8"/>
  <c r="AG25" i="2"/>
  <c r="AQ24" i="2"/>
  <c r="AF12" i="2"/>
  <c r="AR23" i="2"/>
  <c r="AP22" i="2"/>
  <c r="AE8" i="2"/>
  <c r="G33" i="2" l="1"/>
  <c r="A32" i="7" s="1"/>
  <c r="G23" i="2"/>
  <c r="A22" i="7" s="1"/>
  <c r="AG50" i="2"/>
  <c r="AQ2" i="8"/>
  <c r="AG12" i="2"/>
  <c r="AR24" i="2"/>
  <c r="AQ22" i="2"/>
  <c r="AH25" i="2"/>
  <c r="R2" i="8"/>
  <c r="AF8" i="2"/>
  <c r="G22" i="2" l="1"/>
  <c r="A21" i="7" s="1"/>
  <c r="G24" i="2"/>
  <c r="A23" i="7" s="1"/>
  <c r="AH50" i="2"/>
  <c r="AR2" i="8"/>
  <c r="AI25" i="2"/>
  <c r="AH12" i="2"/>
  <c r="S2" i="8"/>
  <c r="AG8" i="2"/>
  <c r="AI50" i="2" l="1"/>
  <c r="AS2" i="8"/>
  <c r="T2" i="8"/>
  <c r="AH8" i="2"/>
  <c r="AI12" i="2"/>
  <c r="AJ25" i="2"/>
  <c r="AJ50" i="2" l="1"/>
  <c r="AT2" i="8"/>
  <c r="AJ12" i="2"/>
  <c r="AK25" i="2"/>
  <c r="U2" i="8"/>
  <c r="AI8" i="2"/>
  <c r="AK50" i="2" l="1"/>
  <c r="AU2" i="8"/>
  <c r="AL25" i="2"/>
  <c r="AK12" i="2"/>
  <c r="V2" i="8"/>
  <c r="AJ8" i="2"/>
  <c r="AL50" i="2" l="1"/>
  <c r="AV2" i="8"/>
  <c r="W2" i="8"/>
  <c r="AK8" i="2"/>
  <c r="AM25" i="2"/>
  <c r="AL12" i="2"/>
  <c r="G50" i="2" l="1"/>
  <c r="A49" i="7" s="1"/>
  <c r="AW2" i="8"/>
  <c r="AM12" i="2"/>
  <c r="AN25" i="2"/>
  <c r="X2" i="8"/>
  <c r="AL8" i="2"/>
  <c r="AX2" i="8" l="1"/>
  <c r="AO25" i="2"/>
  <c r="Y2" i="8"/>
  <c r="AM8" i="2"/>
  <c r="AN12" i="2"/>
  <c r="AY2" i="8" l="1"/>
  <c r="AP25" i="2"/>
  <c r="AO12" i="2"/>
  <c r="Z2" i="8"/>
  <c r="AN8" i="2"/>
  <c r="AZ2" i="8" l="1"/>
  <c r="AA2" i="8"/>
  <c r="AO8" i="2"/>
  <c r="AP12" i="2"/>
  <c r="AQ25" i="2"/>
  <c r="BA2" i="8" l="1"/>
  <c r="AR25" i="2"/>
  <c r="AQ12" i="2"/>
  <c r="AB2" i="8"/>
  <c r="AP8" i="2"/>
  <c r="G25" i="2" l="1"/>
  <c r="A24" i="7" s="1"/>
  <c r="BB2" i="8"/>
  <c r="AR12" i="2"/>
  <c r="AC2" i="8"/>
  <c r="AQ8" i="2"/>
  <c r="G12" i="2" l="1"/>
  <c r="A11" i="7" s="1"/>
  <c r="AD2" i="8"/>
  <c r="G8" i="2"/>
  <c r="A7" i="7" s="1"/>
  <c r="BC2" i="8"/>
  <c r="BD2" i="8" l="1"/>
  <c r="BE2" i="8" l="1"/>
  <c r="BF2" i="8" l="1"/>
  <c r="BG2" i="8" l="1"/>
  <c r="BH2" i="8" l="1"/>
  <c r="BI2" i="8" l="1"/>
  <c r="BJ2" i="8" l="1"/>
  <c r="BK2" i="8" l="1"/>
  <c r="BL2" i="8" l="1"/>
  <c r="BM2" i="8" l="1"/>
  <c r="BN2" i="8" l="1"/>
  <c r="BO2" i="8" l="1"/>
  <c r="BP2" i="8" l="1"/>
  <c r="BQ2" i="8" l="1"/>
  <c r="BR2" i="8" l="1"/>
  <c r="BS2" i="8" l="1"/>
  <c r="BT2" i="8" l="1"/>
  <c r="BU2" i="8" l="1"/>
  <c r="BV2" i="8" l="1"/>
  <c r="BW2" i="8" l="1"/>
  <c r="BX2" i="8" l="1"/>
  <c r="BY2" i="8" l="1"/>
  <c r="BZ2" i="8" l="1"/>
  <c r="CA2" i="8" l="1"/>
  <c r="CC2" i="8" l="1"/>
  <c r="CB2" i="8"/>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<sst xmlns="http://schemas.openxmlformats.org/spreadsheetml/2006/main" count="25091" uniqueCount="3007">
  <si>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</si>
  <si>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</si>
  <si>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</si>
  <si>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</si>
  <si>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</si>
  <si>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</si>
  <si>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</si>
  <si>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</si>
  <si>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</si>
  <si>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</si>
  <si>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</si>
  <si>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</si>
  <si>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</si>
  <si>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</si>
  <si>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</si>
  <si>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</si>
  <si>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</si>
  <si>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</si>
  <si>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</si>
  <si>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</si>
  <si>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</si>
  <si>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</si>
  <si>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</si>
  <si>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</si>
  <si>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</si>
  <si>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</si>
  <si>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</si>
  <si>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</si>
  <si>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</si>
  <si>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</si>
  <si>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</si>
  <si>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</si>
  <si>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</si>
  <si>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</si>
  <si>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</si>
  <si>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</si>
  <si>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</si>
  <si>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</si>
  <si>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</si>
  <si>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</si>
  <si>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</si>
  <si>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</si>
  <si>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</si>
  <si>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</si>
  <si>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</si>
  <si>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</si>
  <si>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</si>
  <si>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</si>
  <si>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</si>
  <si>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</si>
  <si>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</si>
  <si>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</si>
  <si>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</si>
  <si>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</si>
  <si>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</si>
  <si>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</si>
  <si>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</si>
  <si>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</si>
  <si>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</si>
  <si>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</si>
  <si>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</si>
  <si>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</si>
  <si>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</si>
  <si>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</si>
  <si>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</si>
  <si>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</si>
  <si>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</si>
  <si>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</si>
  <si>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</si>
  <si>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</si>
  <si>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</si>
  <si>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</si>
  <si>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</si>
  <si>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</si>
  <si>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</si>
  <si>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</si>
  <si>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</si>
  <si>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</si>
  <si>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</si>
  <si>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</si>
  <si>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</si>
  <si>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</si>
  <si>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</si>
  <si>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</si>
  <si>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</si>
  <si>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</si>
  <si>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</si>
  <si>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</si>
  <si>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</si>
  <si>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</si>
  <si>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</si>
  <si>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</si>
  <si>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</si>
  <si>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</si>
  <si>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</si>
  <si>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</si>
  <si>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</si>
  <si>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</si>
  <si>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</si>
  <si>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</si>
  <si>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</si>
  <si>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</si>
  <si>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</si>
  <si>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</si>
  <si>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</si>
  <si>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</si>
  <si>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</si>
  <si>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</si>
  <si>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</si>
  <si>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</si>
  <si>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</si>
  <si>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</si>
  <si>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</si>
  <si>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</si>
  <si>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</si>
  <si>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</si>
  <si>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</si>
  <si>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</si>
  <si>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</si>
  <si>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</si>
  <si>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</si>
  <si>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</si>
  <si>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</si>
  <si>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</si>
  <si>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</si>
  <si>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</si>
  <si>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</si>
  <si>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</si>
  <si>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</si>
  <si>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</si>
  <si>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</si>
  <si>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</si>
  <si>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</si>
  <si>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</si>
  <si>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</si>
  <si>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</si>
  <si>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</si>
  <si>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</si>
  <si>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</si>
  <si>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</si>
  <si>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</si>
  <si>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</si>
  <si>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</si>
  <si>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</si>
  <si>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</si>
  <si>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</si>
  <si>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</si>
  <si>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</si>
  <si>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</si>
  <si>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</si>
  <si>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</si>
  <si>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</si>
  <si>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</si>
  <si>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</si>
  <si>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</si>
  <si>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</si>
  <si>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</si>
  <si>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</si>
  <si>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</si>
  <si>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</si>
  <si>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</si>
  <si>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</si>
  <si>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</si>
  <si>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</si>
  <si>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</si>
  <si>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</si>
  <si>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</si>
  <si>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</si>
  <si>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</si>
  <si>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</si>
  <si>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</si>
  <si>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</si>
  <si>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</si>
  <si>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</si>
  <si>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</si>
  <si>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</si>
  <si>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</si>
  <si>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</si>
  <si>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</si>
  <si>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</si>
  <si>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Specific percentages defined for each year through 2025 (see schedule at right)</t>
  </si>
  <si>
    <t>IOUS: 12% (2011-2014), 20% (2015-2019), 30% (2020).  Munis and small coops: 3% (2011-2014), 6% (2015-2019), 10% (2020).  Large coops: 3% (2011-2014), 6% (2015-2019), 20% (2020). 100% clean energy by 2050 for utilities serving 500,000 or more customers</t>
  </si>
  <si>
    <t>Specific percentages defined for each year through 2020 (see schedule at right; reflects class I, II, and III total)</t>
  </si>
  <si>
    <t>District of Columbia</t>
  </si>
  <si>
    <t>DC</t>
  </si>
  <si>
    <t>Specific percentages defined for each year through 2032 (see schedule at right)</t>
  </si>
  <si>
    <t>7.5% by 2015 for JEA</t>
  </si>
  <si>
    <t>10% in 2010, 15% in 2015, 30% in 2020, 40% in 2030, 70% in 2040, 100% in 2045</t>
  </si>
  <si>
    <t>4% (2013-2018), 7% (2019-2024), 10% (2025)</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</si>
  <si>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</si>
  <si>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</si>
  <si>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</si>
  <si>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10% in 2015-2018, 12.5% in 2019-2020, 15% in 2021.  For 2014, see note on "About" tab. (note that Michigan also has non-binding goal of 35% by 2025, which it is set to exceed but is not modeled due to nature of goal)</t>
  </si>
  <si>
    <t>IOUs: 5% (2014-2017), 10% (2018-2020), 15% (2021).  No RPS for non-IOUs.</t>
  </si>
  <si>
    <t>10% (2010-2014), 15% (2015)</t>
  </si>
  <si>
    <t>IOUs: 18% (2013-2014), 20% (2015-2019), 22% (2020-2024), 50% (2030).  No RPS for non-IOUs.</t>
  </si>
  <si>
    <t>IOUs, coops, and retail suppliers: specified percentages on right. These are for Class I, Class II, and Class III renewables, as we exclude hydro (Class IV).</t>
  </si>
  <si>
    <t>Specific percentages defined for each year through 2028 (see schedule at right). Excludes Tier II.</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</si>
  <si>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</si>
  <si>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</si>
  <si>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3% (2012-2014), 6% (2015-2017), 10% (2018-2020), 12.5% (2021).  Munis and coops: 10% (2018).</t>
  </si>
  <si>
    <t>IOUs: specific percentages defined for each year through 2026.  No RPS for munis or coops. Note that Ohio reduced its RPS from 12.5% to 8.5% by 2026 as of 2019 and eliminated the RPS thereafter. The standard is thus not applied for the post-2026 years.</t>
  </si>
  <si>
    <t>Goal only; not included</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</si>
  <si>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</si>
  <si>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</si>
  <si>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S.B. 2274, enacted in June 2022, shortens the RES to 2033, but with a target of 100% of electricity demand sourced from renewable energy. The final target created by the previous chnage, H.B. 7413, was 38.5% by 2035. The new RES starts at 19% in 2022</t>
  </si>
  <si>
    <t>5880 MW in 2015, 10000 MW in 2025</t>
  </si>
  <si>
    <t>55% in 2017, 75% in 2032</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</si>
  <si>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</si>
  <si>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Previous rules: 3% 2012-2015; 9% in 2016-2019, 15% in 2020+; only utilities with &gt;25,000 customers. Updated text: 15% renewables by 2020 and cost-effective 100% clean electricity by 2045</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</si>
  <si>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</si>
  <si>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</si>
  <si>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</si>
  <si>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</si>
  <si>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</si>
  <si>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</si>
  <si>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</si>
  <si>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</si>
  <si>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</si>
  <si>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</si>
  <si>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</si>
  <si>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</si>
  <si>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</si>
  <si>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</si>
  <si>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</si>
  <si>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</si>
  <si>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</si>
  <si>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</si>
  <si>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</si>
  <si>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</si>
  <si>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</si>
  <si>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</si>
  <si>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</si>
  <si>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</si>
  <si>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</si>
  <si>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</si>
  <si>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</si>
  <si>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</si>
  <si>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</si>
  <si>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</si>
  <si>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</si>
  <si>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</si>
  <si>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</si>
  <si>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</si>
  <si>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</si>
  <si>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</si>
  <si>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</si>
  <si>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</si>
  <si>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</si>
  <si>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</si>
  <si>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</si>
  <si>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</si>
  <si>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</si>
  <si>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</si>
  <si>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</si>
  <si>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</si>
  <si>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</si>
  <si>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</si>
  <si>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</si>
  <si>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</si>
  <si>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</si>
  <si>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</si>
  <si>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</si>
  <si>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</si>
  <si>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</si>
  <si>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</si>
  <si>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</si>
  <si>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</si>
  <si>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</si>
  <si>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</si>
  <si>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</si>
  <si>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</si>
  <si>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</si>
  <si>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</si>
  <si>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</si>
  <si>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</si>
  <si>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</si>
  <si>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</si>
  <si>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</si>
  <si>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</si>
  <si>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</si>
  <si>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</si>
  <si>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</si>
  <si>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</si>
  <si>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</si>
  <si>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</si>
  <si>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</si>
  <si>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</si>
  <si>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</si>
  <si>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</si>
  <si>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</si>
  <si>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</si>
  <si>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</si>
  <si>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</si>
  <si>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</si>
  <si>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</si>
  <si>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</si>
  <si>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</si>
  <si>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</si>
  <si>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</si>
  <si>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</si>
  <si>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</si>
  <si>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</si>
  <si>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</si>
  <si>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</si>
  <si>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</si>
  <si>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</si>
  <si>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</si>
  <si>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</si>
  <si>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</si>
  <si>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</si>
  <si>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</si>
  <si>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</si>
  <si>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</si>
  <si>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</si>
  <si>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</si>
  <si>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</si>
  <si>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</si>
  <si>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</si>
  <si>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</si>
  <si>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</si>
  <si>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</si>
  <si>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</si>
  <si>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</si>
  <si>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</si>
  <si>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</si>
  <si>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</si>
  <si>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</si>
  <si>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</si>
  <si>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</si>
  <si>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</si>
  <si>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</si>
  <si>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</si>
  <si>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</si>
  <si>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</si>
  <si>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</si>
  <si>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</si>
  <si>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</si>
  <si>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</si>
  <si>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</si>
  <si>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</si>
  <si>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</si>
  <si>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</si>
  <si>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</si>
  <si>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</si>
  <si>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</si>
  <si>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</si>
  <si>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</si>
  <si>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</si>
  <si>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</si>
  <si>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</si>
  <si>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</si>
  <si>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</si>
  <si>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</si>
  <si>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</si>
  <si>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</si>
  <si>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</si>
  <si>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</si>
  <si>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</si>
  <si>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</si>
  <si>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</si>
  <si>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</si>
  <si>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</si>
  <si>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</si>
  <si>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</si>
  <si>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</si>
  <si>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</si>
  <si>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</si>
  <si>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</si>
  <si>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</si>
  <si>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</si>
  <si>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</si>
  <si>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</si>
  <si>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</si>
  <si>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</si>
  <si>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</si>
  <si>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</si>
  <si>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</si>
  <si>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</si>
  <si>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</si>
  <si>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</si>
  <si>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</si>
  <si>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</si>
  <si>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</si>
  <si>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</si>
  <si>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</si>
  <si>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</si>
  <si>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</si>
  <si>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</si>
  <si>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</si>
  <si>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</si>
  <si>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</si>
  <si>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</si>
  <si>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</si>
  <si>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</si>
  <si>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</si>
  <si>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</si>
  <si>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</si>
  <si>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</si>
  <si>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</si>
  <si>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</si>
  <si>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</si>
  <si>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</si>
  <si>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</si>
  <si>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</si>
  <si>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</si>
  <si>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</si>
  <si>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</si>
  <si>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</si>
  <si>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</si>
  <si>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</si>
  <si>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</si>
  <si>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</si>
  <si>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</si>
  <si>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</si>
  <si>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</si>
  <si>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</si>
  <si>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</si>
  <si>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</si>
  <si>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</si>
  <si>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</si>
  <si>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</si>
  <si>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</si>
  <si>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</si>
  <si>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</si>
  <si>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</si>
  <si>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</si>
  <si>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</si>
  <si>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</si>
  <si>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</si>
  <si>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</si>
  <si>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</si>
  <si>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</si>
  <si>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</si>
  <si>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</si>
  <si>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</si>
  <si>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</si>
  <si>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</si>
  <si>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</si>
  <si>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</si>
  <si>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</si>
  <si>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</si>
  <si>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</si>
  <si>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</si>
  <si>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</si>
  <si>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</si>
  <si>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</si>
  <si>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</si>
  <si>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</si>
  <si>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</si>
  <si>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</si>
  <si>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</si>
  <si>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</si>
  <si>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</si>
  <si>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</si>
  <si>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</si>
  <si>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</si>
  <si>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</si>
  <si>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</si>
  <si>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</si>
  <si>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</si>
  <si>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</si>
  <si>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</si>
  <si>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</si>
  <si>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</si>
  <si>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</si>
  <si>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</si>
  <si>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</si>
  <si>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</si>
  <si>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</si>
  <si>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</si>
  <si>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</si>
  <si>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</si>
  <si>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</si>
  <si>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</si>
  <si>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</si>
  <si>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</si>
  <si>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</si>
  <si>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</si>
  <si>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</si>
  <si>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</si>
  <si>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</si>
  <si>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</si>
  <si>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</si>
  <si>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</si>
  <si>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</si>
  <si>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</si>
  <si>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</si>
  <si>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</si>
  <si>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</si>
  <si>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</si>
  <si>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</si>
  <si>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</si>
  <si>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</si>
  <si>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</si>
  <si>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</si>
  <si>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</si>
  <si>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</si>
  <si>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</si>
  <si>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</si>
  <si>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</si>
  <si>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</si>
  <si>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</si>
  <si>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</si>
  <si>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</si>
  <si>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</si>
  <si>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</si>
  <si>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</si>
  <si>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</si>
  <si>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</si>
  <si>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</si>
  <si>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</si>
  <si>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</si>
  <si>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</si>
  <si>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</si>
  <si>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</si>
  <si>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</si>
  <si>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</si>
  <si>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</si>
  <si>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</si>
  <si>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</si>
  <si>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</si>
  <si>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</si>
  <si>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</si>
  <si>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</si>
  <si>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</si>
  <si>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</si>
  <si>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</si>
  <si>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</si>
  <si>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</si>
  <si>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</si>
  <si>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</si>
  <si>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</si>
  <si>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</si>
  <si>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</si>
  <si>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</si>
  <si>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</si>
  <si>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</si>
  <si>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</si>
  <si>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</si>
  <si>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</si>
  <si>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</si>
  <si>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</si>
  <si>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</si>
  <si>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</si>
  <si>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</si>
  <si>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</si>
  <si>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</si>
  <si>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</si>
  <si>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</si>
  <si>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</si>
  <si>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</si>
  <si>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</si>
  <si>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</si>
  <si>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</si>
  <si>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</si>
  <si>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</si>
  <si>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</si>
  <si>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</si>
  <si>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</si>
  <si>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</si>
  <si>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</si>
  <si>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</si>
  <si>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</si>
  <si>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</si>
  <si>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</si>
  <si>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</si>
  <si>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</si>
  <si>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</si>
  <si>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</si>
  <si>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</si>
  <si>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</si>
  <si>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</si>
  <si>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</si>
  <si>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</si>
  <si>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</si>
  <si>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</si>
  <si>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</si>
  <si>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</si>
  <si>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</si>
  <si>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</si>
  <si>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</si>
  <si>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</si>
  <si>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</si>
  <si>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</si>
  <si>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</si>
  <si>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</si>
  <si>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</si>
  <si>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</si>
  <si>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</si>
  <si>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</si>
  <si>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</si>
  <si>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</si>
  <si>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</si>
  <si>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</si>
  <si>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</si>
  <si>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</si>
  <si>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</si>
  <si>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</si>
  <si>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</si>
  <si>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</si>
  <si>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</si>
  <si>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</si>
  <si>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</si>
  <si>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</si>
  <si>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</si>
  <si>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</si>
  <si>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</si>
  <si>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</si>
  <si>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</si>
  <si>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</si>
  <si>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</si>
  <si>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</si>
  <si>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</si>
  <si>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</si>
  <si>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</si>
  <si>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</si>
  <si>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</si>
  <si>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</si>
  <si>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</si>
  <si>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</si>
  <si>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</si>
  <si>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</si>
  <si>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</si>
  <si>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</si>
  <si>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</si>
  <si>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</si>
  <si>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</si>
  <si>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</si>
  <si>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</si>
  <si>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</si>
  <si>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</si>
  <si>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</si>
  <si>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</si>
  <si>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</si>
  <si>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</si>
  <si>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</si>
  <si>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</si>
  <si>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</si>
  <si>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</si>
  <si>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</si>
  <si>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</si>
  <si>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</si>
  <si>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</si>
  <si>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</si>
  <si>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</si>
  <si>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</si>
  <si>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</si>
  <si>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</si>
  <si>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</si>
  <si>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</si>
  <si>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</si>
  <si>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</si>
  <si>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</si>
  <si>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</si>
  <si>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</si>
  <si>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</si>
  <si>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</si>
  <si>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</si>
  <si>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</si>
  <si>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</si>
  <si>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</si>
  <si>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</si>
  <si>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</si>
  <si>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</si>
  <si>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</si>
  <si>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</si>
  <si>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</si>
  <si>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</si>
  <si>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</si>
  <si>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</si>
  <si>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</si>
  <si>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</si>
  <si>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</si>
  <si>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</si>
  <si>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</si>
  <si>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</si>
  <si>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</si>
  <si>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</si>
  <si>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</si>
  <si>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</si>
  <si>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</si>
  <si>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</si>
  <si>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</si>
  <si>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</si>
  <si>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</si>
  <si>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</si>
  <si>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</si>
  <si>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</si>
  <si>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</si>
  <si>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</si>
  <si>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</si>
  <si>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</si>
  <si>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</si>
  <si>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</si>
  <si>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</si>
  <si>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</si>
  <si>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</si>
  <si>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</si>
  <si>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</si>
  <si>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</si>
  <si>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</si>
  <si>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</si>
  <si>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</si>
  <si>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</si>
  <si>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</si>
  <si>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</si>
  <si>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</si>
  <si>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</si>
  <si>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</si>
  <si>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</si>
  <si>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</si>
  <si>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</si>
  <si>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</si>
  <si>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</si>
  <si>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</si>
  <si>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</si>
  <si>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</si>
  <si>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</si>
  <si>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</si>
  <si>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</si>
  <si>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</si>
  <si>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</si>
  <si>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</si>
  <si>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</si>
  <si>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</si>
  <si>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</si>
  <si>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</si>
  <si>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</si>
  <si>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</si>
  <si>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</si>
  <si>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</si>
  <si>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</si>
  <si>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</si>
  <si>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</si>
  <si>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</si>
  <si>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</si>
  <si>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</si>
  <si>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</si>
  <si>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</si>
  <si>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</si>
  <si>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</si>
  <si>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</si>
  <si>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</si>
  <si>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</si>
  <si>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</si>
  <si>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</si>
  <si>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</si>
  <si>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</si>
  <si>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</si>
  <si>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</si>
  <si>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</si>
  <si>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</si>
  <si>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</si>
  <si>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</si>
  <si>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</si>
  <si>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</si>
  <si>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</si>
  <si>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</si>
  <si>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</si>
  <si>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</si>
  <si>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</si>
  <si>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</si>
  <si>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</si>
  <si>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</si>
  <si>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</si>
  <si>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</si>
  <si>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</si>
  <si>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</si>
  <si>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</si>
  <si>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</si>
  <si>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</si>
  <si>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</si>
  <si>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</si>
  <si>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</si>
  <si>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</si>
  <si>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</si>
  <si>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</si>
  <si>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</si>
  <si>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</si>
  <si>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</si>
  <si>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</si>
  <si>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</si>
  <si>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</si>
  <si>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</si>
  <si>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</si>
  <si>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</si>
  <si>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</si>
  <si>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</si>
  <si>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</si>
  <si>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</si>
  <si>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</si>
  <si>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</si>
  <si>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</si>
  <si>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</si>
  <si>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</si>
  <si>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</si>
  <si>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</si>
  <si>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</si>
  <si>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</si>
  <si>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</si>
  <si>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</si>
  <si>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</si>
  <si>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</si>
  <si>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</si>
  <si>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</si>
  <si>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</si>
  <si>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</si>
  <si>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</si>
  <si>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</si>
  <si>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</si>
  <si>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</si>
  <si>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</si>
  <si>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</si>
  <si>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</si>
  <si>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</si>
  <si>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</si>
  <si>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</si>
  <si>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</si>
  <si>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</si>
  <si>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</si>
  <si>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</si>
  <si>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</si>
  <si>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</si>
  <si>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</si>
  <si>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</si>
  <si>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</si>
  <si>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</si>
  <si>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</si>
  <si>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</si>
  <si>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</si>
  <si>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</si>
  <si>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</si>
  <si>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</si>
  <si>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</si>
  <si>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</si>
  <si>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</si>
  <si>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</si>
  <si>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</si>
  <si>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</si>
  <si>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</si>
  <si>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</si>
  <si>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</si>
  <si>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</si>
  <si>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</si>
  <si>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</si>
  <si>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</si>
  <si>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</si>
  <si>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</si>
  <si>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</si>
  <si>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</si>
  <si>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</si>
  <si>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</si>
  <si>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</si>
  <si>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</si>
  <si>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</si>
  <si>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</si>
  <si>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</si>
  <si>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</si>
  <si>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</si>
  <si>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</si>
  <si>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</si>
  <si>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</si>
  <si>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</si>
  <si>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</si>
  <si>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</si>
  <si>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</si>
  <si>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</si>
  <si>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</si>
  <si>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</si>
  <si>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</si>
  <si>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</si>
  <si>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</si>
  <si>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</si>
  <si>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</si>
  <si>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</si>
  <si>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</si>
  <si>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</si>
  <si>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</si>
  <si>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</si>
  <si>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</si>
  <si>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</si>
  <si>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</si>
  <si>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</si>
  <si>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</si>
  <si>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</si>
  <si>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</si>
  <si>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</si>
  <si>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</si>
  <si>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</si>
  <si>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</si>
  <si>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</si>
  <si>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</si>
  <si>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</si>
  <si>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</si>
  <si>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</si>
  <si>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</si>
  <si>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</si>
  <si>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</si>
  <si>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</si>
  <si>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</si>
  <si>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</si>
  <si>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</si>
  <si>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</si>
  <si>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</si>
  <si>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</si>
  <si>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</si>
  <si>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</si>
  <si>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</si>
  <si>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</si>
  <si>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</si>
  <si>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</si>
  <si>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</si>
  <si>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</si>
  <si>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</si>
  <si>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</si>
  <si>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</si>
  <si>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</si>
  <si>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</si>
  <si>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</si>
  <si>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</si>
  <si>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</si>
  <si>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</si>
  <si>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</si>
  <si>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</si>
  <si>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</si>
  <si>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</si>
  <si>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</si>
  <si>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</si>
  <si>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</si>
  <si>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</si>
  <si>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</si>
  <si>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</si>
  <si>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</si>
  <si>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</si>
  <si>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</si>
  <si>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</si>
  <si>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</si>
  <si>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</si>
  <si>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</si>
  <si>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</si>
  <si>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</si>
  <si>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</si>
  <si>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</si>
  <si>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</si>
  <si>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</si>
  <si>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</si>
  <si>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</si>
  <si>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</si>
  <si>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</si>
  <si>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</si>
  <si>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</si>
  <si>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</si>
  <si>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</si>
  <si>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</si>
  <si>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</si>
  <si>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</si>
  <si>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</si>
  <si>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</si>
  <si>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</si>
  <si>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</si>
  <si>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</si>
  <si>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</si>
  <si>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</si>
  <si>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</si>
  <si>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</si>
  <si>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</si>
  <si>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</si>
  <si>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</si>
  <si>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</si>
  <si>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</si>
  <si>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</si>
  <si>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</si>
  <si>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</si>
  <si>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</si>
  <si>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</si>
  <si>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</si>
  <si>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</si>
  <si>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</si>
  <si>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</si>
  <si>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</si>
  <si>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</si>
  <si>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</si>
  <si>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</si>
  <si>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</si>
  <si>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</si>
  <si>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</si>
  <si>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</si>
  <si>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</si>
  <si>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</si>
  <si>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</si>
  <si>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</si>
  <si>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</si>
  <si>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</si>
  <si>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</si>
  <si>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</si>
  <si>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</si>
  <si>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</si>
  <si>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</si>
  <si>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</si>
  <si>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</si>
  <si>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</si>
  <si>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</si>
  <si>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</si>
  <si>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</si>
  <si>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</si>
  <si>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</si>
  <si>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</si>
  <si>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</si>
  <si>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</si>
  <si>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</si>
  <si>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</si>
  <si>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</si>
  <si>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</si>
  <si>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</si>
  <si>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</si>
  <si>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</si>
  <si>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</si>
  <si>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</si>
  <si>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</si>
  <si>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</si>
  <si>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</si>
  <si>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</si>
  <si>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</si>
  <si>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</si>
  <si>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</si>
  <si>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</si>
  <si>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</si>
  <si>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</si>
  <si>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</si>
  <si>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</si>
  <si>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</si>
  <si>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</si>
  <si>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</si>
  <si>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</si>
  <si>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</si>
  <si>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</si>
  <si>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</si>
  <si>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</si>
  <si>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</si>
  <si>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</si>
  <si>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</si>
  <si>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</si>
  <si>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</si>
  <si>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</si>
  <si>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</si>
  <si>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</si>
  <si>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</si>
  <si>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</si>
  <si>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</si>
  <si>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</si>
  <si>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</si>
  <si>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</si>
  <si>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</si>
  <si>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</si>
  <si>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</si>
  <si>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</si>
  <si>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</si>
  <si>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</si>
  <si>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</si>
  <si>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</si>
  <si>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</si>
  <si>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</si>
  <si>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</si>
  <si>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</si>
  <si>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</si>
  <si>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</si>
  <si>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</si>
  <si>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</si>
  <si>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</si>
  <si>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</si>
  <si>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</si>
  <si>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</si>
  <si>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</si>
  <si>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</si>
  <si>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</si>
  <si>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</si>
  <si>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</si>
  <si>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</si>
  <si>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</si>
  <si>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</si>
  <si>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</si>
  <si>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</si>
  <si>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</si>
  <si>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</si>
  <si>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</si>
  <si>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</si>
  <si>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</si>
  <si>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</si>
  <si>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</si>
  <si>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</si>
  <si>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</si>
  <si>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</si>
  <si>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</si>
  <si>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</si>
  <si>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</si>
  <si>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</si>
  <si>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</si>
  <si>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</si>
  <si>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</si>
  <si>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</si>
  <si>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</si>
  <si>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</si>
  <si>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</si>
  <si>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</si>
  <si>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</si>
  <si>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</si>
  <si>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</si>
  <si>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</si>
  <si>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</si>
  <si>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</si>
  <si>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</si>
  <si>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</si>
  <si>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</si>
  <si>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</si>
  <si>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</si>
  <si>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</si>
  <si>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</si>
  <si>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</si>
  <si>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</si>
  <si>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</si>
  <si>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</si>
  <si>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</si>
  <si>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</si>
  <si>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</si>
  <si>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</si>
  <si>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</si>
  <si>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</si>
  <si>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</si>
  <si>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</si>
  <si>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</si>
  <si>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</si>
  <si>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</si>
  <si>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</si>
  <si>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</si>
  <si>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</si>
  <si>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</si>
  <si>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</si>
  <si>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</si>
  <si>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</si>
  <si>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</si>
  <si>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</si>
  <si>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</si>
  <si>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</si>
  <si>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</si>
  <si>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</si>
  <si>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</si>
  <si>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</si>
  <si>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</si>
  <si>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</si>
  <si>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</si>
  <si>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</si>
  <si>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</si>
  <si>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</si>
  <si>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</si>
  <si>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</si>
  <si>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</si>
  <si>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</si>
  <si>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</si>
  <si>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</si>
  <si>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</si>
  <si>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</si>
  <si>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</si>
  <si>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</si>
  <si>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</si>
  <si>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</si>
  <si>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</si>
  <si>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</si>
  <si>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</si>
  <si>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</si>
  <si>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</si>
  <si>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</si>
  <si>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</si>
  <si>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</si>
  <si>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</si>
  <si>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</si>
  <si>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</si>
  <si>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</si>
  <si>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</si>
  <si>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</si>
  <si>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</si>
  <si>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</si>
  <si>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</si>
  <si>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</si>
  <si>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</si>
  <si>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</si>
  <si>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</si>
  <si>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</si>
  <si>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</si>
  <si>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</si>
  <si>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</si>
  <si>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</si>
  <si>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</si>
  <si>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</si>
  <si>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</si>
  <si>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</si>
  <si>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</si>
  <si>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</si>
  <si>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</si>
  <si>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</si>
  <si>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</si>
  <si>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</si>
  <si>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</si>
  <si>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</si>
  <si>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</si>
  <si>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</si>
  <si>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</si>
  <si>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</si>
  <si>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</si>
  <si>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</si>
  <si>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</si>
  <si>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</si>
  <si>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</si>
  <si>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</si>
  <si>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</si>
  <si>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</si>
  <si>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</si>
  <si>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</si>
  <si>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</si>
  <si>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</si>
  <si>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</si>
  <si>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</si>
  <si>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</si>
  <si>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</si>
  <si>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</si>
  <si>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</si>
  <si>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</si>
  <si>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</si>
  <si>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</si>
  <si>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</si>
  <si>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</si>
  <si>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</si>
  <si>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</si>
  <si>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</si>
  <si>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</si>
  <si>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</si>
  <si>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</si>
  <si>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</si>
  <si>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</si>
  <si>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</si>
  <si>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</si>
  <si>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</si>
  <si>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</si>
  <si>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</si>
  <si>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</si>
  <si>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</si>
  <si>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</si>
  <si>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</si>
  <si>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</si>
  <si>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</si>
  <si>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</si>
  <si>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</si>
  <si>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</si>
  <si>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</si>
  <si>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</si>
  <si>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</si>
  <si>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</si>
  <si>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</si>
  <si>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</si>
  <si>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</si>
  <si>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</si>
  <si>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</si>
  <si>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</si>
  <si>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</si>
  <si>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</si>
  <si>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</si>
  <si>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</si>
  <si>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</si>
  <si>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</si>
  <si>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</si>
  <si>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</si>
  <si>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</si>
  <si>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</si>
  <si>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</si>
  <si>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</si>
  <si>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</si>
  <si>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</si>
  <si>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</si>
  <si>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</si>
  <si>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</si>
  <si>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</si>
  <si>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</si>
  <si>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</si>
  <si>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</si>
  <si>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</si>
  <si>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</si>
  <si>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</si>
  <si>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</si>
  <si>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</si>
  <si>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</si>
  <si>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</si>
  <si>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</si>
  <si>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</si>
  <si>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</si>
  <si>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</si>
  <si>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</si>
  <si>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</si>
  <si>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</si>
  <si>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</si>
  <si>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</si>
  <si>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</si>
  <si>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</si>
  <si>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</si>
  <si>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</si>
  <si>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</si>
  <si>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</si>
  <si>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</si>
  <si>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</si>
  <si>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</si>
  <si>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</si>
  <si>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</si>
  <si>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</si>
  <si>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</si>
  <si>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</si>
  <si>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</si>
  <si>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</si>
  <si>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</si>
  <si>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</si>
  <si>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</si>
  <si>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</si>
  <si>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</si>
  <si>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</si>
  <si>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</si>
  <si>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</si>
  <si>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</si>
  <si>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</si>
  <si>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</si>
  <si>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</si>
  <si>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</si>
  <si>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</si>
  <si>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</si>
  <si>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</si>
  <si>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</si>
  <si>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</si>
  <si>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</si>
  <si>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</si>
  <si>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</si>
  <si>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</si>
  <si>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</si>
  <si>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</si>
  <si>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</si>
  <si>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</si>
  <si>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</si>
  <si>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</si>
  <si>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</si>
  <si>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</si>
  <si>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</si>
  <si>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</si>
  <si>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</si>
  <si>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</si>
  <si>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</si>
  <si>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</si>
  <si>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</si>
  <si>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</si>
  <si>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</si>
  <si>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</si>
  <si>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</si>
  <si>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</si>
  <si>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</si>
  <si>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</si>
  <si>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</si>
  <si>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</si>
  <si>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</si>
  <si>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</si>
  <si>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</si>
  <si>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</si>
  <si>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</si>
  <si>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</si>
  <si>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</si>
  <si>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</si>
  <si>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</si>
  <si>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</si>
  <si>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</si>
  <si>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</si>
  <si>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</si>
  <si>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</si>
  <si>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</si>
  <si>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</si>
  <si>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</si>
  <si>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</si>
  <si>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</si>
  <si>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</si>
  <si>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</si>
  <si>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</si>
  <si>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</si>
  <si>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</si>
  <si>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</si>
  <si>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</si>
  <si>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</si>
  <si>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</si>
  <si>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</si>
  <si>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</si>
  <si>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</si>
  <si>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</si>
  <si>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</si>
  <si>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</si>
  <si>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</si>
  <si>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</si>
  <si>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</si>
  <si>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</si>
  <si>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</si>
  <si>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</si>
  <si>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</si>
  <si>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</si>
  <si>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</si>
  <si>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</si>
  <si>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</si>
  <si>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</si>
  <si>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</si>
  <si>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</si>
  <si>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</si>
  <si>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</si>
  <si>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</si>
  <si>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</si>
  <si>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</si>
  <si>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</si>
  <si>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</si>
  <si>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</si>
  <si>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</si>
  <si>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</si>
  <si>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</si>
  <si>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</si>
  <si>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</si>
  <si>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</si>
  <si>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</si>
  <si>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</si>
  <si>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</si>
  <si>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</si>
  <si>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</si>
  <si>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</si>
  <si>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</si>
  <si>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</si>
  <si>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</si>
  <si>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</si>
  <si>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</si>
  <si>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</si>
  <si>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</si>
  <si>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</si>
  <si>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</si>
  <si>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</si>
  <si>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</si>
  <si>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</si>
  <si>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</si>
  <si>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</si>
  <si>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</si>
  <si>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</si>
  <si>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</si>
  <si>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</si>
  <si>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</si>
  <si>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</si>
  <si>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</si>
  <si>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</si>
  <si>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</si>
  <si>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</si>
  <si>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</si>
  <si>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</si>
  <si>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</si>
  <si>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</si>
  <si>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</si>
  <si>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</si>
  <si>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</si>
  <si>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</si>
  <si>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</si>
  <si>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</si>
  <si>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</si>
  <si>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</si>
  <si>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</si>
  <si>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</si>
  <si>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</si>
  <si>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</si>
  <si>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</si>
  <si>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</si>
  <si>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</si>
  <si>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</si>
  <si>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</si>
  <si>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</si>
  <si>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</si>
  <si>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</si>
  <si>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</si>
  <si>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</si>
  <si>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</si>
  <si>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</si>
  <si>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</si>
  <si>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</si>
  <si>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</si>
  <si>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</si>
  <si>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</si>
  <si>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</si>
  <si>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</si>
  <si>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</si>
  <si>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</si>
  <si>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</si>
  <si>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</si>
  <si>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</si>
  <si>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</si>
  <si>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</si>
  <si>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</si>
  <si>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</si>
  <si>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</si>
  <si>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</si>
  <si>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</si>
  <si>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</si>
  <si>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</si>
  <si>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</si>
  <si>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</si>
  <si>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</si>
  <si>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</si>
  <si>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</si>
  <si>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</si>
  <si>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</si>
  <si>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</si>
  <si>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</si>
  <si>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</si>
  <si>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</si>
  <si>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</si>
  <si>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</si>
  <si>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</si>
  <si>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</si>
  <si>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</si>
  <si>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</si>
  <si>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</si>
  <si>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</si>
  <si>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</si>
  <si>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</si>
  <si>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</si>
  <si>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</si>
  <si>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</si>
  <si>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</si>
  <si>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</si>
  <si>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</si>
  <si>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</si>
  <si>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</si>
  <si>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</si>
  <si>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</si>
  <si>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</si>
  <si>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</si>
  <si>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</si>
  <si>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</si>
  <si>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</si>
  <si>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</si>
  <si>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</si>
  <si>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</si>
  <si>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</si>
  <si>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</si>
  <si>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</si>
  <si>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</si>
  <si>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</si>
  <si>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</si>
  <si>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</si>
  <si>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</si>
  <si>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</si>
  <si>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</si>
  <si>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</si>
  <si>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</si>
  <si>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</si>
  <si>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</si>
  <si>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</si>
  <si>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</si>
  <si>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</si>
  <si>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</si>
  <si>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</si>
  <si>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</si>
  <si>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</si>
  <si>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</si>
  <si>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</si>
  <si>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</si>
  <si>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</si>
  <si>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</si>
  <si>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</si>
  <si>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</si>
  <si>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</si>
  <si>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</si>
  <si>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</si>
  <si>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</si>
  <si>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</si>
  <si>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</si>
  <si>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</si>
  <si>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</si>
  <si>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</si>
  <si>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</si>
  <si>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</si>
  <si>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</si>
  <si>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</si>
  <si>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</si>
  <si>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</si>
  <si>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</si>
  <si>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</si>
  <si>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</si>
  <si>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</si>
  <si>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</si>
  <si>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</si>
  <si>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</si>
  <si>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</si>
  <si>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</si>
  <si>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</si>
  <si>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</si>
  <si>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</si>
  <si>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</si>
  <si>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</si>
  <si>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</si>
  <si>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</si>
  <si>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</si>
  <si>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</si>
  <si>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</si>
  <si>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</si>
  <si>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</si>
  <si>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</si>
  <si>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</si>
  <si>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</si>
  <si>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</si>
  <si>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</si>
  <si>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</si>
  <si>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</si>
  <si>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</si>
  <si>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</si>
  <si>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</si>
  <si>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</si>
  <si>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</si>
  <si>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</si>
  <si>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</si>
  <si>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</si>
  <si>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</si>
  <si>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</si>
  <si>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</si>
  <si>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</si>
  <si>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</si>
  <si>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</si>
  <si>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</si>
  <si>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</si>
  <si>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</si>
  <si>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</si>
  <si>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</si>
  <si>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</si>
  <si>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</si>
  <si>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</si>
  <si>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</si>
  <si>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</si>
  <si>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</si>
  <si>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</si>
  <si>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</si>
  <si>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</si>
  <si>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</si>
  <si>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</si>
  <si>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</si>
  <si>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</si>
  <si>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</si>
  <si>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</si>
  <si>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</si>
  <si>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</si>
  <si>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</si>
  <si>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</si>
  <si>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</si>
  <si>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</si>
  <si>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</si>
  <si>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</si>
  <si>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</si>
  <si>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</si>
  <si>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</si>
  <si>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</si>
  <si>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</si>
  <si>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</si>
  <si>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</si>
  <si>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</si>
  <si>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</si>
  <si>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</si>
  <si>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</si>
  <si>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</si>
  <si>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</si>
  <si>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</si>
  <si>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</si>
  <si>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</si>
  <si>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</si>
  <si>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</si>
  <si>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</si>
  <si>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</si>
  <si>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</si>
  <si>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</si>
  <si>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</si>
  <si>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</si>
  <si>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</si>
  <si>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</si>
  <si>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</si>
  <si>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</si>
  <si>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</si>
  <si>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</si>
  <si>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</si>
  <si>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</si>
  <si>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</si>
  <si>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</si>
  <si>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</si>
  <si>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</si>
  <si>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</si>
  <si>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</si>
  <si>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</si>
  <si>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</si>
  <si>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</si>
  <si>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</si>
  <si>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</si>
  <si>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</si>
  <si>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</si>
  <si>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</si>
  <si>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</si>
  <si>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</si>
  <si>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</si>
  <si>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</si>
  <si>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</si>
  <si>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</si>
  <si>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</si>
  <si>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</si>
  <si>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</si>
  <si>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</si>
  <si>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</si>
  <si>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</si>
  <si>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</si>
  <si>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</si>
  <si>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</si>
  <si>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</si>
  <si>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</si>
  <si>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</si>
  <si>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</si>
  <si>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</si>
  <si>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</si>
  <si>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</si>
  <si>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</si>
  <si>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</si>
  <si>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</si>
  <si>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</si>
  <si>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</si>
  <si>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</si>
  <si>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</si>
  <si>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</si>
  <si>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</si>
  <si>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</si>
  <si>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</si>
  <si>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</si>
  <si>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</si>
  <si>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</si>
  <si>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</si>
  <si>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</si>
  <si>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</si>
  <si>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</si>
  <si>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</si>
  <si>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</si>
  <si>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</si>
  <si>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</si>
  <si>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</si>
  <si>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</si>
  <si>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</si>
  <si>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</si>
  <si>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</si>
  <si>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</si>
  <si>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</si>
  <si>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</si>
  <si>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</si>
  <si>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</si>
  <si>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</si>
  <si>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</si>
  <si>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</si>
  <si>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</si>
  <si>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</si>
  <si>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</si>
  <si>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</si>
  <si>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</si>
  <si>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</si>
  <si>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</si>
  <si>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</si>
  <si>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</si>
  <si>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</si>
  <si>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</si>
  <si>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</si>
  <si>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</si>
  <si>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</si>
  <si>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</si>
  <si>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</si>
  <si>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</si>
  <si>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</si>
  <si>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</si>
  <si>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</si>
  <si>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</si>
  <si>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</si>
  <si>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</si>
  <si>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</si>
  <si>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</si>
  <si>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</si>
  <si>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</si>
  <si>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</si>
  <si>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</si>
  <si>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</si>
  <si>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</si>
  <si>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</si>
  <si>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</si>
  <si>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</si>
  <si>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</si>
  <si>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</si>
  <si>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</si>
  <si>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</si>
  <si>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</si>
  <si>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</si>
  <si>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</si>
  <si>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</si>
  <si>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</si>
  <si>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</si>
  <si>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</si>
  <si>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</si>
  <si>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</si>
  <si>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</si>
  <si>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</si>
  <si>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</si>
  <si>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</si>
  <si>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</si>
  <si>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</si>
  <si>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</si>
  <si>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</si>
  <si>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</si>
  <si>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</si>
  <si>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</si>
  <si>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</si>
  <si>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</si>
  <si>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</si>
  <si>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</si>
  <si>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</si>
  <si>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</si>
  <si>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</si>
  <si>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</si>
  <si>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</si>
  <si>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</si>
  <si>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</si>
  <si>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</si>
  <si>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</si>
  <si>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</si>
  <si>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</si>
  <si>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</si>
  <si>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</si>
  <si>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</si>
  <si>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</si>
  <si>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</si>
  <si>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</si>
  <si>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</si>
  <si>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</si>
  <si>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</si>
  <si>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</si>
  <si>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</si>
  <si>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</si>
  <si>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</si>
  <si>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</si>
  <si>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</si>
  <si>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</si>
  <si>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</si>
  <si>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</si>
  <si>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</si>
  <si>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</si>
  <si>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</si>
  <si>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</si>
  <si>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</si>
  <si>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</si>
  <si>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</si>
  <si>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</si>
  <si>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</si>
  <si>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</si>
  <si>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</si>
  <si>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</si>
  <si>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</si>
  <si>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</si>
  <si>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</si>
  <si>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</si>
  <si>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</si>
  <si>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</si>
  <si>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</si>
  <si>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</si>
  <si>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</si>
  <si>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</si>
  <si>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</si>
  <si>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</si>
  <si>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</si>
  <si>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</si>
  <si>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</si>
  <si>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</si>
  <si>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</si>
  <si>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</si>
  <si>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</si>
  <si>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</si>
  <si>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</si>
  <si>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</si>
  <si>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</si>
  <si>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</si>
  <si>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</si>
  <si>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</si>
  <si>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</si>
  <si>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</si>
  <si>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</si>
  <si>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</si>
  <si>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</si>
  <si>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</si>
  <si>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</si>
  <si>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</si>
  <si>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</si>
  <si>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</si>
  <si>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</si>
  <si>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</si>
  <si>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</si>
  <si>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</si>
  <si>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</si>
  <si>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</si>
  <si>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</si>
  <si>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</si>
  <si>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</si>
  <si>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</si>
  <si>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</si>
  <si>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</si>
  <si>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</si>
  <si>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</si>
  <si>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</si>
  <si>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</si>
  <si>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</si>
  <si>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</si>
  <si>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</si>
  <si>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</si>
  <si>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</si>
  <si>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</si>
  <si>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</si>
  <si>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</si>
  <si>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</si>
  <si>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</si>
  <si>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</si>
  <si>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</si>
  <si>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</si>
  <si>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</si>
  <si>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</si>
  <si>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</si>
  <si>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</si>
  <si>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</si>
  <si>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</si>
  <si>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</si>
  <si>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</si>
  <si>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</si>
  <si>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</si>
  <si>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</si>
  <si>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</si>
  <si>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</si>
  <si>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</si>
  <si>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</si>
  <si>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</si>
  <si>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</si>
  <si>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</si>
  <si>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</si>
  <si>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</si>
  <si>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</si>
  <si>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</si>
  <si>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</si>
  <si>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</si>
  <si>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</si>
  <si>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</si>
  <si>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</si>
  <si>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</si>
  <si>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</si>
  <si>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</si>
  <si>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</si>
  <si>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</si>
  <si>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</si>
  <si>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</si>
  <si>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</si>
  <si>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</si>
  <si>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</si>
  <si>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</si>
  <si>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</si>
  <si>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</si>
  <si>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</si>
  <si>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</si>
  <si>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</si>
  <si>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</si>
  <si>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</si>
  <si>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</si>
  <si>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</si>
  <si>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</si>
  <si>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</si>
  <si>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</si>
  <si>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</si>
  <si>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</si>
  <si>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</si>
  <si>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</si>
  <si>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</si>
  <si>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</si>
  <si>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</si>
  <si>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</si>
  <si>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</si>
  <si>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</si>
  <si>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</si>
  <si>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</si>
  <si>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</si>
  <si>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</si>
  <si>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</si>
  <si>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</si>
  <si>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</si>
  <si>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</si>
  <si>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</si>
  <si>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</si>
  <si>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</si>
  <si>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</si>
  <si>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</si>
  <si>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</si>
  <si>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</si>
  <si>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</si>
  <si>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</si>
  <si>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</si>
  <si>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</si>
  <si>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</si>
  <si>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</si>
  <si>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</si>
  <si>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</si>
  <si>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</si>
  <si>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</si>
  <si>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</si>
  <si>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</si>
  <si>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</si>
  <si>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</si>
  <si>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</si>
  <si>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</si>
  <si>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</si>
  <si>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</si>
  <si>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</si>
  <si>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</si>
  <si>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</si>
  <si>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</si>
  <si>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</si>
  <si>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</si>
  <si>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</si>
  <si>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</si>
  <si>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</si>
  <si>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</si>
  <si>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</si>
  <si>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</si>
  <si>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</si>
  <si>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</si>
  <si>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</si>
  <si>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</si>
  <si>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</si>
  <si>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</si>
  <si>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</si>
  <si>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</si>
  <si>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</si>
  <si>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</si>
  <si>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</si>
  <si>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</si>
  <si>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</si>
  <si>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</si>
  <si>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</si>
  <si>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</si>
  <si>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</si>
  <si>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</si>
  <si>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</si>
  <si>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</si>
  <si>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</si>
  <si>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</si>
  <si>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</si>
  <si>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</si>
  <si>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</si>
  <si>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</si>
  <si>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</si>
  <si>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</si>
  <si>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</si>
  <si>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</si>
  <si>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</si>
  <si>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</si>
  <si>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</si>
  <si>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</si>
  <si>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</si>
  <si>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</si>
  <si>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</si>
  <si>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</si>
  <si>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</si>
  <si>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</si>
  <si>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</si>
  <si>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</si>
  <si>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</si>
  <si>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</si>
  <si>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</si>
  <si>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</si>
  <si>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</si>
  <si>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</si>
  <si>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</si>
  <si>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</si>
  <si>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</si>
  <si>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</si>
  <si>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</si>
  <si>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</si>
  <si>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</si>
  <si>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</si>
  <si>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</si>
  <si>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</si>
  <si>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</si>
  <si>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</si>
  <si>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</si>
  <si>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</si>
  <si>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</si>
  <si>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</si>
  <si>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</si>
  <si>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</si>
  <si>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</si>
  <si>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</si>
  <si>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</si>
  <si>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</si>
  <si>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</si>
  <si>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</si>
  <si>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</si>
  <si>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</si>
  <si>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</si>
  <si>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</si>
  <si>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</si>
  <si>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</si>
  <si>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</si>
  <si>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</si>
  <si>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</si>
  <si>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</si>
  <si>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</si>
  <si>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</si>
  <si>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</si>
  <si>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</si>
  <si>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</si>
  <si>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</si>
  <si>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</si>
  <si>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</si>
  <si>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</si>
  <si>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</si>
  <si>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</si>
  <si>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</si>
  <si>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</si>
  <si>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</si>
  <si>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</si>
  <si>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</si>
  <si>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</si>
  <si>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</si>
  <si>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</si>
  <si>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</si>
  <si>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</si>
  <si>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</si>
  <si>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</si>
  <si>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</si>
  <si>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</si>
  <si>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</si>
  <si>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</si>
  <si>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</si>
  <si>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</si>
  <si>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</si>
  <si>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</si>
  <si>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</si>
  <si>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</si>
  <si>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</si>
  <si>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</si>
  <si>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</si>
  <si>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</si>
  <si>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</si>
  <si>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</si>
  <si>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</si>
  <si>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</si>
  <si>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</si>
  <si>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</si>
  <si>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</si>
  <si>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</si>
  <si>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</si>
  <si>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</si>
  <si>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</si>
  <si>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</si>
  <si>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</si>
  <si>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</si>
  <si>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</si>
  <si>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</si>
  <si>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</si>
  <si>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</si>
  <si>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</si>
  <si>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</si>
  <si>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</si>
  <si>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</si>
  <si>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</si>
  <si>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</si>
  <si>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</si>
  <si>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</si>
  <si>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</si>
  <si>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</si>
  <si>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</si>
  <si>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</si>
  <si>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</si>
  <si>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</si>
  <si>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</si>
  <si>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</si>
  <si>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</si>
  <si>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</si>
  <si>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</si>
  <si>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</si>
  <si>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</si>
  <si>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</si>
  <si>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</si>
  <si>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</si>
  <si>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</si>
  <si>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</si>
  <si>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</si>
  <si>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</si>
  <si>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</si>
  <si>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</si>
  <si>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</si>
  <si>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</si>
  <si>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</si>
  <si>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</si>
  <si>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</si>
  <si>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</si>
  <si>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</si>
  <si>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</si>
  <si>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</si>
  <si>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</si>
  <si>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</si>
  <si>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</si>
  <si>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</si>
  <si>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</si>
  <si>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</si>
  <si>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</si>
  <si>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</si>
  <si>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</si>
  <si>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</si>
  <si>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</si>
  <si>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</si>
  <si>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</si>
  <si>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</si>
  <si>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</si>
  <si>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</si>
  <si>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</si>
  <si>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</si>
  <si>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</si>
  <si>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</si>
  <si>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</si>
  <si>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</si>
  <si>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</si>
  <si>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</si>
  <si>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</si>
  <si>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</si>
  <si>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</si>
  <si>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</si>
  <si>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</si>
  <si>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</si>
  <si>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</si>
  <si>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</si>
  <si>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</si>
  <si>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</si>
  <si>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</si>
  <si>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</si>
  <si>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</si>
  <si>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</si>
  <si>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</si>
  <si>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</si>
  <si>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</si>
  <si>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</si>
  <si>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</si>
  <si>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</si>
  <si>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</si>
  <si>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</si>
  <si>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</si>
  <si>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</si>
  <si>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</si>
  <si>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</si>
  <si>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</si>
  <si>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</si>
  <si>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</si>
  <si>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</si>
  <si>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</si>
  <si>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</si>
  <si>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</si>
  <si>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</si>
  <si>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</si>
  <si>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</si>
  <si>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</si>
  <si>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</si>
  <si>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</si>
  <si>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</si>
  <si>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</si>
  <si>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</si>
  <si>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</si>
  <si>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</si>
  <si>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</si>
  <si>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</si>
  <si>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</si>
  <si>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</si>
  <si>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</si>
  <si>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</si>
  <si>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</si>
  <si>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</si>
  <si>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</si>
  <si>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</si>
  <si>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</si>
  <si>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</si>
  <si>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</si>
  <si>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</si>
  <si>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</si>
  <si>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</si>
  <si>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</si>
  <si>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</si>
  <si>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</si>
  <si>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</si>
  <si>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</si>
  <si>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</si>
  <si>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</si>
  <si>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</si>
  <si>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</si>
  <si>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</si>
  <si>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</si>
  <si>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</si>
  <si>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</si>
  <si>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</si>
  <si>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</si>
  <si>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</si>
  <si>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</si>
  <si>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</si>
  <si>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</si>
  <si>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</si>
  <si>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</si>
  <si>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</si>
  <si>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</si>
  <si>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</si>
  <si>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</si>
  <si>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</si>
  <si>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</si>
  <si>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</si>
  <si>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</si>
  <si>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</si>
  <si>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</si>
  <si>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</si>
  <si>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</si>
  <si>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</si>
  <si>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</si>
  <si>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</si>
  <si>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</si>
  <si>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</si>
  <si>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</si>
  <si>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</si>
  <si>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</si>
  <si>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</si>
  <si>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</si>
  <si>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</si>
  <si>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</si>
  <si>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</si>
  <si>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</si>
  <si>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</si>
  <si>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</si>
  <si>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</si>
  <si>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</si>
  <si>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</si>
  <si>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</si>
  <si>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</si>
  <si>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</si>
  <si>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</si>
  <si>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</si>
  <si>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</si>
  <si>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</si>
  <si>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</si>
  <si>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</si>
  <si>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</si>
  <si>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</si>
  <si>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</si>
  <si>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</si>
  <si>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</si>
  <si>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</si>
  <si>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</si>
  <si>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</si>
  <si>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</si>
  <si>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</si>
  <si>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</si>
  <si>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</si>
  <si>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</si>
  <si>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</si>
  <si>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</si>
  <si>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</si>
  <si>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</si>
  <si>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</si>
  <si>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</si>
  <si>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</si>
  <si>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</si>
  <si>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</si>
  <si>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</si>
  <si>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</si>
  <si>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</si>
  <si>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</si>
  <si>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</si>
  <si>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</si>
  <si>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</si>
  <si>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</si>
  <si>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</si>
  <si>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</si>
  <si>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</si>
  <si>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</si>
  <si>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</si>
  <si>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</si>
  <si>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</si>
  <si>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</si>
  <si>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</si>
  <si>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</si>
  <si>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</si>
  <si>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</si>
  <si>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</si>
  <si>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</si>
  <si>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</si>
  <si>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</si>
  <si>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</si>
  <si>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</si>
  <si>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</si>
  <si>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</si>
  <si>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</si>
  <si>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</si>
  <si>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</si>
  <si>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</si>
  <si>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</si>
  <si>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</si>
  <si>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</si>
  <si>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</si>
  <si>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</si>
  <si>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</si>
  <si>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</si>
  <si>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</si>
  <si>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</si>
  <si>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</si>
  <si>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</si>
  <si>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</si>
  <si>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</si>
  <si>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</si>
  <si>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</si>
  <si>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</si>
  <si>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</si>
  <si>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</si>
  <si>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</si>
  <si>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</si>
  <si>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</si>
  <si>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</si>
  <si>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</si>
  <si>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</si>
  <si>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</si>
  <si>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</si>
  <si>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</si>
  <si>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</si>
  <si>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</si>
  <si>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</si>
  <si>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</si>
  <si>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</si>
  <si>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</si>
  <si>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</si>
  <si>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</si>
  <si>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</si>
  <si>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</si>
  <si>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</si>
  <si>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</si>
  <si>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</si>
  <si>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</si>
  <si>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</si>
  <si>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</si>
  <si>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</si>
  <si>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</si>
  <si>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</si>
  <si>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</si>
  <si>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</si>
  <si>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</si>
  <si>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</si>
  <si>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</si>
  <si>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</si>
  <si>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</si>
  <si>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</si>
  <si>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</si>
  <si>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</si>
  <si>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</si>
  <si>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</si>
  <si>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</si>
  <si>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</si>
  <si>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</si>
  <si>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</si>
  <si>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</si>
  <si>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</si>
  <si>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</si>
  <si>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</si>
  <si>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</si>
  <si>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</si>
  <si>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</si>
  <si>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</si>
  <si>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</si>
  <si>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</si>
  <si>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</si>
  <si>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</si>
  <si>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</si>
  <si>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</si>
  <si>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</si>
  <si>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</si>
  <si>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</si>
  <si>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</si>
  <si>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</si>
  <si>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</si>
  <si>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</si>
  <si>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</si>
  <si>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</si>
  <si>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</si>
  <si>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</si>
  <si>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</si>
  <si>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</si>
  <si>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</si>
  <si>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</si>
  <si>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</si>
  <si>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</si>
  <si>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</si>
  <si>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</si>
  <si>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</si>
  <si>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</si>
  <si>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</si>
  <si>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</si>
  <si>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</si>
  <si>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</si>
  <si>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</si>
  <si>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</si>
  <si>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</si>
  <si>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</si>
  <si>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</si>
  <si>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</si>
  <si>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</si>
  <si>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</si>
  <si>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</si>
  <si>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</si>
  <si>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</si>
  <si>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</si>
  <si>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</si>
  <si>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</si>
  <si>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</si>
  <si>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</si>
  <si>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</si>
  <si>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</si>
  <si>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</si>
  <si>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</si>
  <si>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</si>
  <si>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</si>
  <si>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</si>
  <si>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</si>
  <si>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</si>
  <si>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</si>
  <si>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</si>
  <si>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</si>
  <si>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</si>
  <si>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</si>
  <si>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</si>
  <si>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</si>
  <si>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</si>
  <si>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</si>
  <si>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</si>
  <si>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</si>
  <si>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</si>
  <si>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</si>
  <si>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</si>
  <si>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</si>
  <si>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</si>
  <si>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</si>
  <si>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</si>
  <si>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</si>
  <si>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</si>
  <si>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</si>
  <si>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</si>
  <si>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</si>
  <si>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</si>
  <si>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</si>
  <si>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</si>
  <si>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</si>
  <si>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</si>
  <si>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</si>
  <si>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</si>
  <si>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</si>
  <si>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</si>
  <si>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</si>
  <si>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</si>
  <si>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</si>
  <si>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</si>
  <si>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</si>
  <si>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</si>
  <si>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</si>
  <si>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</si>
  <si>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</si>
  <si>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</si>
  <si>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</si>
  <si>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</si>
  <si>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</si>
  <si>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</si>
  <si>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</si>
  <si>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</si>
  <si>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</si>
  <si>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</si>
  <si>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</si>
  <si>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</si>
  <si>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</si>
  <si>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</si>
  <si>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</si>
  <si>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</si>
  <si>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</si>
  <si>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</si>
  <si>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</si>
  <si>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</si>
  <si>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</si>
  <si>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</si>
  <si>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</si>
  <si>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</si>
  <si>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</si>
  <si>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</si>
  <si>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</si>
  <si>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</si>
  <si>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</si>
  <si>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</si>
  <si>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</si>
  <si>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</si>
  <si>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</si>
  <si>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</si>
  <si>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</si>
  <si>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</si>
  <si>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</si>
  <si>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</si>
  <si>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</si>
  <si>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</si>
  <si>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</si>
  <si>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</si>
  <si>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</si>
  <si>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</si>
  <si>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</si>
  <si>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</si>
  <si>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</si>
  <si>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</si>
  <si>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</si>
  <si>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</si>
  <si>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</si>
  <si>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</si>
  <si>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</si>
  <si>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</si>
  <si>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</si>
  <si>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</si>
  <si>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</si>
  <si>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</si>
  <si>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</si>
  <si>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</si>
  <si>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</si>
  <si>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</si>
  <si>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</si>
  <si>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</si>
  <si>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</si>
  <si>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</si>
  <si>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</si>
  <si>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</si>
  <si>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</si>
  <si>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</si>
  <si>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</si>
  <si>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</si>
  <si>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</si>
  <si>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</si>
  <si>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</si>
  <si>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</si>
  <si>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</si>
  <si>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</si>
  <si>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</si>
  <si>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</si>
  <si>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</si>
  <si>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</si>
  <si>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</si>
  <si>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</si>
  <si>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</si>
  <si>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</si>
  <si>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</si>
  <si>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</si>
  <si>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</si>
  <si>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</si>
  <si>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</si>
  <si>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</si>
  <si>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</si>
  <si>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</si>
  <si>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</si>
  <si>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</si>
  <si>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</si>
  <si>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</si>
  <si>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</si>
  <si>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</si>
  <si>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</si>
  <si>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</si>
  <si>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</si>
  <si>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</si>
  <si>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</si>
  <si>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</si>
  <si>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</si>
  <si>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</si>
  <si>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</si>
  <si>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</si>
  <si>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</si>
  <si>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</si>
  <si>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</si>
  <si>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</si>
  <si>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</si>
  <si>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</si>
  <si>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</si>
  <si>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</si>
  <si>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</si>
  <si>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</si>
  <si>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</si>
  <si>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</si>
  <si>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</si>
  <si>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</si>
  <si>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</si>
  <si>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</si>
  <si>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</si>
  <si>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</si>
  <si>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</si>
  <si>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</si>
  <si>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</si>
  <si>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</si>
  <si>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</si>
  <si>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</si>
  <si>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</si>
  <si>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</si>
  <si>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</si>
  <si>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</si>
  <si>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</si>
  <si>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</si>
  <si>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</si>
  <si>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</si>
  <si>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</si>
  <si>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</si>
  <si>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</si>
  <si>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</si>
  <si>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</si>
  <si>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</si>
  <si>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</si>
  <si>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</si>
  <si>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</si>
  <si>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</si>
  <si>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</si>
  <si>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</si>
  <si>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</si>
  <si>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</si>
  <si>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</si>
  <si>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</si>
  <si>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</si>
  <si>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</si>
  <si>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</si>
  <si>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</si>
  <si>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</si>
  <si>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</si>
  <si>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</si>
  <si>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</si>
  <si>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</si>
  <si>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</si>
  <si>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</si>
  <si>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</si>
  <si>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</si>
  <si>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</si>
  <si>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</si>
  <si>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</si>
  <si>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</si>
  <si>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</si>
  <si>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</si>
  <si>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</si>
  <si>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</si>
  <si>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</si>
  <si>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</si>
  <si>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</si>
  <si>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</si>
  <si>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</si>
  <si>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</si>
  <si>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</si>
  <si>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</si>
  <si>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</si>
  <si>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</si>
  <si>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</si>
  <si>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</si>
  <si>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</si>
  <si>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</si>
  <si>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</si>
  <si>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</si>
  <si>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</si>
  <si>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</si>
  <si>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</si>
  <si>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</si>
  <si>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</si>
  <si>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</si>
  <si>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</si>
  <si>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</si>
  <si>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</si>
  <si>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</si>
  <si>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</si>
  <si>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</si>
  <si>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</si>
  <si>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</si>
  <si>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</si>
  <si>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</si>
  <si>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</si>
  <si>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</si>
  <si>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</si>
  <si>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</si>
  <si>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</si>
  <si>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</si>
  <si>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</si>
  <si>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</si>
  <si>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</si>
  <si>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</si>
  <si>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</si>
  <si>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</si>
  <si>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</si>
  <si>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</si>
  <si>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</si>
  <si>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</si>
  <si>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</si>
  <si>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</si>
  <si>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</si>
  <si>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</si>
  <si>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</si>
  <si>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</si>
  <si>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</si>
  <si>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</si>
  <si>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</si>
  <si>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</si>
  <si>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</si>
  <si>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</si>
  <si>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</si>
  <si>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</si>
  <si>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</si>
  <si>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</si>
  <si>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</si>
  <si>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</si>
  <si>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</si>
  <si>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</si>
  <si>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</si>
  <si>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</si>
  <si>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</si>
  <si>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</si>
  <si>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</si>
  <si>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</si>
  <si>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</si>
  <si>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</si>
  <si>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</si>
  <si>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</si>
  <si>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</si>
  <si>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</si>
  <si>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</si>
  <si>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</si>
  <si>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</si>
  <si>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</si>
  <si>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</si>
  <si>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</si>
  <si>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</si>
  <si>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</si>
  <si>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</si>
  <si>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</si>
  <si>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</si>
  <si>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</si>
  <si>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</si>
  <si>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</si>
  <si>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</si>
  <si>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</si>
  <si>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</si>
  <si>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</si>
  <si>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</si>
  <si>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</si>
  <si>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</si>
  <si>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</si>
  <si>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</si>
  <si>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</si>
  <si>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</si>
  <si>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</si>
  <si>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</si>
  <si>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</si>
  <si>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</si>
  <si>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</si>
  <si>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</si>
  <si>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</si>
  <si>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</si>
  <si>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</si>
  <si>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</si>
  <si>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</si>
  <si>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</si>
  <si>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</si>
  <si>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</si>
  <si>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</si>
  <si>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</si>
  <si>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</si>
  <si>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</si>
  <si>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</si>
  <si>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</si>
  <si>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</si>
  <si>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</si>
  <si>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</si>
  <si>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</si>
  <si>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</si>
  <si>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</si>
  <si>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</si>
  <si>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</si>
  <si>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</si>
  <si>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</si>
  <si>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</si>
  <si>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</si>
  <si>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</si>
  <si>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</si>
  <si>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</si>
  <si>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</si>
  <si>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</si>
  <si>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</si>
  <si>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</si>
  <si>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</si>
  <si>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</si>
  <si>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</si>
  <si>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</si>
  <si>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</si>
  <si>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</si>
  <si>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</si>
  <si>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</si>
  <si>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</si>
  <si>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</si>
  <si>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</si>
  <si>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</si>
  <si>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</si>
  <si>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</si>
  <si>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</si>
  <si>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</si>
  <si>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</si>
  <si>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</si>
  <si>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</si>
  <si>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</si>
  <si>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</si>
  <si>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</si>
  <si>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</si>
  <si>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</si>
  <si>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</si>
  <si>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</si>
  <si>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</si>
  <si>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</si>
  <si>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</si>
  <si>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</si>
  <si>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</si>
  <si>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</si>
  <si>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</si>
  <si>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</si>
  <si>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</si>
  <si>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</si>
  <si>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</si>
  <si>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</si>
  <si>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</si>
  <si>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</si>
  <si>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</si>
  <si>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</si>
  <si>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</si>
  <si>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</si>
  <si>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</si>
  <si>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</si>
  <si>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</si>
  <si>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</si>
  <si>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</si>
  <si>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</si>
  <si>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</si>
  <si>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</si>
  <si>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</si>
  <si>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</si>
  <si>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</si>
  <si>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</si>
  <si>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</si>
  <si>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</si>
  <si>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</si>
  <si>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</si>
  <si>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</si>
  <si>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</si>
  <si>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</si>
  <si>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</si>
  <si>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</si>
  <si>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</si>
  <si>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</si>
  <si>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</si>
  <si>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</si>
  <si>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</si>
  <si>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</si>
  <si>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</si>
  <si>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</si>
  <si>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</si>
  <si>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</si>
  <si>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</si>
  <si>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</si>
  <si>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</si>
  <si>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</si>
  <si>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</si>
  <si>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</si>
  <si>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</si>
  <si>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</si>
  <si>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</si>
  <si>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</si>
  <si>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</si>
  <si>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</si>
  <si>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</si>
  <si>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</si>
  <si>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</si>
  <si>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</si>
  <si>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</si>
  <si>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</si>
  <si>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</si>
  <si>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</si>
  <si>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</si>
  <si>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</si>
  <si>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</si>
  <si>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</si>
  <si>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</si>
  <si>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</si>
  <si>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</si>
  <si>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</si>
  <si>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</si>
  <si>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</si>
  <si>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</si>
  <si>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</si>
  <si>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</si>
  <si>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</si>
  <si>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</si>
  <si>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</si>
  <si>
    <t>Has 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</si>
</sst>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b/>
      <i/>
      <sz val="11"/>
      <color theme="1"/>
      <name val="Calibri"/>
      <family val="2"/>
      <scheme val="minor"/>
    </font>
    <font>
      <sz val="11"/>
      <color rgb="FF000000"/>
      <name val="Calibri"/>
      <family val="2"/>
    </font>
    <font>
      <sz val="11"/>
      <color theme="1"/>
      <name val="Calibri"/>
      <family val="2"/>
    </font>
    <font>
      <b/>
      <sz val="11"/>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45">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7" borderId="1" xfId="1" applyNumberFormat="1" applyFont="1" applyFill="1" applyBorder="1" applyAlignment="1">
      <alignment vertical="center"/>
    </xf>
    <xf numFmtId="0" fontId="0" fillId="0" borderId="0" xfId="0" applyAlignment="1">
      <alignment vertical="center"/>
    </xf>
    <xf numFmtId="0" fontId="18" fillId="0" borderId="0" xfId="0" applyFont="1" applyAlignment="1">
      <alignment vertical="center"/>
    </xf>
    <xf numFmtId="0" fontId="28"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29" fillId="0" borderId="0" xfId="0" applyFont="1"/>
    <xf numFmtId="14" fontId="30" fillId="0" borderId="0" xfId="0" applyNumberFormat="1" applyFont="1"/>
    <xf numFmtId="0" fontId="30"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0" fontId="1" fillId="22" borderId="0" xfId="0" applyFont="1" applyFill="1" applyAlignment="1">
      <alignment horizontal="left" wrapText="1"/>
    </xf>
    <xf numFmtId="3" fontId="0" fillId="23" borderId="0" xfId="0" applyNumberFormat="1" applyFill="1" applyAlignment="1">
      <alignment horizontal="center"/>
    </xf>
    <xf numFmtId="9" fontId="1" fillId="0" borderId="1" xfId="0" applyNumberFormat="1" applyFont="1" applyBorder="1" applyAlignment="1">
      <alignment vertical="center"/>
    </xf>
    <xf numFmtId="164" fontId="1" fillId="7" borderId="1" xfId="0" applyNumberFormat="1" applyFont="1" applyFill="1" applyBorder="1" applyAlignment="1">
      <alignment vertical="center"/>
    </xf>
    <xf numFmtId="164" fontId="1" fillId="0" borderId="1" xfId="0" applyNumberFormat="1" applyFont="1" applyBorder="1" applyAlignment="1">
      <alignment vertical="center"/>
    </xf>
    <xf numFmtId="9" fontId="1" fillId="18" borderId="1" xfId="0" applyNumberFormat="1" applyFont="1" applyFill="1" applyBorder="1" applyAlignment="1">
      <alignment vertical="center"/>
    </xf>
    <xf numFmtId="164" fontId="1" fillId="18" borderId="1" xfId="0" applyNumberFormat="1" applyFont="1" applyFill="1" applyBorder="1" applyAlignment="1">
      <alignment vertical="center"/>
    </xf>
    <xf numFmtId="9" fontId="1" fillId="7" borderId="1" xfId="0" applyNumberFormat="1" applyFont="1" applyFill="1" applyBorder="1" applyAlignment="1">
      <alignment vertical="center"/>
    </xf>
    <xf numFmtId="9" fontId="1" fillId="0" borderId="7" xfId="0" applyNumberFormat="1" applyFont="1" applyBorder="1" applyAlignment="1">
      <alignment vertical="center"/>
    </xf>
    <xf numFmtId="9" fontId="1" fillId="0" borderId="14" xfId="0" applyNumberFormat="1" applyFont="1" applyBorder="1" applyAlignment="1">
      <alignment vertical="center"/>
    </xf>
    <xf numFmtId="9" fontId="1" fillId="0" borderId="13" xfId="0" applyNumberFormat="1" applyFont="1" applyBorder="1" applyAlignment="1">
      <alignment vertical="center"/>
    </xf>
    <xf numFmtId="9" fontId="1" fillId="0" borderId="15" xfId="0" applyNumberFormat="1" applyFont="1" applyBorder="1" applyAlignment="1">
      <alignment vertical="center"/>
    </xf>
    <xf numFmtId="9" fontId="1" fillId="0" borderId="6" xfId="0" applyNumberFormat="1" applyFont="1" applyBorder="1" applyAlignment="1">
      <alignment vertical="center"/>
    </xf>
    <xf numFmtId="9" fontId="31" fillId="7" borderId="1" xfId="0" applyNumberFormat="1" applyFont="1" applyFill="1" applyBorder="1" applyAlignment="1">
      <alignment vertical="center"/>
    </xf>
    <xf numFmtId="164" fontId="1" fillId="7" borderId="1" xfId="1" applyNumberFormat="1" applyFont="1" applyFill="1" applyBorder="1" applyAlignment="1">
      <alignment vertical="center"/>
    </xf>
    <xf numFmtId="164" fontId="1" fillId="18" borderId="1" xfId="1" applyNumberFormat="1" applyFont="1" applyFill="1" applyBorder="1" applyAlignment="1">
      <alignment vertical="center"/>
    </xf>
    <xf numFmtId="164" fontId="1" fillId="0" borderId="1" xfId="1" applyNumberFormat="1" applyFont="1" applyBorder="1" applyAlignment="1">
      <alignment vertical="center"/>
    </xf>
    <xf numFmtId="9" fontId="1" fillId="8" borderId="1" xfId="0" applyNumberFormat="1" applyFont="1" applyFill="1" applyBorder="1" applyAlignment="1">
      <alignment vertical="center"/>
    </xf>
    <xf numFmtId="0" fontId="1" fillId="0" borderId="0" xfId="0" applyFont="1" applyAlignment="1">
      <alignment horizontal="right"/>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K50" sqref="K1:K50"/>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6" t="s">
        <v>1</v>
      </c>
      <c r="C1" s="117">
        <v>45302</v>
      </c>
      <c r="D1" s="118"/>
      <c r="E1" s="118"/>
      <c r="F1" s="118"/>
      <c r="G1" s="118"/>
      <c r="H1" s="118"/>
      <c r="J1" s="118"/>
      <c r="K1" s="116" t="s">
        <v>2</v>
      </c>
      <c r="L1" s="116" t="s">
        <v>3</v>
      </c>
    </row>
    <row r="2" spans="1:12" x14ac:dyDescent="0.25">
      <c r="A2" s="1" t="s">
        <v>4</v>
      </c>
      <c r="B2" s="118" t="str">
        <f>LOOKUP(B1,K1:L50,L1:L50)</f>
        <v>CO</v>
      </c>
      <c r="C2" s="118"/>
      <c r="D2" s="118"/>
      <c r="E2" s="118"/>
      <c r="F2" s="118"/>
      <c r="G2" s="118"/>
      <c r="H2" s="118"/>
      <c r="J2" s="118"/>
      <c r="K2" s="116" t="s">
        <v>5</v>
      </c>
      <c r="L2" s="116" t="s">
        <v>6</v>
      </c>
    </row>
    <row r="3" spans="1:12" x14ac:dyDescent="0.25">
      <c r="K3" s="116" t="s">
        <v>7</v>
      </c>
      <c r="L3" s="116" t="s">
        <v>8</v>
      </c>
    </row>
    <row r="4" spans="1:12" x14ac:dyDescent="0.25">
      <c r="A4" s="1" t="s">
        <v>9</v>
      </c>
      <c r="B4" s="4" t="s">
        <v>10</v>
      </c>
      <c r="K4" s="116" t="s">
        <v>11</v>
      </c>
      <c r="L4" s="116" t="s">
        <v>12</v>
      </c>
    </row>
    <row r="5" spans="1:12" x14ac:dyDescent="0.25">
      <c r="B5" t="s">
        <v>13</v>
      </c>
      <c r="K5" s="116" t="s">
        <v>14</v>
      </c>
      <c r="L5" s="116" t="s">
        <v>15</v>
      </c>
    </row>
    <row r="6" spans="1:12" x14ac:dyDescent="0.25">
      <c r="B6" s="2">
        <v>2023</v>
      </c>
      <c r="K6" s="116" t="s">
        <v>1</v>
      </c>
      <c r="L6" s="116" t="s">
        <v>16</v>
      </c>
    </row>
    <row r="7" spans="1:12" x14ac:dyDescent="0.25">
      <c r="B7" t="s">
        <v>17</v>
      </c>
      <c r="K7" s="116" t="s">
        <v>18</v>
      </c>
      <c r="L7" s="116" t="s">
        <v>19</v>
      </c>
    </row>
    <row r="8" spans="1:12" x14ac:dyDescent="0.25">
      <c r="B8" s="44" t="s">
        <v>20</v>
      </c>
      <c r="K8" s="116" t="s">
        <v>21</v>
      </c>
      <c r="L8" s="116" t="s">
        <v>22</v>
      </c>
    </row>
    <row r="9" spans="1:12" x14ac:dyDescent="0.25">
      <c r="K9" s="116" t="s">
        <v>23</v>
      </c>
      <c r="L9" s="116" t="s">
        <v>24</v>
      </c>
    </row>
    <row r="10" spans="1:12" x14ac:dyDescent="0.25">
      <c r="B10" t="s">
        <v>25</v>
      </c>
      <c r="K10" s="116" t="s">
        <v>26</v>
      </c>
      <c r="L10" s="116" t="s">
        <v>27</v>
      </c>
    </row>
    <row r="11" spans="1:12" x14ac:dyDescent="0.25">
      <c r="B11" s="2">
        <v>2019</v>
      </c>
      <c r="K11" s="116" t="s">
        <v>28</v>
      </c>
      <c r="L11" s="116" t="s">
        <v>29</v>
      </c>
    </row>
    <row r="12" spans="1:12" x14ac:dyDescent="0.25">
      <c r="B12" s="2" t="s">
        <v>30</v>
      </c>
      <c r="K12" s="116" t="s">
        <v>31</v>
      </c>
      <c r="L12" s="116" t="s">
        <v>32</v>
      </c>
    </row>
    <row r="13" spans="1:12" x14ac:dyDescent="0.25">
      <c r="B13" t="s">
        <v>33</v>
      </c>
      <c r="K13" s="116" t="s">
        <v>34</v>
      </c>
      <c r="L13" s="116" t="s">
        <v>35</v>
      </c>
    </row>
    <row r="14" spans="1:12" x14ac:dyDescent="0.25">
      <c r="K14" s="116" t="s">
        <v>36</v>
      </c>
      <c r="L14" s="116" t="s">
        <v>37</v>
      </c>
    </row>
    <row r="15" spans="1:12" x14ac:dyDescent="0.25">
      <c r="B15" t="s">
        <v>38</v>
      </c>
      <c r="K15" s="116" t="s">
        <v>39</v>
      </c>
      <c r="L15" s="116" t="s">
        <v>40</v>
      </c>
    </row>
    <row r="16" spans="1:12" x14ac:dyDescent="0.25">
      <c r="B16" s="2">
        <v>2021</v>
      </c>
      <c r="K16" s="116" t="s">
        <v>41</v>
      </c>
      <c r="L16" s="116" t="s">
        <v>42</v>
      </c>
    </row>
    <row r="17" spans="2:12" x14ac:dyDescent="0.25">
      <c r="B17" t="s">
        <v>43</v>
      </c>
      <c r="K17" s="116" t="s">
        <v>44</v>
      </c>
      <c r="L17" s="116" t="s">
        <v>45</v>
      </c>
    </row>
    <row r="18" spans="2:12" x14ac:dyDescent="0.25">
      <c r="B18" t="s">
        <v>46</v>
      </c>
      <c r="K18" s="116" t="s">
        <v>47</v>
      </c>
      <c r="L18" s="116" t="s">
        <v>48</v>
      </c>
    </row>
    <row r="19" spans="2:12" x14ac:dyDescent="0.25">
      <c r="B19" t="s">
        <v>49</v>
      </c>
      <c r="K19" s="116" t="s">
        <v>50</v>
      </c>
      <c r="L19" s="116" t="s">
        <v>51</v>
      </c>
    </row>
    <row r="20" spans="2:12" x14ac:dyDescent="0.25">
      <c r="K20" s="116" t="s">
        <v>52</v>
      </c>
      <c r="L20" s="116" t="s">
        <v>53</v>
      </c>
    </row>
    <row r="21" spans="2:12" x14ac:dyDescent="0.25">
      <c r="B21" s="4" t="s">
        <v>54</v>
      </c>
      <c r="K21" s="116" t="s">
        <v>55</v>
      </c>
      <c r="L21" s="116" t="s">
        <v>56</v>
      </c>
    </row>
    <row r="22" spans="2:12" x14ac:dyDescent="0.25">
      <c r="B22" t="s">
        <v>57</v>
      </c>
      <c r="K22" s="116" t="s">
        <v>58</v>
      </c>
      <c r="L22" s="116" t="s">
        <v>59</v>
      </c>
    </row>
    <row r="23" spans="2:12" x14ac:dyDescent="0.25">
      <c r="B23" s="2">
        <v>2023</v>
      </c>
      <c r="K23" s="116" t="s">
        <v>60</v>
      </c>
      <c r="L23" s="116" t="s">
        <v>61</v>
      </c>
    </row>
    <row r="24" spans="2:12" x14ac:dyDescent="0.25">
      <c r="B24" t="s">
        <v>62</v>
      </c>
      <c r="K24" s="116" t="s">
        <v>63</v>
      </c>
      <c r="L24" s="116" t="s">
        <v>64</v>
      </c>
    </row>
    <row r="25" spans="2:12" x14ac:dyDescent="0.25">
      <c r="B25" s="44" t="s">
        <v>65</v>
      </c>
      <c r="K25" s="116" t="s">
        <v>66</v>
      </c>
      <c r="L25" s="116" t="s">
        <v>67</v>
      </c>
    </row>
    <row r="26" spans="2:12" x14ac:dyDescent="0.25">
      <c r="B26" t="s">
        <v>68</v>
      </c>
      <c r="K26" s="116" t="s">
        <v>69</v>
      </c>
      <c r="L26" s="116" t="s">
        <v>70</v>
      </c>
    </row>
    <row r="27" spans="2:12" x14ac:dyDescent="0.25">
      <c r="K27" s="116" t="s">
        <v>71</v>
      </c>
      <c r="L27" s="116" t="s">
        <v>72</v>
      </c>
    </row>
    <row r="28" spans="2:12" x14ac:dyDescent="0.25">
      <c r="B28" s="4" t="s">
        <v>73</v>
      </c>
      <c r="K28" s="116" t="s">
        <v>74</v>
      </c>
      <c r="L28" s="116" t="s">
        <v>75</v>
      </c>
    </row>
    <row r="29" spans="2:12" x14ac:dyDescent="0.25">
      <c r="B29" t="s">
        <v>76</v>
      </c>
      <c r="K29" s="116" t="s">
        <v>77</v>
      </c>
      <c r="L29" s="116" t="s">
        <v>78</v>
      </c>
    </row>
    <row r="30" spans="2:12" x14ac:dyDescent="0.25">
      <c r="B30" s="2">
        <v>2020</v>
      </c>
      <c r="K30" s="116" t="s">
        <v>79</v>
      </c>
      <c r="L30" s="116" t="s">
        <v>80</v>
      </c>
    </row>
    <row r="31" spans="2:12" x14ac:dyDescent="0.25">
      <c r="B31" t="s">
        <v>81</v>
      </c>
      <c r="K31" s="116" t="s">
        <v>82</v>
      </c>
      <c r="L31" s="116" t="s">
        <v>83</v>
      </c>
    </row>
    <row r="32" spans="2:12" x14ac:dyDescent="0.25">
      <c r="B32" t="s">
        <v>84</v>
      </c>
      <c r="K32" s="116" t="s">
        <v>85</v>
      </c>
      <c r="L32" s="116" t="s">
        <v>86</v>
      </c>
    </row>
    <row r="33" spans="1:12" x14ac:dyDescent="0.25">
      <c r="B33" t="s">
        <v>87</v>
      </c>
      <c r="K33" s="116" t="s">
        <v>88</v>
      </c>
      <c r="L33" s="116" t="s">
        <v>89</v>
      </c>
    </row>
    <row r="34" spans="1:12" x14ac:dyDescent="0.25">
      <c r="K34" s="116" t="s">
        <v>90</v>
      </c>
      <c r="L34" s="116" t="s">
        <v>91</v>
      </c>
    </row>
    <row r="35" spans="1:12" x14ac:dyDescent="0.25">
      <c r="B35" s="4" t="s">
        <v>92</v>
      </c>
      <c r="K35" s="116" t="s">
        <v>93</v>
      </c>
      <c r="L35" s="116" t="s">
        <v>94</v>
      </c>
    </row>
    <row r="36" spans="1:12" x14ac:dyDescent="0.25">
      <c r="B36" t="s">
        <v>76</v>
      </c>
      <c r="K36" s="116" t="s">
        <v>95</v>
      </c>
      <c r="L36" s="116" t="s">
        <v>96</v>
      </c>
    </row>
    <row r="37" spans="1:12" x14ac:dyDescent="0.25">
      <c r="B37" s="2">
        <v>2018</v>
      </c>
      <c r="K37" s="116" t="s">
        <v>97</v>
      </c>
      <c r="L37" s="116" t="s">
        <v>98</v>
      </c>
    </row>
    <row r="38" spans="1:12" x14ac:dyDescent="0.25">
      <c r="B38" t="s">
        <v>99</v>
      </c>
      <c r="K38" s="116" t="s">
        <v>100</v>
      </c>
      <c r="L38" s="116" t="s">
        <v>101</v>
      </c>
    </row>
    <row r="39" spans="1:12" x14ac:dyDescent="0.25">
      <c r="B39" t="s">
        <v>102</v>
      </c>
      <c r="K39" s="116" t="s">
        <v>103</v>
      </c>
      <c r="L39" s="116" t="s">
        <v>104</v>
      </c>
    </row>
    <row r="40" spans="1:12" x14ac:dyDescent="0.25">
      <c r="K40" s="116" t="s">
        <v>105</v>
      </c>
      <c r="L40" s="116" t="s">
        <v>106</v>
      </c>
    </row>
    <row r="41" spans="1:12" x14ac:dyDescent="0.25">
      <c r="A41" s="1" t="s">
        <v>107</v>
      </c>
      <c r="K41" s="116" t="s">
        <v>108</v>
      </c>
      <c r="L41" s="116" t="s">
        <v>109</v>
      </c>
    </row>
    <row r="42" spans="1:12" x14ac:dyDescent="0.25">
      <c r="A42" t="s">
        <v>110</v>
      </c>
      <c r="K42" s="116" t="s">
        <v>111</v>
      </c>
      <c r="L42" s="116" t="s">
        <v>112</v>
      </c>
    </row>
    <row r="43" spans="1:12" x14ac:dyDescent="0.25">
      <c r="A43" t="s">
        <v>113</v>
      </c>
      <c r="K43" s="116" t="s">
        <v>114</v>
      </c>
      <c r="L43" s="116" t="s">
        <v>115</v>
      </c>
    </row>
    <row r="44" spans="1:12" x14ac:dyDescent="0.25">
      <c r="K44" s="116" t="s">
        <v>116</v>
      </c>
      <c r="L44" s="116" t="s">
        <v>117</v>
      </c>
    </row>
    <row r="45" spans="1:12" x14ac:dyDescent="0.25">
      <c r="A45" s="102" t="s">
        <v>118</v>
      </c>
      <c r="B45" s="15"/>
      <c r="K45" s="116" t="s">
        <v>119</v>
      </c>
      <c r="L45" s="116" t="s">
        <v>120</v>
      </c>
    </row>
    <row r="46" spans="1:12" x14ac:dyDescent="0.25">
      <c r="A46" t="s">
        <v>121</v>
      </c>
      <c r="K46" s="116" t="s">
        <v>122</v>
      </c>
      <c r="L46" s="116" t="s">
        <v>123</v>
      </c>
    </row>
    <row r="47" spans="1:12" x14ac:dyDescent="0.25">
      <c r="A47" t="s">
        <v>124</v>
      </c>
      <c r="K47" s="116" t="s">
        <v>125</v>
      </c>
      <c r="L47" s="116" t="s">
        <v>126</v>
      </c>
    </row>
    <row r="48" spans="1:12" x14ac:dyDescent="0.25">
      <c r="A48" t="s">
        <v>127</v>
      </c>
      <c r="K48" s="116" t="s">
        <v>128</v>
      </c>
      <c r="L48" s="116" t="s">
        <v>129</v>
      </c>
    </row>
    <row r="49" spans="1:12" x14ac:dyDescent="0.25">
      <c r="A49" t="s">
        <v>130</v>
      </c>
      <c r="K49" s="116" t="s">
        <v>131</v>
      </c>
      <c r="L49" s="116" t="s">
        <v>132</v>
      </c>
    </row>
    <row r="50" spans="1:12" x14ac:dyDescent="0.25">
      <c r="A50" t="s">
        <v>133</v>
      </c>
      <c r="K50" s="116" t="s">
        <v>134</v>
      </c>
      <c r="L50" s="116" t="s">
        <v>135</v>
      </c>
    </row>
    <row r="51" spans="1:12" x14ac:dyDescent="0.25">
      <c r="A51" t="s">
        <v>136</v>
      </c>
    </row>
    <row r="52" spans="1:12" x14ac:dyDescent="0.25">
      <c r="A52" t="s">
        <v>137</v>
      </c>
    </row>
    <row r="53" spans="1:12" x14ac:dyDescent="0.25">
      <c r="A53" t="s">
        <v>138</v>
      </c>
    </row>
    <row r="55" spans="1:12" x14ac:dyDescent="0.25">
      <c r="A55" s="102" t="s">
        <v>139</v>
      </c>
      <c r="B55" s="102"/>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3" t="s">
        <v>145</v>
      </c>
      <c r="B63" s="104"/>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B1">
    <cfRule type="duplicateValues" dxfId="2" priority="1"/>
  </conditionalFormatting>
  <conditionalFormatting sqref="I1:K1048576">
    <cfRule type="duplicateValues" dxfId="1"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5" x14ac:dyDescent="0.25"/>
  <cols>
    <col min="1" max="1" width="20" customWidth="1"/>
    <col min="2" max="2" width="14.42578125" customWidth="1"/>
  </cols>
  <sheetData>
    <row r="1" spans="1:2" x14ac:dyDescent="0.25">
      <c r="A1" s="101" t="s">
        <v>2357</v>
      </c>
      <c r="B1" s="2" t="s">
        <v>2358</v>
      </c>
    </row>
    <row r="2" spans="1:2" x14ac:dyDescent="0.25">
      <c r="A2" t="s">
        <v>2306</v>
      </c>
      <c r="B2" s="100">
        <v>1</v>
      </c>
    </row>
    <row r="3" spans="1:2" x14ac:dyDescent="0.25">
      <c r="A3" t="s">
        <v>2307</v>
      </c>
      <c r="B3" s="100">
        <v>0</v>
      </c>
    </row>
    <row r="4" spans="1:2" x14ac:dyDescent="0.25">
      <c r="A4" t="s">
        <v>2308</v>
      </c>
      <c r="B4" s="100">
        <v>0</v>
      </c>
    </row>
    <row r="5" spans="1:2" x14ac:dyDescent="0.25">
      <c r="A5" t="s">
        <v>2309</v>
      </c>
      <c r="B5" s="100">
        <v>0</v>
      </c>
    </row>
    <row r="6" spans="1:2" x14ac:dyDescent="0.25">
      <c r="A6" t="s">
        <v>2310</v>
      </c>
      <c r="B6" s="100">
        <v>0</v>
      </c>
    </row>
    <row r="7" spans="1:2" x14ac:dyDescent="0.25">
      <c r="A7" t="s">
        <v>2311</v>
      </c>
      <c r="B7" s="100">
        <v>0</v>
      </c>
    </row>
    <row r="8" spans="1:2" x14ac:dyDescent="0.25">
      <c r="A8" t="s">
        <v>2312</v>
      </c>
      <c r="B8" s="100">
        <v>0</v>
      </c>
    </row>
    <row r="9" spans="1:2" x14ac:dyDescent="0.25">
      <c r="A9" t="s">
        <v>2313</v>
      </c>
      <c r="B9" s="100">
        <v>0</v>
      </c>
    </row>
    <row r="10" spans="1:2" x14ac:dyDescent="0.25">
      <c r="A10" t="s">
        <v>2314</v>
      </c>
      <c r="B10" s="100">
        <v>0</v>
      </c>
    </row>
    <row r="11" spans="1:2" x14ac:dyDescent="0.25">
      <c r="A11" t="s">
        <v>2315</v>
      </c>
      <c r="B11" s="100">
        <v>0</v>
      </c>
    </row>
    <row r="12" spans="1:2" x14ac:dyDescent="0.25">
      <c r="A12" t="s">
        <v>2316</v>
      </c>
      <c r="B12" s="100">
        <v>0</v>
      </c>
    </row>
    <row r="13" spans="1:2" x14ac:dyDescent="0.25">
      <c r="A13" t="s">
        <v>2317</v>
      </c>
      <c r="B13" s="100">
        <v>0</v>
      </c>
    </row>
    <row r="14" spans="1:2" x14ac:dyDescent="0.25">
      <c r="A14" t="s">
        <v>2318</v>
      </c>
      <c r="B14" s="100">
        <v>0</v>
      </c>
    </row>
    <row r="15" spans="1:2" x14ac:dyDescent="0.25">
      <c r="A15" t="s">
        <v>2319</v>
      </c>
      <c r="B15" s="100">
        <v>0</v>
      </c>
    </row>
    <row r="16" spans="1:2" x14ac:dyDescent="0.25">
      <c r="A16" t="s">
        <v>2320</v>
      </c>
      <c r="B16" s="100">
        <v>0</v>
      </c>
    </row>
    <row r="17" spans="1:2" x14ac:dyDescent="0.25">
      <c r="A17" t="s">
        <v>2321</v>
      </c>
      <c r="B17" s="100">
        <v>0</v>
      </c>
    </row>
    <row r="18" spans="1:2" x14ac:dyDescent="0.25">
      <c r="A18" t="s">
        <v>2322</v>
      </c>
      <c r="B18" s="100">
        <v>0</v>
      </c>
    </row>
    <row r="19" spans="1:2" x14ac:dyDescent="0.25">
      <c r="A19" t="s">
        <v>2323</v>
      </c>
      <c r="B19" s="100">
        <v>0</v>
      </c>
    </row>
    <row r="20" spans="1:2" x14ac:dyDescent="0.25">
      <c r="A20" t="s">
        <v>2324</v>
      </c>
      <c r="B20" s="100">
        <v>0</v>
      </c>
    </row>
    <row r="21" spans="1:2" x14ac:dyDescent="0.25">
      <c r="A21" t="s">
        <v>2325</v>
      </c>
      <c r="B21" s="100">
        <v>0</v>
      </c>
    </row>
    <row r="22" spans="1:2" x14ac:dyDescent="0.25">
      <c r="A22" t="s">
        <v>2326</v>
      </c>
      <c r="B22" s="100">
        <v>0</v>
      </c>
    </row>
    <row r="23" spans="1:2" x14ac:dyDescent="0.25">
      <c r="A23" t="s">
        <v>2327</v>
      </c>
      <c r="B23" s="100">
        <v>0</v>
      </c>
    </row>
    <row r="24" spans="1:2" x14ac:dyDescent="0.25">
      <c r="A24" t="s">
        <v>2328</v>
      </c>
      <c r="B24" s="100">
        <v>0</v>
      </c>
    </row>
    <row r="25" spans="1:2" x14ac:dyDescent="0.25">
      <c r="A25" t="s">
        <v>2329</v>
      </c>
      <c r="B25" s="100">
        <v>0</v>
      </c>
    </row>
    <row r="26" spans="1:2" x14ac:dyDescent="0.25">
      <c r="A26" t="s">
        <v>2330</v>
      </c>
      <c r="B26" s="100">
        <v>0</v>
      </c>
    </row>
    <row r="27" spans="1:2" x14ac:dyDescent="0.25">
      <c r="A27" t="s">
        <v>2331</v>
      </c>
      <c r="B27" s="100">
        <v>0</v>
      </c>
    </row>
    <row r="28" spans="1:2" x14ac:dyDescent="0.25">
      <c r="A28" t="s">
        <v>2332</v>
      </c>
      <c r="B28" s="100">
        <v>0</v>
      </c>
    </row>
    <row r="29" spans="1:2" x14ac:dyDescent="0.25">
      <c r="A29" t="s">
        <v>2333</v>
      </c>
      <c r="B29" s="100">
        <v>0</v>
      </c>
    </row>
    <row r="30" spans="1:2" x14ac:dyDescent="0.25">
      <c r="A30" t="s">
        <v>2334</v>
      </c>
      <c r="B30" s="100">
        <v>0</v>
      </c>
    </row>
    <row r="31" spans="1:2" x14ac:dyDescent="0.25">
      <c r="A31" t="s">
        <v>2335</v>
      </c>
      <c r="B31" s="100">
        <v>0</v>
      </c>
    </row>
    <row r="32" spans="1:2" x14ac:dyDescent="0.25">
      <c r="A32" t="s">
        <v>2336</v>
      </c>
      <c r="B32" s="100">
        <v>0</v>
      </c>
    </row>
    <row r="33" spans="1:2" x14ac:dyDescent="0.25">
      <c r="A33" t="s">
        <v>2337</v>
      </c>
      <c r="B33" s="100">
        <v>0</v>
      </c>
    </row>
    <row r="34" spans="1:2" x14ac:dyDescent="0.25">
      <c r="A34" t="s">
        <v>2338</v>
      </c>
      <c r="B34" s="100">
        <v>0</v>
      </c>
    </row>
    <row r="35" spans="1:2" x14ac:dyDescent="0.25">
      <c r="A35" t="s">
        <v>2339</v>
      </c>
      <c r="B35" s="100">
        <v>0</v>
      </c>
    </row>
    <row r="36" spans="1:2" x14ac:dyDescent="0.25">
      <c r="A36" t="s">
        <v>2340</v>
      </c>
      <c r="B36" s="100">
        <v>0</v>
      </c>
    </row>
    <row r="37" spans="1:2" x14ac:dyDescent="0.25">
      <c r="A37" t="s">
        <v>2341</v>
      </c>
      <c r="B37" s="100">
        <v>0</v>
      </c>
    </row>
    <row r="38" spans="1:2" x14ac:dyDescent="0.25">
      <c r="A38" t="s">
        <v>2342</v>
      </c>
      <c r="B38" s="100">
        <v>0</v>
      </c>
    </row>
    <row r="39" spans="1:2" x14ac:dyDescent="0.25">
      <c r="A39" t="s">
        <v>2343</v>
      </c>
      <c r="B39" s="100">
        <v>0</v>
      </c>
    </row>
    <row r="40" spans="1:2" x14ac:dyDescent="0.25">
      <c r="A40" t="s">
        <v>2344</v>
      </c>
      <c r="B40" s="100">
        <v>0</v>
      </c>
    </row>
    <row r="41" spans="1:2" x14ac:dyDescent="0.25">
      <c r="A41" t="s">
        <v>2345</v>
      </c>
      <c r="B41" s="100">
        <v>0</v>
      </c>
    </row>
    <row r="42" spans="1:2" x14ac:dyDescent="0.25">
      <c r="A42" t="s">
        <v>2346</v>
      </c>
      <c r="B42" s="100">
        <v>0</v>
      </c>
    </row>
    <row r="43" spans="1:2" x14ac:dyDescent="0.25">
      <c r="A43" t="s">
        <v>2347</v>
      </c>
      <c r="B43" s="100">
        <v>0</v>
      </c>
    </row>
    <row r="44" spans="1:2" x14ac:dyDescent="0.25">
      <c r="A44" t="s">
        <v>2348</v>
      </c>
      <c r="B44" s="100">
        <v>0</v>
      </c>
    </row>
    <row r="45" spans="1:2" x14ac:dyDescent="0.25">
      <c r="A45" t="s">
        <v>2349</v>
      </c>
      <c r="B45" s="100">
        <v>0</v>
      </c>
    </row>
    <row r="46" spans="1:2" x14ac:dyDescent="0.25">
      <c r="A46" t="s">
        <v>2350</v>
      </c>
      <c r="B46" s="100">
        <v>0</v>
      </c>
    </row>
    <row r="47" spans="1:2" x14ac:dyDescent="0.25">
      <c r="A47" t="s">
        <v>2351</v>
      </c>
      <c r="B47" s="100">
        <v>0</v>
      </c>
    </row>
    <row r="48" spans="1:2" x14ac:dyDescent="0.25">
      <c r="A48" t="s">
        <v>2352</v>
      </c>
      <c r="B48" s="100">
        <v>0</v>
      </c>
    </row>
    <row r="49" spans="1:2" x14ac:dyDescent="0.25">
      <c r="A49" t="s">
        <v>2353</v>
      </c>
      <c r="B49" s="100">
        <v>0</v>
      </c>
    </row>
    <row r="50" spans="1:2" x14ac:dyDescent="0.25">
      <c r="A50" t="s">
        <v>2354</v>
      </c>
      <c r="B50" s="100">
        <v>0</v>
      </c>
    </row>
    <row r="51" spans="1:2" x14ac:dyDescent="0.25">
      <c r="A51" t="s">
        <v>2355</v>
      </c>
      <c r="B51" s="100">
        <v>0</v>
      </c>
    </row>
    <row r="52" spans="1:2" x14ac:dyDescent="0.25">
      <c r="A52" t="s">
        <v>2356</v>
      </c>
      <c r="B52" s="100">
        <v>0</v>
      </c>
    </row>
    <row r="53" spans="1:2" x14ac:dyDescent="0.25">
      <c r="A53" t="s">
        <v>2297</v>
      </c>
      <c r="B53" s="100">
        <v>0</v>
      </c>
    </row>
    <row r="54" spans="1:2" x14ac:dyDescent="0.25">
      <c r="A54" t="s">
        <v>2298</v>
      </c>
      <c r="B54" s="100">
        <v>0</v>
      </c>
    </row>
    <row r="55" spans="1:2" x14ac:dyDescent="0.25">
      <c r="A55" t="s">
        <v>2299</v>
      </c>
      <c r="B55" s="100">
        <v>0</v>
      </c>
    </row>
    <row r="56" spans="1:2" x14ac:dyDescent="0.25">
      <c r="A56" t="s">
        <v>2300</v>
      </c>
      <c r="B56" s="100">
        <v>0</v>
      </c>
    </row>
    <row r="57" spans="1:2" x14ac:dyDescent="0.25">
      <c r="A57" t="s">
        <v>2301</v>
      </c>
      <c r="B57" s="100">
        <v>0</v>
      </c>
    </row>
    <row r="58" spans="1:2" x14ac:dyDescent="0.25">
      <c r="A58" t="s">
        <v>2302</v>
      </c>
      <c r="B58" s="100">
        <v>0</v>
      </c>
    </row>
    <row r="59" spans="1:2" x14ac:dyDescent="0.25">
      <c r="A59" t="s">
        <v>2303</v>
      </c>
      <c r="B59" s="100">
        <v>0</v>
      </c>
    </row>
    <row r="60" spans="1:2" x14ac:dyDescent="0.25">
      <c r="A60" t="s">
        <v>2304</v>
      </c>
      <c r="B60" s="100">
        <v>0</v>
      </c>
    </row>
    <row r="61" spans="1:2" x14ac:dyDescent="0.25">
      <c r="A61" t="s">
        <v>2305</v>
      </c>
      <c r="B61" s="1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2359</v>
      </c>
    </row>
    <row r="2" spans="1:1" x14ac:dyDescent="0.25">
      <c r="A2" t="s">
        <v>2360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2361</v>
      </c>
    </row>
    <row r="2" spans="1:7" s="12" customFormat="1" ht="20.100000000000001" customHeight="1" x14ac:dyDescent="0.2">
      <c r="A2" s="12" t="s">
        <v>270</v>
      </c>
    </row>
    <row r="3" spans="1:7" ht="25.5" customHeight="1" x14ac:dyDescent="0.25">
      <c r="A3" s="83" t="s">
        <v>271</v>
      </c>
      <c r="B3" s="83" t="s">
        <v>174</v>
      </c>
      <c r="C3" s="83" t="s">
        <v>272</v>
      </c>
      <c r="D3" s="83" t="s">
        <v>273</v>
      </c>
      <c r="E3" s="83" t="s">
        <v>274</v>
      </c>
      <c r="F3" s="83" t="s">
        <v>275</v>
      </c>
      <c r="G3" s="83" t="s">
        <v>276</v>
      </c>
    </row>
    <row r="4" spans="1:7" x14ac:dyDescent="0.25">
      <c r="A4" s="84" t="s">
        <v>277</v>
      </c>
      <c r="B4" s="84" t="s">
        <v>6</v>
      </c>
      <c r="C4" s="84" t="s">
        <v>278</v>
      </c>
      <c r="D4" s="85">
        <v>17403</v>
      </c>
      <c r="E4" s="85">
        <v>384981</v>
      </c>
      <c r="F4" s="86">
        <v>44688.6</v>
      </c>
      <c r="G4" s="87">
        <v>11.608001</v>
      </c>
    </row>
    <row r="5" spans="1:7" x14ac:dyDescent="0.25">
      <c r="A5" s="84" t="s">
        <v>279</v>
      </c>
      <c r="B5" s="84" t="s">
        <v>6</v>
      </c>
      <c r="C5" s="84" t="s">
        <v>278</v>
      </c>
      <c r="D5" s="85">
        <v>8168</v>
      </c>
      <c r="E5" s="85">
        <v>64407</v>
      </c>
      <c r="F5" s="86">
        <v>17068</v>
      </c>
      <c r="G5" s="87">
        <v>26.500225</v>
      </c>
    </row>
    <row r="6" spans="1:7" x14ac:dyDescent="0.25">
      <c r="A6" s="84" t="s">
        <v>280</v>
      </c>
      <c r="B6" s="84" t="s">
        <v>6</v>
      </c>
      <c r="C6" s="84" t="s">
        <v>281</v>
      </c>
      <c r="D6" s="85">
        <v>11513</v>
      </c>
      <c r="E6" s="85">
        <v>120835</v>
      </c>
      <c r="F6" s="86">
        <v>53906.3</v>
      </c>
      <c r="G6" s="87">
        <v>44.611494999999998</v>
      </c>
    </row>
    <row r="7" spans="1:7" x14ac:dyDescent="0.25">
      <c r="A7" s="84" t="s">
        <v>282</v>
      </c>
      <c r="B7" s="84" t="s">
        <v>6</v>
      </c>
      <c r="C7" s="84" t="s">
        <v>283</v>
      </c>
      <c r="D7" s="85">
        <v>31291</v>
      </c>
      <c r="E7" s="85">
        <v>732828</v>
      </c>
      <c r="F7" s="86">
        <v>121486.1</v>
      </c>
      <c r="G7" s="87">
        <v>16.57771</v>
      </c>
    </row>
    <row r="8" spans="1:7" x14ac:dyDescent="0.25">
      <c r="A8" s="84" t="s">
        <v>285</v>
      </c>
      <c r="B8" s="84" t="s">
        <v>6</v>
      </c>
      <c r="C8" s="84" t="s">
        <v>281</v>
      </c>
      <c r="D8" s="85">
        <v>112593</v>
      </c>
      <c r="E8" s="85">
        <v>1212687</v>
      </c>
      <c r="F8" s="86">
        <v>226490.8</v>
      </c>
      <c r="G8" s="87">
        <v>18.676773000000001</v>
      </c>
    </row>
    <row r="9" spans="1:7" x14ac:dyDescent="0.25">
      <c r="A9" s="84" t="s">
        <v>291</v>
      </c>
      <c r="B9" s="84" t="s">
        <v>6</v>
      </c>
      <c r="C9" s="84" t="s">
        <v>281</v>
      </c>
      <c r="D9" s="85">
        <v>47059</v>
      </c>
      <c r="E9" s="85">
        <v>1221811</v>
      </c>
      <c r="F9" s="86">
        <v>236609</v>
      </c>
      <c r="G9" s="87">
        <v>19.365434</v>
      </c>
    </row>
    <row r="10" spans="1:7" x14ac:dyDescent="0.25">
      <c r="A10" s="84" t="s">
        <v>292</v>
      </c>
      <c r="B10" s="84" t="s">
        <v>6</v>
      </c>
      <c r="C10" s="84" t="s">
        <v>281</v>
      </c>
      <c r="D10" s="85">
        <v>32511</v>
      </c>
      <c r="E10" s="85">
        <v>437105</v>
      </c>
      <c r="F10" s="86">
        <v>103146.7</v>
      </c>
      <c r="G10" s="87">
        <v>23.597694000000001</v>
      </c>
    </row>
    <row r="11" spans="1:7" x14ac:dyDescent="0.25">
      <c r="A11" s="84" t="s">
        <v>293</v>
      </c>
      <c r="B11" s="84" t="s">
        <v>6</v>
      </c>
      <c r="C11" s="84" t="s">
        <v>283</v>
      </c>
      <c r="D11" s="85">
        <v>7856</v>
      </c>
      <c r="E11" s="85">
        <v>166832</v>
      </c>
      <c r="F11" s="86">
        <v>18488.7</v>
      </c>
      <c r="G11" s="87">
        <v>11.082226</v>
      </c>
    </row>
    <row r="12" spans="1:7" x14ac:dyDescent="0.25">
      <c r="A12" s="84" t="s">
        <v>294</v>
      </c>
      <c r="B12" s="84" t="s">
        <v>6</v>
      </c>
      <c r="C12" s="84" t="s">
        <v>281</v>
      </c>
      <c r="D12" s="85">
        <v>6086</v>
      </c>
      <c r="E12" s="85">
        <v>139401</v>
      </c>
      <c r="F12" s="86">
        <v>22998</v>
      </c>
      <c r="G12" s="87">
        <v>16.497730000000001</v>
      </c>
    </row>
    <row r="13" spans="1:7" x14ac:dyDescent="0.25">
      <c r="A13" s="84" t="s">
        <v>295</v>
      </c>
      <c r="B13" s="84" t="s">
        <v>6</v>
      </c>
      <c r="C13" s="84" t="s">
        <v>281</v>
      </c>
      <c r="D13" s="85">
        <v>1293</v>
      </c>
      <c r="E13" s="85">
        <v>18915</v>
      </c>
      <c r="F13" s="86">
        <v>7374.6</v>
      </c>
      <c r="G13" s="87">
        <v>38.988104999999997</v>
      </c>
    </row>
    <row r="14" spans="1:7" x14ac:dyDescent="0.25">
      <c r="A14" s="84" t="s">
        <v>296</v>
      </c>
      <c r="B14" s="84" t="s">
        <v>6</v>
      </c>
      <c r="C14" s="84" t="s">
        <v>281</v>
      </c>
      <c r="D14" s="85">
        <v>66667</v>
      </c>
      <c r="E14" s="85">
        <v>751476</v>
      </c>
      <c r="F14" s="86">
        <v>153435.20000000001</v>
      </c>
      <c r="G14" s="87">
        <v>20.417843999999999</v>
      </c>
    </row>
    <row r="15" spans="1:7" x14ac:dyDescent="0.25">
      <c r="A15" s="84" t="s">
        <v>300</v>
      </c>
      <c r="B15" s="84" t="s">
        <v>6</v>
      </c>
      <c r="C15" s="84" t="s">
        <v>278</v>
      </c>
      <c r="D15" s="85">
        <v>165</v>
      </c>
      <c r="E15" s="85">
        <v>53030</v>
      </c>
      <c r="F15" s="86">
        <v>11562</v>
      </c>
      <c r="G15" s="87">
        <v>21.802752999999999</v>
      </c>
    </row>
    <row r="16" spans="1:7" x14ac:dyDescent="0.25">
      <c r="A16" s="84" t="s">
        <v>301</v>
      </c>
      <c r="B16" s="84" t="s">
        <v>3</v>
      </c>
      <c r="C16" s="84" t="s">
        <v>278</v>
      </c>
      <c r="D16" s="85">
        <v>1504744</v>
      </c>
      <c r="E16" s="85">
        <v>50603071</v>
      </c>
      <c r="F16" s="86">
        <v>5212950.3</v>
      </c>
      <c r="G16" s="87">
        <v>10.301648</v>
      </c>
    </row>
    <row r="17" spans="1:7" x14ac:dyDescent="0.25">
      <c r="A17" s="84" t="s">
        <v>302</v>
      </c>
      <c r="B17" s="84" t="s">
        <v>3</v>
      </c>
      <c r="C17" s="84" t="s">
        <v>283</v>
      </c>
      <c r="D17" s="85">
        <v>10395</v>
      </c>
      <c r="E17" s="85">
        <v>593337</v>
      </c>
      <c r="F17" s="86">
        <v>45079</v>
      </c>
      <c r="G17" s="87">
        <v>7.5975372999999999</v>
      </c>
    </row>
    <row r="18" spans="1:7" x14ac:dyDescent="0.25">
      <c r="A18" s="84" t="s">
        <v>303</v>
      </c>
      <c r="B18" s="84" t="s">
        <v>3</v>
      </c>
      <c r="C18" s="84" t="s">
        <v>281</v>
      </c>
      <c r="D18" s="85">
        <v>15843</v>
      </c>
      <c r="E18" s="85">
        <v>293501</v>
      </c>
      <c r="F18" s="86">
        <v>31773</v>
      </c>
      <c r="G18" s="87">
        <v>10.825517</v>
      </c>
    </row>
    <row r="19" spans="1:7" x14ac:dyDescent="0.25">
      <c r="A19" s="84" t="s">
        <v>304</v>
      </c>
      <c r="B19" s="84" t="s">
        <v>3</v>
      </c>
      <c r="C19" s="84" t="s">
        <v>281</v>
      </c>
      <c r="D19" s="85">
        <v>80079</v>
      </c>
      <c r="E19" s="85">
        <v>1441005</v>
      </c>
      <c r="F19" s="86">
        <v>157176</v>
      </c>
      <c r="G19" s="87">
        <v>10.907387999999999</v>
      </c>
    </row>
    <row r="20" spans="1:7" x14ac:dyDescent="0.25">
      <c r="A20" s="84" t="s">
        <v>305</v>
      </c>
      <c r="B20" s="84" t="s">
        <v>3</v>
      </c>
      <c r="C20" s="84" t="s">
        <v>281</v>
      </c>
      <c r="D20" s="85">
        <v>26593</v>
      </c>
      <c r="E20" s="85">
        <v>366205</v>
      </c>
      <c r="F20" s="86">
        <v>40250</v>
      </c>
      <c r="G20" s="87">
        <v>10.991111999999999</v>
      </c>
    </row>
    <row r="21" spans="1:7" x14ac:dyDescent="0.25">
      <c r="A21" s="84" t="s">
        <v>306</v>
      </c>
      <c r="B21" s="84" t="s">
        <v>3</v>
      </c>
      <c r="C21" s="84" t="s">
        <v>281</v>
      </c>
      <c r="D21" s="85">
        <v>43959</v>
      </c>
      <c r="E21" s="85">
        <v>683698</v>
      </c>
      <c r="F21" s="86">
        <v>90124</v>
      </c>
      <c r="G21" s="87">
        <v>13.181843000000001</v>
      </c>
    </row>
    <row r="22" spans="1:7" x14ac:dyDescent="0.25">
      <c r="A22" s="84" t="s">
        <v>307</v>
      </c>
      <c r="B22" s="84" t="s">
        <v>3</v>
      </c>
      <c r="C22" s="84" t="s">
        <v>281</v>
      </c>
      <c r="D22" s="85">
        <v>24715</v>
      </c>
      <c r="E22" s="85">
        <v>446666</v>
      </c>
      <c r="F22" s="86">
        <v>54638</v>
      </c>
      <c r="G22" s="87">
        <v>12.232405999999999</v>
      </c>
    </row>
    <row r="23" spans="1:7" x14ac:dyDescent="0.25">
      <c r="A23" s="84" t="s">
        <v>309</v>
      </c>
      <c r="B23" s="84" t="s">
        <v>3</v>
      </c>
      <c r="C23" s="84" t="s">
        <v>283</v>
      </c>
      <c r="D23" s="85">
        <v>4699</v>
      </c>
      <c r="E23" s="85">
        <v>377860</v>
      </c>
      <c r="F23" s="86">
        <v>27881</v>
      </c>
      <c r="G23" s="87">
        <v>7.3786588000000002</v>
      </c>
    </row>
    <row r="24" spans="1:7" x14ac:dyDescent="0.25">
      <c r="A24" s="84" t="s">
        <v>310</v>
      </c>
      <c r="B24" s="84" t="s">
        <v>3</v>
      </c>
      <c r="C24" s="84" t="s">
        <v>283</v>
      </c>
      <c r="D24" s="85">
        <v>50301</v>
      </c>
      <c r="E24" s="85">
        <v>1211084</v>
      </c>
      <c r="F24" s="86">
        <v>114938</v>
      </c>
      <c r="G24" s="87">
        <v>9.4905059999999999</v>
      </c>
    </row>
    <row r="25" spans="1:7" x14ac:dyDescent="0.25">
      <c r="A25" s="84" t="s">
        <v>311</v>
      </c>
      <c r="B25" s="84" t="s">
        <v>3</v>
      </c>
      <c r="C25" s="84" t="s">
        <v>283</v>
      </c>
      <c r="D25" s="85">
        <v>11231</v>
      </c>
      <c r="E25" s="85">
        <v>274731</v>
      </c>
      <c r="F25" s="86">
        <v>29423</v>
      </c>
      <c r="G25" s="87">
        <v>10.709749</v>
      </c>
    </row>
    <row r="26" spans="1:7" x14ac:dyDescent="0.25">
      <c r="A26" s="84" t="s">
        <v>312</v>
      </c>
      <c r="B26" s="84" t="s">
        <v>3</v>
      </c>
      <c r="C26" s="84" t="s">
        <v>283</v>
      </c>
      <c r="D26" s="85">
        <v>775</v>
      </c>
      <c r="E26" s="85">
        <v>21523</v>
      </c>
      <c r="F26" s="86">
        <v>2154</v>
      </c>
      <c r="G26" s="87">
        <v>10.007899</v>
      </c>
    </row>
    <row r="27" spans="1:7" x14ac:dyDescent="0.25">
      <c r="A27" s="84" t="s">
        <v>313</v>
      </c>
      <c r="B27" s="84" t="s">
        <v>3</v>
      </c>
      <c r="C27" s="84" t="s">
        <v>283</v>
      </c>
      <c r="D27" s="85">
        <v>31092</v>
      </c>
      <c r="E27" s="85">
        <v>943498</v>
      </c>
      <c r="F27" s="86">
        <v>87121.1</v>
      </c>
      <c r="G27" s="87">
        <v>9.2338404999999995</v>
      </c>
    </row>
    <row r="28" spans="1:7" x14ac:dyDescent="0.25">
      <c r="A28" s="84" t="s">
        <v>315</v>
      </c>
      <c r="B28" s="84" t="s">
        <v>3</v>
      </c>
      <c r="C28" s="84" t="s">
        <v>283</v>
      </c>
      <c r="D28" s="85">
        <v>50466</v>
      </c>
      <c r="E28" s="85">
        <v>1098482</v>
      </c>
      <c r="F28" s="86">
        <v>114304</v>
      </c>
      <c r="G28" s="87">
        <v>10.405633</v>
      </c>
    </row>
    <row r="29" spans="1:7" x14ac:dyDescent="0.25">
      <c r="A29" s="84" t="s">
        <v>316</v>
      </c>
      <c r="B29" s="84" t="s">
        <v>3</v>
      </c>
      <c r="C29" s="84" t="s">
        <v>283</v>
      </c>
      <c r="D29" s="85">
        <v>5606</v>
      </c>
      <c r="E29" s="85">
        <v>139404</v>
      </c>
      <c r="F29" s="86">
        <v>13941</v>
      </c>
      <c r="G29" s="87">
        <v>10.00043</v>
      </c>
    </row>
    <row r="30" spans="1:7" x14ac:dyDescent="0.25">
      <c r="A30" s="84" t="s">
        <v>317</v>
      </c>
      <c r="B30" s="84" t="s">
        <v>3</v>
      </c>
      <c r="C30" s="84" t="s">
        <v>283</v>
      </c>
      <c r="D30" s="85">
        <v>190013</v>
      </c>
      <c r="E30" s="85">
        <v>4920917</v>
      </c>
      <c r="F30" s="86">
        <v>478456</v>
      </c>
      <c r="G30" s="87">
        <v>9.7229033000000005</v>
      </c>
    </row>
    <row r="31" spans="1:7" x14ac:dyDescent="0.25">
      <c r="A31" s="84" t="s">
        <v>318</v>
      </c>
      <c r="B31" s="84" t="s">
        <v>3</v>
      </c>
      <c r="C31" s="84" t="s">
        <v>283</v>
      </c>
      <c r="D31" s="85">
        <v>8604</v>
      </c>
      <c r="E31" s="85">
        <v>284314</v>
      </c>
      <c r="F31" s="86">
        <v>27695</v>
      </c>
      <c r="G31" s="87">
        <v>9.7409905999999999</v>
      </c>
    </row>
    <row r="32" spans="1:7" x14ac:dyDescent="0.25">
      <c r="A32" s="84" t="s">
        <v>319</v>
      </c>
      <c r="B32" s="84" t="s">
        <v>3</v>
      </c>
      <c r="C32" s="84" t="s">
        <v>283</v>
      </c>
      <c r="D32" s="85">
        <v>13548</v>
      </c>
      <c r="E32" s="85">
        <v>428618</v>
      </c>
      <c r="F32" s="86">
        <v>44052</v>
      </c>
      <c r="G32" s="87">
        <v>10.277683</v>
      </c>
    </row>
    <row r="33" spans="1:7" x14ac:dyDescent="0.25">
      <c r="A33" s="84" t="s">
        <v>320</v>
      </c>
      <c r="B33" s="84" t="s">
        <v>3</v>
      </c>
      <c r="C33" s="84" t="s">
        <v>283</v>
      </c>
      <c r="D33" s="85">
        <v>5084</v>
      </c>
      <c r="E33" s="85">
        <v>126095</v>
      </c>
      <c r="F33" s="86">
        <v>14029</v>
      </c>
      <c r="G33" s="87">
        <v>11.125738999999999</v>
      </c>
    </row>
    <row r="34" spans="1:7" x14ac:dyDescent="0.25">
      <c r="A34" s="84" t="s">
        <v>321</v>
      </c>
      <c r="B34" s="84" t="s">
        <v>3</v>
      </c>
      <c r="C34" s="84" t="s">
        <v>283</v>
      </c>
      <c r="D34" s="85">
        <v>8377</v>
      </c>
      <c r="E34" s="85">
        <v>304375</v>
      </c>
      <c r="F34" s="86">
        <v>29106</v>
      </c>
      <c r="G34" s="87">
        <v>9.5625461999999999</v>
      </c>
    </row>
    <row r="35" spans="1:7" x14ac:dyDescent="0.25">
      <c r="A35" s="84" t="s">
        <v>322</v>
      </c>
      <c r="B35" s="84" t="s">
        <v>3</v>
      </c>
      <c r="C35" s="84" t="s">
        <v>283</v>
      </c>
      <c r="D35" s="85">
        <v>2743</v>
      </c>
      <c r="E35" s="85">
        <v>63731</v>
      </c>
      <c r="F35" s="86">
        <v>7626</v>
      </c>
      <c r="G35" s="87">
        <v>11.965919</v>
      </c>
    </row>
    <row r="36" spans="1:7" x14ac:dyDescent="0.25">
      <c r="A36" s="84" t="s">
        <v>323</v>
      </c>
      <c r="B36" s="84" t="s">
        <v>3</v>
      </c>
      <c r="C36" s="84" t="s">
        <v>283</v>
      </c>
      <c r="D36" s="85">
        <v>8074</v>
      </c>
      <c r="E36" s="85">
        <v>416264</v>
      </c>
      <c r="F36" s="86">
        <v>30294</v>
      </c>
      <c r="G36" s="87">
        <v>7.2775930999999998</v>
      </c>
    </row>
    <row r="37" spans="1:7" x14ac:dyDescent="0.25">
      <c r="A37" s="84" t="s">
        <v>324</v>
      </c>
      <c r="B37" s="84" t="s">
        <v>3</v>
      </c>
      <c r="C37" s="84" t="s">
        <v>283</v>
      </c>
      <c r="D37" s="85">
        <v>4903</v>
      </c>
      <c r="E37" s="85">
        <v>91528</v>
      </c>
      <c r="F37" s="86">
        <v>10152</v>
      </c>
      <c r="G37" s="87">
        <v>11.091688</v>
      </c>
    </row>
    <row r="38" spans="1:7" x14ac:dyDescent="0.25">
      <c r="A38" s="84" t="s">
        <v>326</v>
      </c>
      <c r="B38" s="84" t="s">
        <v>3</v>
      </c>
      <c r="C38" s="84" t="s">
        <v>281</v>
      </c>
      <c r="D38" s="85">
        <v>20399</v>
      </c>
      <c r="E38" s="85">
        <v>260209</v>
      </c>
      <c r="F38" s="86">
        <v>33341</v>
      </c>
      <c r="G38" s="87">
        <v>12.813162</v>
      </c>
    </row>
    <row r="39" spans="1:7" x14ac:dyDescent="0.25">
      <c r="A39" s="84" t="s">
        <v>327</v>
      </c>
      <c r="B39" s="84" t="s">
        <v>3</v>
      </c>
      <c r="C39" s="84" t="s">
        <v>281</v>
      </c>
      <c r="D39" s="85">
        <v>17248</v>
      </c>
      <c r="E39" s="85">
        <v>299581</v>
      </c>
      <c r="F39" s="86">
        <v>39050</v>
      </c>
      <c r="G39" s="87">
        <v>13.034872</v>
      </c>
    </row>
    <row r="40" spans="1:7" x14ac:dyDescent="0.25">
      <c r="A40" s="84" t="s">
        <v>328</v>
      </c>
      <c r="B40" s="84" t="s">
        <v>3</v>
      </c>
      <c r="C40" s="84" t="s">
        <v>281</v>
      </c>
      <c r="D40" s="85">
        <v>23613</v>
      </c>
      <c r="E40" s="85">
        <v>382184</v>
      </c>
      <c r="F40" s="86">
        <v>53004</v>
      </c>
      <c r="G40" s="87">
        <v>13.868712</v>
      </c>
    </row>
    <row r="41" spans="1:7" x14ac:dyDescent="0.25">
      <c r="A41" s="84" t="s">
        <v>329</v>
      </c>
      <c r="B41" s="84" t="s">
        <v>3</v>
      </c>
      <c r="C41" s="84" t="s">
        <v>281</v>
      </c>
      <c r="D41" s="85">
        <v>45117</v>
      </c>
      <c r="E41" s="85">
        <v>1006172</v>
      </c>
      <c r="F41" s="86">
        <v>106480</v>
      </c>
      <c r="G41" s="87">
        <v>10.582684</v>
      </c>
    </row>
    <row r="42" spans="1:7" x14ac:dyDescent="0.25">
      <c r="A42" s="84" t="s">
        <v>330</v>
      </c>
      <c r="B42" s="84" t="s">
        <v>3</v>
      </c>
      <c r="C42" s="84" t="s">
        <v>283</v>
      </c>
      <c r="D42" s="85">
        <v>8820</v>
      </c>
      <c r="E42" s="85">
        <v>259490</v>
      </c>
      <c r="F42" s="86">
        <v>28478</v>
      </c>
      <c r="G42" s="87">
        <v>10.974603999999999</v>
      </c>
    </row>
    <row r="43" spans="1:7" x14ac:dyDescent="0.25">
      <c r="A43" s="84" t="s">
        <v>331</v>
      </c>
      <c r="B43" s="84" t="s">
        <v>3</v>
      </c>
      <c r="C43" s="84" t="s">
        <v>283</v>
      </c>
      <c r="D43" s="85">
        <v>26705</v>
      </c>
      <c r="E43" s="85">
        <v>1157831</v>
      </c>
      <c r="F43" s="86">
        <v>86398</v>
      </c>
      <c r="G43" s="87">
        <v>7.4620562000000001</v>
      </c>
    </row>
    <row r="44" spans="1:7" x14ac:dyDescent="0.25">
      <c r="A44" s="84" t="s">
        <v>332</v>
      </c>
      <c r="B44" s="84" t="s">
        <v>3</v>
      </c>
      <c r="C44" s="84" t="s">
        <v>281</v>
      </c>
      <c r="D44" s="85">
        <v>672</v>
      </c>
      <c r="E44" s="85">
        <v>8674</v>
      </c>
      <c r="F44" s="86">
        <v>1418.3</v>
      </c>
      <c r="G44" s="87">
        <v>16.351164000000001</v>
      </c>
    </row>
    <row r="45" spans="1:7" x14ac:dyDescent="0.25">
      <c r="A45" s="84" t="s">
        <v>333</v>
      </c>
      <c r="B45" s="84" t="s">
        <v>3</v>
      </c>
      <c r="C45" s="84" t="s">
        <v>281</v>
      </c>
      <c r="D45" s="85">
        <v>24922</v>
      </c>
      <c r="E45" s="85">
        <v>516126</v>
      </c>
      <c r="F45" s="86">
        <v>60854</v>
      </c>
      <c r="G45" s="87">
        <v>11.790532000000001</v>
      </c>
    </row>
    <row r="46" spans="1:7" x14ac:dyDescent="0.25">
      <c r="A46" s="84" t="s">
        <v>334</v>
      </c>
      <c r="B46" s="84" t="s">
        <v>3</v>
      </c>
      <c r="C46" s="84" t="s">
        <v>283</v>
      </c>
      <c r="D46" s="85">
        <v>51168</v>
      </c>
      <c r="E46" s="85">
        <v>1081365</v>
      </c>
      <c r="F46" s="86">
        <v>121411</v>
      </c>
      <c r="G46" s="87">
        <v>11.227569000000001</v>
      </c>
    </row>
    <row r="47" spans="1:7" x14ac:dyDescent="0.25">
      <c r="A47" s="84" t="s">
        <v>335</v>
      </c>
      <c r="B47" s="84" t="s">
        <v>3</v>
      </c>
      <c r="C47" s="84" t="s">
        <v>283</v>
      </c>
      <c r="D47" s="85">
        <v>8739</v>
      </c>
      <c r="E47" s="85">
        <v>305542</v>
      </c>
      <c r="F47" s="86">
        <v>29006</v>
      </c>
      <c r="G47" s="87">
        <v>9.4932938999999994</v>
      </c>
    </row>
    <row r="48" spans="1:7" x14ac:dyDescent="0.25">
      <c r="A48" s="84" t="s">
        <v>336</v>
      </c>
      <c r="B48" s="84" t="s">
        <v>3</v>
      </c>
      <c r="C48" s="84" t="s">
        <v>281</v>
      </c>
      <c r="D48" s="85">
        <v>7780</v>
      </c>
      <c r="E48" s="85">
        <v>265174</v>
      </c>
      <c r="F48" s="86">
        <v>26453</v>
      </c>
      <c r="G48" s="87">
        <v>9.9757140999999994</v>
      </c>
    </row>
    <row r="49" spans="1:7" x14ac:dyDescent="0.25">
      <c r="A49" s="84" t="s">
        <v>337</v>
      </c>
      <c r="B49" s="84" t="s">
        <v>3</v>
      </c>
      <c r="C49" s="84" t="s">
        <v>283</v>
      </c>
      <c r="D49" s="85">
        <v>6599</v>
      </c>
      <c r="E49" s="85">
        <v>237297</v>
      </c>
      <c r="F49" s="86">
        <v>22629</v>
      </c>
      <c r="G49" s="87">
        <v>9.5361509000000009</v>
      </c>
    </row>
    <row r="50" spans="1:7" x14ac:dyDescent="0.25">
      <c r="A50" s="84" t="s">
        <v>338</v>
      </c>
      <c r="B50" s="84" t="s">
        <v>3</v>
      </c>
      <c r="C50" s="84" t="s">
        <v>281</v>
      </c>
      <c r="D50" s="85">
        <v>44003</v>
      </c>
      <c r="E50" s="85">
        <v>1562081</v>
      </c>
      <c r="F50" s="86">
        <v>139980</v>
      </c>
      <c r="G50" s="87">
        <v>8.9611230000000006</v>
      </c>
    </row>
    <row r="51" spans="1:7" x14ac:dyDescent="0.25">
      <c r="A51" s="84" t="s">
        <v>339</v>
      </c>
      <c r="B51" s="84" t="s">
        <v>3</v>
      </c>
      <c r="C51" s="84" t="s">
        <v>281</v>
      </c>
      <c r="D51" s="85">
        <v>20363</v>
      </c>
      <c r="E51" s="85">
        <v>420001</v>
      </c>
      <c r="F51" s="86">
        <v>46823</v>
      </c>
      <c r="G51" s="87">
        <v>11.148307000000001</v>
      </c>
    </row>
    <row r="52" spans="1:7" x14ac:dyDescent="0.25">
      <c r="A52" s="84" t="s">
        <v>340</v>
      </c>
      <c r="B52" s="84" t="s">
        <v>3</v>
      </c>
      <c r="C52" s="84" t="s">
        <v>281</v>
      </c>
      <c r="D52" s="85">
        <v>18666</v>
      </c>
      <c r="E52" s="85">
        <v>413456</v>
      </c>
      <c r="F52" s="86">
        <v>38874</v>
      </c>
      <c r="G52" s="87">
        <v>9.4022097000000002</v>
      </c>
    </row>
    <row r="53" spans="1:7" x14ac:dyDescent="0.25">
      <c r="A53" s="84" t="s">
        <v>341</v>
      </c>
      <c r="B53" s="84" t="s">
        <v>3</v>
      </c>
      <c r="C53" s="84" t="s">
        <v>281</v>
      </c>
      <c r="D53" s="85">
        <v>19262</v>
      </c>
      <c r="E53" s="85">
        <v>313825</v>
      </c>
      <c r="F53" s="86">
        <v>38732.699999999997</v>
      </c>
      <c r="G53" s="87">
        <v>12.342133</v>
      </c>
    </row>
    <row r="54" spans="1:7" x14ac:dyDescent="0.25">
      <c r="A54" s="84" t="s">
        <v>343</v>
      </c>
      <c r="B54" s="84" t="s">
        <v>3</v>
      </c>
      <c r="C54" s="84" t="s">
        <v>281</v>
      </c>
      <c r="D54" s="85">
        <v>31911</v>
      </c>
      <c r="E54" s="85">
        <v>591356</v>
      </c>
      <c r="F54" s="86">
        <v>66354</v>
      </c>
      <c r="G54" s="87">
        <v>11.220651999999999</v>
      </c>
    </row>
    <row r="55" spans="1:7" x14ac:dyDescent="0.25">
      <c r="A55" s="84" t="s">
        <v>344</v>
      </c>
      <c r="B55" s="84" t="s">
        <v>3</v>
      </c>
      <c r="C55" s="84" t="s">
        <v>283</v>
      </c>
      <c r="D55" s="85">
        <v>19144</v>
      </c>
      <c r="E55" s="85">
        <v>690091</v>
      </c>
      <c r="F55" s="86">
        <v>57000</v>
      </c>
      <c r="G55" s="87">
        <v>8.2597801999999998</v>
      </c>
    </row>
    <row r="56" spans="1:7" x14ac:dyDescent="0.25">
      <c r="A56" s="84" t="s">
        <v>2362</v>
      </c>
      <c r="B56" s="84" t="s">
        <v>3</v>
      </c>
      <c r="C56" s="84" t="s">
        <v>281</v>
      </c>
      <c r="D56" s="85">
        <v>338</v>
      </c>
      <c r="E56" s="85">
        <v>5194</v>
      </c>
      <c r="F56" s="86">
        <v>584.29999999999995</v>
      </c>
      <c r="G56" s="87">
        <v>11.249518999999999</v>
      </c>
    </row>
    <row r="57" spans="1:7" x14ac:dyDescent="0.25">
      <c r="A57" s="84" t="s">
        <v>346</v>
      </c>
      <c r="B57" s="84" t="s">
        <v>3</v>
      </c>
      <c r="C57" s="84" t="s">
        <v>281</v>
      </c>
      <c r="D57" s="85">
        <v>16853</v>
      </c>
      <c r="E57" s="85">
        <v>367891</v>
      </c>
      <c r="F57" s="86">
        <v>43533</v>
      </c>
      <c r="G57" s="87">
        <v>11.833124</v>
      </c>
    </row>
    <row r="58" spans="1:7" x14ac:dyDescent="0.25">
      <c r="A58" s="84" t="s">
        <v>347</v>
      </c>
      <c r="B58" s="84" t="s">
        <v>3</v>
      </c>
      <c r="C58" s="84" t="s">
        <v>281</v>
      </c>
      <c r="D58" s="85">
        <v>22034</v>
      </c>
      <c r="E58" s="85">
        <v>462386</v>
      </c>
      <c r="F58" s="86">
        <v>49261</v>
      </c>
      <c r="G58" s="87">
        <v>10.653653</v>
      </c>
    </row>
    <row r="59" spans="1:7" x14ac:dyDescent="0.25">
      <c r="A59" s="84" t="s">
        <v>349</v>
      </c>
      <c r="B59" s="84" t="s">
        <v>3</v>
      </c>
      <c r="C59" s="84" t="s">
        <v>281</v>
      </c>
      <c r="D59" s="85">
        <v>28112</v>
      </c>
      <c r="E59" s="85">
        <v>556876</v>
      </c>
      <c r="F59" s="86">
        <v>60055.6</v>
      </c>
      <c r="G59" s="87">
        <v>10.784376</v>
      </c>
    </row>
    <row r="60" spans="1:7" x14ac:dyDescent="0.25">
      <c r="A60" s="84" t="s">
        <v>350</v>
      </c>
      <c r="B60" s="84" t="s">
        <v>3</v>
      </c>
      <c r="C60" s="84" t="s">
        <v>351</v>
      </c>
      <c r="D60" s="85">
        <v>11</v>
      </c>
      <c r="E60" s="85">
        <v>5337980</v>
      </c>
      <c r="F60" s="86">
        <v>190093.2</v>
      </c>
      <c r="G60" s="87">
        <v>3.5611448999999999</v>
      </c>
    </row>
    <row r="61" spans="1:7" x14ac:dyDescent="0.25">
      <c r="A61" s="84" t="s">
        <v>353</v>
      </c>
      <c r="B61" s="84" t="s">
        <v>3</v>
      </c>
      <c r="C61" s="84" t="s">
        <v>281</v>
      </c>
      <c r="D61" s="85">
        <v>25127</v>
      </c>
      <c r="E61" s="85">
        <v>375642</v>
      </c>
      <c r="F61" s="86">
        <v>48403</v>
      </c>
      <c r="G61" s="87">
        <v>12.885407000000001</v>
      </c>
    </row>
    <row r="62" spans="1:7" x14ac:dyDescent="0.25">
      <c r="A62" s="84" t="s">
        <v>354</v>
      </c>
      <c r="B62" s="84" t="s">
        <v>12</v>
      </c>
      <c r="C62" s="84" t="s">
        <v>281</v>
      </c>
      <c r="D62" s="85">
        <v>55793</v>
      </c>
      <c r="E62" s="85">
        <v>1079110</v>
      </c>
      <c r="F62" s="86">
        <v>102795.6</v>
      </c>
      <c r="G62" s="87">
        <v>9.5259611999999994</v>
      </c>
    </row>
    <row r="63" spans="1:7" x14ac:dyDescent="0.25">
      <c r="A63" s="84" t="s">
        <v>355</v>
      </c>
      <c r="B63" s="84" t="s">
        <v>12</v>
      </c>
      <c r="C63" s="84" t="s">
        <v>281</v>
      </c>
      <c r="D63" s="85">
        <v>22252</v>
      </c>
      <c r="E63" s="85">
        <v>335195</v>
      </c>
      <c r="F63" s="86">
        <v>37464</v>
      </c>
      <c r="G63" s="87">
        <v>11.176778000000001</v>
      </c>
    </row>
    <row r="64" spans="1:7" x14ac:dyDescent="0.25">
      <c r="A64" s="84" t="s">
        <v>356</v>
      </c>
      <c r="B64" s="84" t="s">
        <v>12</v>
      </c>
      <c r="C64" s="84" t="s">
        <v>281</v>
      </c>
      <c r="D64" s="85">
        <v>92776</v>
      </c>
      <c r="E64" s="85">
        <v>1936843</v>
      </c>
      <c r="F64" s="86">
        <v>170179</v>
      </c>
      <c r="G64" s="87">
        <v>8.7864117000000004</v>
      </c>
    </row>
    <row r="65" spans="1:7" x14ac:dyDescent="0.25">
      <c r="A65" s="84" t="s">
        <v>357</v>
      </c>
      <c r="B65" s="84" t="s">
        <v>12</v>
      </c>
      <c r="C65" s="84" t="s">
        <v>283</v>
      </c>
      <c r="D65" s="85">
        <v>38452</v>
      </c>
      <c r="E65" s="85">
        <v>1325306</v>
      </c>
      <c r="F65" s="86">
        <v>74882</v>
      </c>
      <c r="G65" s="87">
        <v>5.6501668</v>
      </c>
    </row>
    <row r="66" spans="1:7" x14ac:dyDescent="0.25">
      <c r="A66" s="84" t="s">
        <v>358</v>
      </c>
      <c r="B66" s="84" t="s">
        <v>12</v>
      </c>
      <c r="C66" s="84" t="s">
        <v>283</v>
      </c>
      <c r="D66" s="85">
        <v>14251</v>
      </c>
      <c r="E66" s="85">
        <v>258084</v>
      </c>
      <c r="F66" s="86">
        <v>24650.7</v>
      </c>
      <c r="G66" s="87">
        <v>9.5514250999999994</v>
      </c>
    </row>
    <row r="67" spans="1:7" x14ac:dyDescent="0.25">
      <c r="A67" s="84" t="s">
        <v>359</v>
      </c>
      <c r="B67" s="84" t="s">
        <v>12</v>
      </c>
      <c r="C67" s="84" t="s">
        <v>283</v>
      </c>
      <c r="D67" s="85">
        <v>25872</v>
      </c>
      <c r="E67" s="85">
        <v>641726</v>
      </c>
      <c r="F67" s="86">
        <v>64601</v>
      </c>
      <c r="G67" s="87">
        <v>10.066757000000001</v>
      </c>
    </row>
    <row r="68" spans="1:7" x14ac:dyDescent="0.25">
      <c r="A68" s="84" t="s">
        <v>360</v>
      </c>
      <c r="B68" s="84" t="s">
        <v>12</v>
      </c>
      <c r="C68" s="84" t="s">
        <v>283</v>
      </c>
      <c r="D68" s="85">
        <v>6863</v>
      </c>
      <c r="E68" s="85">
        <v>205600</v>
      </c>
      <c r="F68" s="86">
        <v>19885.099999999999</v>
      </c>
      <c r="G68" s="87">
        <v>9.6717411999999996</v>
      </c>
    </row>
    <row r="69" spans="1:7" x14ac:dyDescent="0.25">
      <c r="A69" s="84" t="s">
        <v>361</v>
      </c>
      <c r="B69" s="84" t="s">
        <v>12</v>
      </c>
      <c r="C69" s="84" t="s">
        <v>283</v>
      </c>
      <c r="D69" s="85">
        <v>39164</v>
      </c>
      <c r="E69" s="85">
        <v>851303</v>
      </c>
      <c r="F69" s="86">
        <v>86257</v>
      </c>
      <c r="G69" s="87">
        <v>10.132350000000001</v>
      </c>
    </row>
    <row r="70" spans="1:7" x14ac:dyDescent="0.25">
      <c r="A70" s="84" t="s">
        <v>363</v>
      </c>
      <c r="B70" s="84" t="s">
        <v>12</v>
      </c>
      <c r="C70" s="84" t="s">
        <v>283</v>
      </c>
      <c r="D70" s="85">
        <v>8283</v>
      </c>
      <c r="E70" s="85">
        <v>265392</v>
      </c>
      <c r="F70" s="86">
        <v>22333</v>
      </c>
      <c r="G70" s="87">
        <v>8.4150992000000002</v>
      </c>
    </row>
    <row r="71" spans="1:7" x14ac:dyDescent="0.25">
      <c r="A71" s="84" t="s">
        <v>364</v>
      </c>
      <c r="B71" s="84" t="s">
        <v>12</v>
      </c>
      <c r="C71" s="84" t="s">
        <v>283</v>
      </c>
      <c r="D71" s="85">
        <v>11783</v>
      </c>
      <c r="E71" s="85">
        <v>358817</v>
      </c>
      <c r="F71" s="86">
        <v>22729</v>
      </c>
      <c r="G71" s="87">
        <v>6.3344266999999999</v>
      </c>
    </row>
    <row r="72" spans="1:7" x14ac:dyDescent="0.25">
      <c r="A72" s="84" t="s">
        <v>365</v>
      </c>
      <c r="B72" s="84" t="s">
        <v>12</v>
      </c>
      <c r="C72" s="84" t="s">
        <v>283</v>
      </c>
      <c r="D72" s="85">
        <v>4520</v>
      </c>
      <c r="E72" s="85">
        <v>213457</v>
      </c>
      <c r="F72" s="86">
        <v>15606</v>
      </c>
      <c r="G72" s="87">
        <v>7.3110743999999999</v>
      </c>
    </row>
    <row r="73" spans="1:7" x14ac:dyDescent="0.25">
      <c r="A73" s="84" t="s">
        <v>366</v>
      </c>
      <c r="B73" s="84" t="s">
        <v>12</v>
      </c>
      <c r="C73" s="84" t="s">
        <v>281</v>
      </c>
      <c r="D73" s="85">
        <v>13070</v>
      </c>
      <c r="E73" s="85">
        <v>279805</v>
      </c>
      <c r="F73" s="86">
        <v>31384.1</v>
      </c>
      <c r="G73" s="87">
        <v>11.216419</v>
      </c>
    </row>
    <row r="74" spans="1:7" x14ac:dyDescent="0.25">
      <c r="A74" s="84" t="s">
        <v>367</v>
      </c>
      <c r="B74" s="84" t="s">
        <v>12</v>
      </c>
      <c r="C74" s="84" t="s">
        <v>283</v>
      </c>
      <c r="D74" s="85">
        <v>31510</v>
      </c>
      <c r="E74" s="85">
        <v>891076</v>
      </c>
      <c r="F74" s="86">
        <v>54559.4</v>
      </c>
      <c r="G74" s="87">
        <v>6.1228672</v>
      </c>
    </row>
    <row r="75" spans="1:7" x14ac:dyDescent="0.25">
      <c r="A75" s="84" t="s">
        <v>368</v>
      </c>
      <c r="B75" s="84" t="s">
        <v>12</v>
      </c>
      <c r="C75" s="84" t="s">
        <v>281</v>
      </c>
      <c r="D75" s="85">
        <v>31562</v>
      </c>
      <c r="E75" s="85">
        <v>563805</v>
      </c>
      <c r="F75" s="86">
        <v>58458</v>
      </c>
      <c r="G75" s="87">
        <v>10.368478</v>
      </c>
    </row>
    <row r="76" spans="1:7" x14ac:dyDescent="0.25">
      <c r="A76" s="84" t="s">
        <v>369</v>
      </c>
      <c r="B76" s="84" t="s">
        <v>12</v>
      </c>
      <c r="C76" s="84" t="s">
        <v>278</v>
      </c>
      <c r="D76" s="85">
        <v>4933</v>
      </c>
      <c r="E76" s="85">
        <v>165330</v>
      </c>
      <c r="F76" s="86">
        <v>15845.6</v>
      </c>
      <c r="G76" s="87">
        <v>9.5842255000000005</v>
      </c>
    </row>
    <row r="77" spans="1:7" x14ac:dyDescent="0.25">
      <c r="A77" s="84" t="s">
        <v>2363</v>
      </c>
      <c r="B77" s="84" t="s">
        <v>12</v>
      </c>
      <c r="C77" s="84" t="s">
        <v>278</v>
      </c>
      <c r="D77" s="85">
        <v>718279</v>
      </c>
      <c r="E77" s="85">
        <v>20748145</v>
      </c>
      <c r="F77" s="86">
        <v>1781014.1</v>
      </c>
      <c r="G77" s="87">
        <v>8.5839678999999993</v>
      </c>
    </row>
    <row r="78" spans="1:7" x14ac:dyDescent="0.25">
      <c r="A78" s="84" t="s">
        <v>371</v>
      </c>
      <c r="B78" s="84" t="s">
        <v>12</v>
      </c>
      <c r="C78" s="84" t="s">
        <v>281</v>
      </c>
      <c r="D78" s="85">
        <v>97020</v>
      </c>
      <c r="E78" s="85">
        <v>1915703</v>
      </c>
      <c r="F78" s="86">
        <v>174832.2</v>
      </c>
      <c r="G78" s="87">
        <v>9.1262685000000001</v>
      </c>
    </row>
    <row r="79" spans="1:7" x14ac:dyDescent="0.25">
      <c r="A79" s="84" t="s">
        <v>2364</v>
      </c>
      <c r="B79" s="84" t="s">
        <v>12</v>
      </c>
      <c r="C79" s="84" t="s">
        <v>281</v>
      </c>
      <c r="D79" s="85">
        <v>4838</v>
      </c>
      <c r="E79" s="85">
        <v>3104601</v>
      </c>
      <c r="F79" s="86">
        <v>137482</v>
      </c>
      <c r="G79" s="87">
        <v>4.4283307000000001</v>
      </c>
    </row>
    <row r="80" spans="1:7" x14ac:dyDescent="0.25">
      <c r="A80" s="84" t="s">
        <v>373</v>
      </c>
      <c r="B80" s="84" t="s">
        <v>12</v>
      </c>
      <c r="C80" s="84" t="s">
        <v>281</v>
      </c>
      <c r="D80" s="85">
        <v>37358</v>
      </c>
      <c r="E80" s="85">
        <v>601516</v>
      </c>
      <c r="F80" s="86">
        <v>62619.7</v>
      </c>
      <c r="G80" s="87">
        <v>10.410313</v>
      </c>
    </row>
    <row r="81" spans="1:7" x14ac:dyDescent="0.25">
      <c r="A81" s="84" t="s">
        <v>374</v>
      </c>
      <c r="B81" s="84" t="s">
        <v>12</v>
      </c>
      <c r="C81" s="84" t="s">
        <v>278</v>
      </c>
      <c r="D81" s="85">
        <v>68225</v>
      </c>
      <c r="E81" s="85">
        <v>2442826</v>
      </c>
      <c r="F81" s="86">
        <v>162229.6</v>
      </c>
      <c r="G81" s="87">
        <v>6.6410624</v>
      </c>
    </row>
    <row r="82" spans="1:7" x14ac:dyDescent="0.25">
      <c r="A82" s="84" t="s">
        <v>375</v>
      </c>
      <c r="B82" s="84" t="s">
        <v>12</v>
      </c>
      <c r="C82" s="84" t="s">
        <v>281</v>
      </c>
      <c r="D82" s="85">
        <v>9408</v>
      </c>
      <c r="E82" s="85">
        <v>212914</v>
      </c>
      <c r="F82" s="86">
        <v>23618</v>
      </c>
      <c r="G82" s="87">
        <v>11.092741999999999</v>
      </c>
    </row>
    <row r="83" spans="1:7" x14ac:dyDescent="0.25">
      <c r="A83" s="84" t="s">
        <v>376</v>
      </c>
      <c r="B83" s="84" t="s">
        <v>12</v>
      </c>
      <c r="C83" s="84" t="s">
        <v>281</v>
      </c>
      <c r="D83" s="85">
        <v>68004</v>
      </c>
      <c r="E83" s="85">
        <v>1222098</v>
      </c>
      <c r="F83" s="86">
        <v>124305</v>
      </c>
      <c r="G83" s="87">
        <v>10.171443</v>
      </c>
    </row>
    <row r="84" spans="1:7" x14ac:dyDescent="0.25">
      <c r="A84" s="84" t="s">
        <v>377</v>
      </c>
      <c r="B84" s="84" t="s">
        <v>12</v>
      </c>
      <c r="C84" s="84" t="s">
        <v>283</v>
      </c>
      <c r="D84" s="85">
        <v>13995</v>
      </c>
      <c r="E84" s="85">
        <v>559343</v>
      </c>
      <c r="F84" s="86">
        <v>38733</v>
      </c>
      <c r="G84" s="87">
        <v>6.9247313000000004</v>
      </c>
    </row>
    <row r="85" spans="1:7" x14ac:dyDescent="0.25">
      <c r="A85" s="84" t="s">
        <v>378</v>
      </c>
      <c r="B85" s="84" t="s">
        <v>12</v>
      </c>
      <c r="C85" s="84" t="s">
        <v>281</v>
      </c>
      <c r="D85" s="85">
        <v>20381</v>
      </c>
      <c r="E85" s="85">
        <v>288799</v>
      </c>
      <c r="F85" s="86">
        <v>31543.7</v>
      </c>
      <c r="G85" s="87">
        <v>10.922371999999999</v>
      </c>
    </row>
    <row r="86" spans="1:7" x14ac:dyDescent="0.25">
      <c r="A86" s="84" t="s">
        <v>380</v>
      </c>
      <c r="B86" s="84" t="s">
        <v>12</v>
      </c>
      <c r="C86" s="84" t="s">
        <v>281</v>
      </c>
      <c r="D86" s="85">
        <v>10306</v>
      </c>
      <c r="E86" s="85">
        <v>247303</v>
      </c>
      <c r="F86" s="86">
        <v>23213</v>
      </c>
      <c r="G86" s="87">
        <v>9.3864611</v>
      </c>
    </row>
    <row r="87" spans="1:7" x14ac:dyDescent="0.25">
      <c r="A87" s="84" t="s">
        <v>381</v>
      </c>
      <c r="B87" s="84" t="s">
        <v>12</v>
      </c>
      <c r="C87" s="84" t="s">
        <v>281</v>
      </c>
      <c r="D87" s="85">
        <v>27155</v>
      </c>
      <c r="E87" s="85">
        <v>658341</v>
      </c>
      <c r="F87" s="86">
        <v>58913.1</v>
      </c>
      <c r="G87" s="87">
        <v>8.9487211000000002</v>
      </c>
    </row>
    <row r="88" spans="1:7" x14ac:dyDescent="0.25">
      <c r="A88" s="84" t="s">
        <v>382</v>
      </c>
      <c r="B88" s="84" t="s">
        <v>12</v>
      </c>
      <c r="C88" s="84" t="s">
        <v>278</v>
      </c>
      <c r="D88" s="85">
        <v>122805</v>
      </c>
      <c r="E88" s="85">
        <v>3443343</v>
      </c>
      <c r="F88" s="86">
        <v>284884.8</v>
      </c>
      <c r="G88" s="87">
        <v>8.2734947000000005</v>
      </c>
    </row>
    <row r="89" spans="1:7" x14ac:dyDescent="0.25">
      <c r="A89" s="84" t="s">
        <v>383</v>
      </c>
      <c r="B89" s="84" t="s">
        <v>12</v>
      </c>
      <c r="C89" s="84" t="s">
        <v>281</v>
      </c>
      <c r="D89" s="85">
        <v>19866</v>
      </c>
      <c r="E89" s="85">
        <v>394642</v>
      </c>
      <c r="F89" s="86">
        <v>43126.1</v>
      </c>
      <c r="G89" s="87">
        <v>10.927904</v>
      </c>
    </row>
    <row r="90" spans="1:7" x14ac:dyDescent="0.25">
      <c r="A90" s="84" t="s">
        <v>386</v>
      </c>
      <c r="B90" s="84" t="s">
        <v>8</v>
      </c>
      <c r="C90" s="84" t="s">
        <v>278</v>
      </c>
      <c r="D90" s="85">
        <v>1038</v>
      </c>
      <c r="E90" s="85">
        <v>8847</v>
      </c>
      <c r="F90" s="86">
        <v>812</v>
      </c>
      <c r="G90" s="87">
        <v>9.1782524999999993</v>
      </c>
    </row>
    <row r="91" spans="1:7" x14ac:dyDescent="0.25">
      <c r="A91" s="84" t="s">
        <v>387</v>
      </c>
      <c r="B91" s="84" t="s">
        <v>8</v>
      </c>
      <c r="C91" s="84" t="s">
        <v>174</v>
      </c>
      <c r="D91" s="85">
        <v>473</v>
      </c>
      <c r="E91" s="85">
        <v>39595</v>
      </c>
      <c r="F91" s="86">
        <v>3194.5</v>
      </c>
      <c r="G91" s="87">
        <v>8.0679379000000004</v>
      </c>
    </row>
    <row r="92" spans="1:7" x14ac:dyDescent="0.25">
      <c r="A92" s="84" t="s">
        <v>388</v>
      </c>
      <c r="B92" s="84" t="s">
        <v>8</v>
      </c>
      <c r="C92" s="84" t="s">
        <v>278</v>
      </c>
      <c r="D92" s="85">
        <v>1288703</v>
      </c>
      <c r="E92" s="85">
        <v>29344407</v>
      </c>
      <c r="F92" s="86">
        <v>3439273.7</v>
      </c>
      <c r="G92" s="87">
        <v>11.720371999999999</v>
      </c>
    </row>
    <row r="93" spans="1:7" x14ac:dyDescent="0.25">
      <c r="A93" s="84" t="s">
        <v>389</v>
      </c>
      <c r="B93" s="84" t="s">
        <v>8</v>
      </c>
      <c r="C93" s="84" t="s">
        <v>283</v>
      </c>
      <c r="D93" s="85">
        <v>17011</v>
      </c>
      <c r="E93" s="85">
        <v>326386</v>
      </c>
      <c r="F93" s="86">
        <v>29380.2</v>
      </c>
      <c r="G93" s="87">
        <v>9.0016729000000009</v>
      </c>
    </row>
    <row r="94" spans="1:7" x14ac:dyDescent="0.25">
      <c r="A94" s="84" t="s">
        <v>391</v>
      </c>
      <c r="B94" s="84" t="s">
        <v>8</v>
      </c>
      <c r="C94" s="84" t="s">
        <v>392</v>
      </c>
      <c r="D94" s="85">
        <v>10</v>
      </c>
      <c r="E94" s="85">
        <v>82354</v>
      </c>
      <c r="F94" s="86">
        <v>8513.4</v>
      </c>
      <c r="G94" s="87">
        <v>10.337567</v>
      </c>
    </row>
    <row r="95" spans="1:7" x14ac:dyDescent="0.25">
      <c r="A95" s="84" t="s">
        <v>393</v>
      </c>
      <c r="B95" s="84" t="s">
        <v>8</v>
      </c>
      <c r="C95" s="84" t="s">
        <v>281</v>
      </c>
      <c r="D95" s="85">
        <v>2687</v>
      </c>
      <c r="E95" s="85">
        <v>39581</v>
      </c>
      <c r="F95" s="86">
        <v>3226.4</v>
      </c>
      <c r="G95" s="87">
        <v>8.1513857999999999</v>
      </c>
    </row>
    <row r="96" spans="1:7" x14ac:dyDescent="0.25">
      <c r="A96" s="84" t="s">
        <v>394</v>
      </c>
      <c r="B96" s="84" t="s">
        <v>8</v>
      </c>
      <c r="C96" s="84" t="s">
        <v>385</v>
      </c>
      <c r="D96" s="85">
        <v>5371</v>
      </c>
      <c r="E96" s="85">
        <v>252219</v>
      </c>
      <c r="F96" s="86">
        <v>22277</v>
      </c>
      <c r="G96" s="87">
        <v>8.8324035999999992</v>
      </c>
    </row>
    <row r="97" spans="1:7" x14ac:dyDescent="0.25">
      <c r="A97" s="84" t="s">
        <v>395</v>
      </c>
      <c r="B97" s="84" t="s">
        <v>8</v>
      </c>
      <c r="C97" s="84" t="s">
        <v>385</v>
      </c>
      <c r="D97" s="85">
        <v>27201</v>
      </c>
      <c r="E97" s="85">
        <v>719132</v>
      </c>
      <c r="F97" s="86">
        <v>72524</v>
      </c>
      <c r="G97" s="87">
        <v>10.084936000000001</v>
      </c>
    </row>
    <row r="98" spans="1:7" x14ac:dyDescent="0.25">
      <c r="A98" s="84" t="s">
        <v>397</v>
      </c>
      <c r="B98" s="84" t="s">
        <v>8</v>
      </c>
      <c r="C98" s="84" t="s">
        <v>385</v>
      </c>
      <c r="D98" s="85">
        <v>651</v>
      </c>
      <c r="E98" s="85">
        <v>404532</v>
      </c>
      <c r="F98" s="86">
        <v>21416</v>
      </c>
      <c r="G98" s="87">
        <v>5.2940187999999999</v>
      </c>
    </row>
    <row r="99" spans="1:7" x14ac:dyDescent="0.25">
      <c r="A99" s="84" t="s">
        <v>398</v>
      </c>
      <c r="B99" s="84" t="s">
        <v>8</v>
      </c>
      <c r="C99" s="84" t="s">
        <v>281</v>
      </c>
      <c r="D99" s="85">
        <v>1521</v>
      </c>
      <c r="E99" s="85">
        <v>36334</v>
      </c>
      <c r="F99" s="86">
        <v>3747.2</v>
      </c>
      <c r="G99" s="87">
        <v>10.313205</v>
      </c>
    </row>
    <row r="100" spans="1:7" x14ac:dyDescent="0.25">
      <c r="A100" s="84" t="s">
        <v>400</v>
      </c>
      <c r="B100" s="84" t="s">
        <v>8</v>
      </c>
      <c r="C100" s="84" t="s">
        <v>392</v>
      </c>
      <c r="D100" s="85">
        <v>86</v>
      </c>
      <c r="E100" s="85">
        <v>2594</v>
      </c>
      <c r="F100" s="86">
        <v>241.3</v>
      </c>
      <c r="G100" s="87">
        <v>9.3022358999999994</v>
      </c>
    </row>
    <row r="101" spans="1:7" x14ac:dyDescent="0.25">
      <c r="A101" s="84" t="s">
        <v>2365</v>
      </c>
      <c r="B101" s="84" t="s">
        <v>8</v>
      </c>
      <c r="C101" s="84" t="s">
        <v>392</v>
      </c>
      <c r="D101" s="85">
        <v>1</v>
      </c>
      <c r="E101" s="85">
        <v>14697</v>
      </c>
      <c r="F101" s="86">
        <v>912.7</v>
      </c>
      <c r="G101" s="87">
        <v>6.2101109000000001</v>
      </c>
    </row>
    <row r="102" spans="1:7" x14ac:dyDescent="0.25">
      <c r="A102" s="84" t="s">
        <v>401</v>
      </c>
      <c r="B102" s="84" t="s">
        <v>8</v>
      </c>
      <c r="C102" s="84" t="s">
        <v>392</v>
      </c>
      <c r="D102" s="85">
        <v>16</v>
      </c>
      <c r="E102" s="85">
        <v>8566</v>
      </c>
      <c r="F102" s="86">
        <v>693.1</v>
      </c>
      <c r="G102" s="87">
        <v>8.0912912000000006</v>
      </c>
    </row>
    <row r="103" spans="1:7" x14ac:dyDescent="0.25">
      <c r="A103" s="84" t="s">
        <v>2366</v>
      </c>
      <c r="B103" s="84" t="s">
        <v>8</v>
      </c>
      <c r="C103" s="84" t="s">
        <v>281</v>
      </c>
      <c r="D103" s="85">
        <v>42119</v>
      </c>
      <c r="E103" s="85">
        <v>734082</v>
      </c>
      <c r="F103" s="86">
        <v>70812.2</v>
      </c>
      <c r="G103" s="87">
        <v>9.6463610000000006</v>
      </c>
    </row>
    <row r="104" spans="1:7" x14ac:dyDescent="0.25">
      <c r="A104" s="84" t="s">
        <v>2367</v>
      </c>
      <c r="B104" s="84" t="s">
        <v>8</v>
      </c>
      <c r="C104" s="84" t="s">
        <v>278</v>
      </c>
      <c r="D104" s="85">
        <v>2696</v>
      </c>
      <c r="E104" s="85">
        <v>2668638</v>
      </c>
      <c r="F104" s="86">
        <v>106055.9</v>
      </c>
      <c r="G104" s="87">
        <v>3.9741583999999999</v>
      </c>
    </row>
    <row r="105" spans="1:7" x14ac:dyDescent="0.25">
      <c r="A105" s="84" t="s">
        <v>404</v>
      </c>
      <c r="B105" s="84" t="s">
        <v>8</v>
      </c>
      <c r="C105" s="84" t="s">
        <v>174</v>
      </c>
      <c r="D105" s="85">
        <v>29059</v>
      </c>
      <c r="E105" s="85">
        <v>419318</v>
      </c>
      <c r="F105" s="86">
        <v>54291</v>
      </c>
      <c r="G105" s="87">
        <v>12.947452999999999</v>
      </c>
    </row>
    <row r="106" spans="1:7" x14ac:dyDescent="0.25">
      <c r="A106" s="84" t="s">
        <v>405</v>
      </c>
      <c r="B106" s="84" t="s">
        <v>8</v>
      </c>
      <c r="C106" s="84" t="s">
        <v>281</v>
      </c>
      <c r="D106" s="85">
        <v>40973</v>
      </c>
      <c r="E106" s="85">
        <v>435571</v>
      </c>
      <c r="F106" s="86">
        <v>51888.1</v>
      </c>
      <c r="G106" s="87">
        <v>11.912661999999999</v>
      </c>
    </row>
    <row r="107" spans="1:7" x14ac:dyDescent="0.25">
      <c r="A107" s="84" t="s">
        <v>407</v>
      </c>
      <c r="B107" s="84" t="s">
        <v>8</v>
      </c>
      <c r="C107" s="84" t="s">
        <v>385</v>
      </c>
      <c r="D107" s="85">
        <v>1080214</v>
      </c>
      <c r="E107" s="85">
        <v>30505673</v>
      </c>
      <c r="F107" s="86">
        <v>2968067.7</v>
      </c>
      <c r="G107" s="87">
        <v>9.7295598000000005</v>
      </c>
    </row>
    <row r="108" spans="1:7" x14ac:dyDescent="0.25">
      <c r="A108" s="84" t="s">
        <v>408</v>
      </c>
      <c r="B108" s="84" t="s">
        <v>8</v>
      </c>
      <c r="C108" s="84" t="s">
        <v>392</v>
      </c>
      <c r="D108" s="85">
        <v>41061</v>
      </c>
      <c r="E108" s="85">
        <v>542635</v>
      </c>
      <c r="F108" s="86">
        <v>62057</v>
      </c>
      <c r="G108" s="87">
        <v>11.436232</v>
      </c>
    </row>
    <row r="109" spans="1:7" x14ac:dyDescent="0.25">
      <c r="A109" s="84" t="s">
        <v>409</v>
      </c>
      <c r="B109" s="84" t="s">
        <v>8</v>
      </c>
      <c r="C109" s="84" t="s">
        <v>392</v>
      </c>
      <c r="D109" s="85">
        <v>1472</v>
      </c>
      <c r="E109" s="85">
        <v>16277</v>
      </c>
      <c r="F109" s="86">
        <v>2091</v>
      </c>
      <c r="G109" s="87">
        <v>12.846348000000001</v>
      </c>
    </row>
    <row r="110" spans="1:7" x14ac:dyDescent="0.25">
      <c r="A110" s="84" t="s">
        <v>410</v>
      </c>
      <c r="B110" s="84" t="s">
        <v>8</v>
      </c>
      <c r="C110" s="84" t="s">
        <v>281</v>
      </c>
      <c r="D110" s="85">
        <v>52577</v>
      </c>
      <c r="E110" s="85">
        <v>916784</v>
      </c>
      <c r="F110" s="86">
        <v>105192</v>
      </c>
      <c r="G110" s="87">
        <v>11.474022</v>
      </c>
    </row>
    <row r="111" spans="1:7" x14ac:dyDescent="0.25">
      <c r="A111" s="84" t="s">
        <v>413</v>
      </c>
      <c r="B111" s="84" t="s">
        <v>8</v>
      </c>
      <c r="C111" s="84" t="s">
        <v>392</v>
      </c>
      <c r="D111" s="85">
        <v>11267</v>
      </c>
      <c r="E111" s="85">
        <v>178917</v>
      </c>
      <c r="F111" s="86">
        <v>17240.400000000001</v>
      </c>
      <c r="G111" s="87">
        <v>9.6359764999999999</v>
      </c>
    </row>
    <row r="112" spans="1:7" x14ac:dyDescent="0.25">
      <c r="A112" s="84" t="s">
        <v>414</v>
      </c>
      <c r="B112" s="84" t="s">
        <v>8</v>
      </c>
      <c r="C112" s="84" t="s">
        <v>392</v>
      </c>
      <c r="D112" s="85">
        <v>1572</v>
      </c>
      <c r="E112" s="85">
        <v>17690</v>
      </c>
      <c r="F112" s="86">
        <v>3138.2</v>
      </c>
      <c r="G112" s="87">
        <v>17.739965999999999</v>
      </c>
    </row>
    <row r="113" spans="1:7" x14ac:dyDescent="0.25">
      <c r="A113" s="84" t="s">
        <v>415</v>
      </c>
      <c r="B113" s="84" t="s">
        <v>8</v>
      </c>
      <c r="C113" s="84" t="s">
        <v>392</v>
      </c>
      <c r="D113" s="85">
        <v>25777</v>
      </c>
      <c r="E113" s="85">
        <v>324824</v>
      </c>
      <c r="F113" s="86">
        <v>43918.2</v>
      </c>
      <c r="G113" s="87">
        <v>13.520614</v>
      </c>
    </row>
    <row r="114" spans="1:7" x14ac:dyDescent="0.25">
      <c r="A114" s="84" t="s">
        <v>416</v>
      </c>
      <c r="B114" s="84" t="s">
        <v>8</v>
      </c>
      <c r="C114" s="84" t="s">
        <v>392</v>
      </c>
      <c r="D114" s="85">
        <v>29</v>
      </c>
      <c r="E114" s="85">
        <v>15220</v>
      </c>
      <c r="F114" s="86">
        <v>1736.5</v>
      </c>
      <c r="G114" s="87">
        <v>11.409330000000001</v>
      </c>
    </row>
    <row r="115" spans="1:7" x14ac:dyDescent="0.25">
      <c r="A115" s="84" t="s">
        <v>417</v>
      </c>
      <c r="B115" s="84" t="s">
        <v>8</v>
      </c>
      <c r="C115" s="84" t="s">
        <v>281</v>
      </c>
      <c r="D115" s="85">
        <v>49480</v>
      </c>
      <c r="E115" s="85">
        <v>819276</v>
      </c>
      <c r="F115" s="86">
        <v>108315.8</v>
      </c>
      <c r="G115" s="87">
        <v>13.220917</v>
      </c>
    </row>
    <row r="116" spans="1:7" x14ac:dyDescent="0.25">
      <c r="A116" s="84" t="s">
        <v>418</v>
      </c>
      <c r="B116" s="84" t="s">
        <v>8</v>
      </c>
      <c r="C116" s="84" t="s">
        <v>278</v>
      </c>
      <c r="D116" s="85">
        <v>436303</v>
      </c>
      <c r="E116" s="85">
        <v>9110858</v>
      </c>
      <c r="F116" s="86">
        <v>1002922.2</v>
      </c>
      <c r="G116" s="87">
        <v>11.007987999999999</v>
      </c>
    </row>
    <row r="117" spans="1:7" x14ac:dyDescent="0.25">
      <c r="A117" s="84" t="s">
        <v>419</v>
      </c>
      <c r="B117" s="84" t="s">
        <v>8</v>
      </c>
      <c r="C117" s="84" t="s">
        <v>278</v>
      </c>
      <c r="D117" s="85">
        <v>100998</v>
      </c>
      <c r="E117" s="85">
        <v>1808947</v>
      </c>
      <c r="F117" s="86">
        <v>177896</v>
      </c>
      <c r="G117" s="87">
        <v>9.8342294999999993</v>
      </c>
    </row>
    <row r="118" spans="1:7" x14ac:dyDescent="0.25">
      <c r="A118" s="84" t="s">
        <v>420</v>
      </c>
      <c r="B118" s="84" t="s">
        <v>8</v>
      </c>
      <c r="C118" s="84" t="s">
        <v>351</v>
      </c>
      <c r="D118" s="85">
        <v>12652</v>
      </c>
      <c r="E118" s="85">
        <v>228752</v>
      </c>
      <c r="F118" s="86">
        <v>25943</v>
      </c>
      <c r="G118" s="87">
        <v>11.341103</v>
      </c>
    </row>
    <row r="119" spans="1:7" x14ac:dyDescent="0.25">
      <c r="A119" s="84" t="s">
        <v>421</v>
      </c>
      <c r="B119" s="84" t="s">
        <v>8</v>
      </c>
      <c r="C119" s="84" t="s">
        <v>392</v>
      </c>
      <c r="D119" s="85">
        <v>5257</v>
      </c>
      <c r="E119" s="85">
        <v>58698</v>
      </c>
      <c r="F119" s="86">
        <v>5398.6</v>
      </c>
      <c r="G119" s="87">
        <v>9.1972468999999997</v>
      </c>
    </row>
    <row r="120" spans="1:7" x14ac:dyDescent="0.25">
      <c r="A120" s="84" t="s">
        <v>422</v>
      </c>
      <c r="B120" s="84" t="s">
        <v>8</v>
      </c>
      <c r="C120" s="84" t="s">
        <v>351</v>
      </c>
      <c r="D120" s="85">
        <v>20</v>
      </c>
      <c r="E120" s="85">
        <v>328755</v>
      </c>
      <c r="F120" s="86">
        <v>5564.4</v>
      </c>
      <c r="G120" s="87">
        <v>1.6925673999999999</v>
      </c>
    </row>
    <row r="121" spans="1:7" x14ac:dyDescent="0.25">
      <c r="A121" s="84" t="s">
        <v>424</v>
      </c>
      <c r="B121" s="84" t="s">
        <v>15</v>
      </c>
      <c r="C121" s="84" t="s">
        <v>392</v>
      </c>
      <c r="D121" s="85">
        <v>25</v>
      </c>
      <c r="E121" s="85">
        <v>9981</v>
      </c>
      <c r="F121" s="86">
        <v>2125.1</v>
      </c>
      <c r="G121" s="87">
        <v>21.291454000000002</v>
      </c>
    </row>
    <row r="122" spans="1:7" x14ac:dyDescent="0.25">
      <c r="A122" s="84" t="s">
        <v>2368</v>
      </c>
      <c r="B122" s="84" t="s">
        <v>15</v>
      </c>
      <c r="C122" s="84" t="s">
        <v>283</v>
      </c>
      <c r="D122" s="85">
        <v>36296</v>
      </c>
      <c r="E122" s="85">
        <v>339583</v>
      </c>
      <c r="F122" s="86">
        <v>62941.2</v>
      </c>
      <c r="G122" s="87">
        <v>18.534849999999999</v>
      </c>
    </row>
    <row r="123" spans="1:7" x14ac:dyDescent="0.25">
      <c r="A123" s="84" t="s">
        <v>426</v>
      </c>
      <c r="B123" s="84" t="s">
        <v>15</v>
      </c>
      <c r="C123" s="84" t="s">
        <v>278</v>
      </c>
      <c r="D123" s="85">
        <v>24474</v>
      </c>
      <c r="E123" s="85">
        <v>136299</v>
      </c>
      <c r="F123" s="86">
        <v>36753.300000000003</v>
      </c>
      <c r="G123" s="87">
        <v>26.965202000000001</v>
      </c>
    </row>
    <row r="124" spans="1:7" x14ac:dyDescent="0.25">
      <c r="A124" s="84" t="s">
        <v>427</v>
      </c>
      <c r="B124" s="84" t="s">
        <v>15</v>
      </c>
      <c r="C124" s="84" t="s">
        <v>283</v>
      </c>
      <c r="D124" s="85">
        <v>1539</v>
      </c>
      <c r="E124" s="85">
        <v>850971</v>
      </c>
      <c r="F124" s="86">
        <v>120255.3</v>
      </c>
      <c r="G124" s="87">
        <v>14.131539</v>
      </c>
    </row>
    <row r="125" spans="1:7" x14ac:dyDescent="0.25">
      <c r="A125" s="84" t="s">
        <v>429</v>
      </c>
      <c r="B125" s="84" t="s">
        <v>15</v>
      </c>
      <c r="C125" s="84" t="s">
        <v>283</v>
      </c>
      <c r="D125" s="85">
        <v>121102</v>
      </c>
      <c r="E125" s="85">
        <v>2085895</v>
      </c>
      <c r="F125" s="86">
        <v>351449</v>
      </c>
      <c r="G125" s="87">
        <v>16.848835000000001</v>
      </c>
    </row>
    <row r="126" spans="1:7" x14ac:dyDescent="0.25">
      <c r="A126" s="84" t="s">
        <v>430</v>
      </c>
      <c r="B126" s="84" t="s">
        <v>15</v>
      </c>
      <c r="C126" s="84" t="s">
        <v>283</v>
      </c>
      <c r="D126" s="85">
        <v>16988</v>
      </c>
      <c r="E126" s="85">
        <v>242612</v>
      </c>
      <c r="F126" s="86">
        <v>35474</v>
      </c>
      <c r="G126" s="87">
        <v>14.621700000000001</v>
      </c>
    </row>
    <row r="127" spans="1:7" x14ac:dyDescent="0.25">
      <c r="A127" s="84" t="s">
        <v>432</v>
      </c>
      <c r="B127" s="84" t="s">
        <v>15</v>
      </c>
      <c r="C127" s="84" t="s">
        <v>283</v>
      </c>
      <c r="D127" s="85">
        <v>53030</v>
      </c>
      <c r="E127" s="85">
        <v>1019371</v>
      </c>
      <c r="F127" s="86">
        <v>157616.1</v>
      </c>
      <c r="G127" s="87">
        <v>15.462094</v>
      </c>
    </row>
    <row r="128" spans="1:7" x14ac:dyDescent="0.25">
      <c r="A128" s="84" t="s">
        <v>433</v>
      </c>
      <c r="B128" s="84" t="s">
        <v>15</v>
      </c>
      <c r="C128" s="84" t="s">
        <v>283</v>
      </c>
      <c r="D128" s="85">
        <v>19842</v>
      </c>
      <c r="E128" s="85">
        <v>344177</v>
      </c>
      <c r="F128" s="86">
        <v>55944</v>
      </c>
      <c r="G128" s="87">
        <v>16.254427</v>
      </c>
    </row>
    <row r="129" spans="1:7" x14ac:dyDescent="0.25">
      <c r="A129" s="84" t="s">
        <v>434</v>
      </c>
      <c r="B129" s="84" t="s">
        <v>15</v>
      </c>
      <c r="C129" s="84" t="s">
        <v>283</v>
      </c>
      <c r="D129" s="85">
        <v>1833</v>
      </c>
      <c r="E129" s="85">
        <v>79307</v>
      </c>
      <c r="F129" s="86">
        <v>10704.1</v>
      </c>
      <c r="G129" s="87">
        <v>13.497043</v>
      </c>
    </row>
    <row r="130" spans="1:7" x14ac:dyDescent="0.25">
      <c r="A130" s="84" t="s">
        <v>435</v>
      </c>
      <c r="B130" s="84" t="s">
        <v>15</v>
      </c>
      <c r="C130" s="84" t="s">
        <v>283</v>
      </c>
      <c r="D130" s="85">
        <v>90030</v>
      </c>
      <c r="E130" s="85">
        <v>982761</v>
      </c>
      <c r="F130" s="86">
        <v>192547.3</v>
      </c>
      <c r="G130" s="87">
        <v>19.592485</v>
      </c>
    </row>
    <row r="131" spans="1:7" x14ac:dyDescent="0.25">
      <c r="A131" s="84" t="s">
        <v>437</v>
      </c>
      <c r="B131" s="84" t="s">
        <v>15</v>
      </c>
      <c r="C131" s="84" t="s">
        <v>283</v>
      </c>
      <c r="D131" s="85">
        <v>25008</v>
      </c>
      <c r="E131" s="85">
        <v>429591</v>
      </c>
      <c r="F131" s="86">
        <v>74502</v>
      </c>
      <c r="G131" s="87">
        <v>17.342542000000002</v>
      </c>
    </row>
    <row r="132" spans="1:7" x14ac:dyDescent="0.25">
      <c r="A132" s="84" t="s">
        <v>439</v>
      </c>
      <c r="B132" s="84" t="s">
        <v>15</v>
      </c>
      <c r="C132" s="84" t="s">
        <v>283</v>
      </c>
      <c r="D132" s="85">
        <v>6973</v>
      </c>
      <c r="E132" s="85">
        <v>204004</v>
      </c>
      <c r="F132" s="86">
        <v>33173.699999999997</v>
      </c>
      <c r="G132" s="87">
        <v>16.261299000000001</v>
      </c>
    </row>
    <row r="133" spans="1:7" x14ac:dyDescent="0.25">
      <c r="A133" s="84" t="s">
        <v>440</v>
      </c>
      <c r="B133" s="84" t="s">
        <v>15</v>
      </c>
      <c r="C133" s="84" t="s">
        <v>283</v>
      </c>
      <c r="D133" s="85">
        <v>28958</v>
      </c>
      <c r="E133" s="85">
        <v>825469</v>
      </c>
      <c r="F133" s="86">
        <v>131097</v>
      </c>
      <c r="G133" s="87">
        <v>15.881517000000001</v>
      </c>
    </row>
    <row r="134" spans="1:7" x14ac:dyDescent="0.25">
      <c r="A134" s="84" t="s">
        <v>441</v>
      </c>
      <c r="B134" s="84" t="s">
        <v>15</v>
      </c>
      <c r="C134" s="84" t="s">
        <v>283</v>
      </c>
      <c r="D134" s="85">
        <v>64949</v>
      </c>
      <c r="E134" s="85">
        <v>977575</v>
      </c>
      <c r="F134" s="86">
        <v>191148.5</v>
      </c>
      <c r="G134" s="87">
        <v>19.553334</v>
      </c>
    </row>
    <row r="135" spans="1:7" x14ac:dyDescent="0.25">
      <c r="A135" s="84" t="s">
        <v>442</v>
      </c>
      <c r="B135" s="84" t="s">
        <v>15</v>
      </c>
      <c r="C135" s="84" t="s">
        <v>283</v>
      </c>
      <c r="D135" s="85">
        <v>44305</v>
      </c>
      <c r="E135" s="85">
        <v>736519</v>
      </c>
      <c r="F135" s="86">
        <v>120915</v>
      </c>
      <c r="G135" s="87">
        <v>16.417092</v>
      </c>
    </row>
    <row r="136" spans="1:7" x14ac:dyDescent="0.25">
      <c r="A136" s="84" t="s">
        <v>443</v>
      </c>
      <c r="B136" s="84" t="s">
        <v>15</v>
      </c>
      <c r="C136" s="84" t="s">
        <v>283</v>
      </c>
      <c r="D136" s="85">
        <v>111157</v>
      </c>
      <c r="E136" s="85">
        <v>2144679</v>
      </c>
      <c r="F136" s="86">
        <v>322584</v>
      </c>
      <c r="G136" s="87">
        <v>15.041131999999999</v>
      </c>
    </row>
    <row r="137" spans="1:7" x14ac:dyDescent="0.25">
      <c r="A137" s="84" t="s">
        <v>444</v>
      </c>
      <c r="B137" s="84" t="s">
        <v>15</v>
      </c>
      <c r="C137" s="84" t="s">
        <v>283</v>
      </c>
      <c r="D137" s="85">
        <v>63507</v>
      </c>
      <c r="E137" s="85">
        <v>1150099</v>
      </c>
      <c r="F137" s="86">
        <v>159949.79999999999</v>
      </c>
      <c r="G137" s="87">
        <v>13.907481000000001</v>
      </c>
    </row>
    <row r="138" spans="1:7" x14ac:dyDescent="0.25">
      <c r="A138" s="84" t="s">
        <v>445</v>
      </c>
      <c r="B138" s="84" t="s">
        <v>15</v>
      </c>
      <c r="C138" s="84" t="s">
        <v>283</v>
      </c>
      <c r="D138" s="85">
        <v>58395</v>
      </c>
      <c r="E138" s="85">
        <v>3741014</v>
      </c>
      <c r="F138" s="86">
        <v>432838.6</v>
      </c>
      <c r="G138" s="87">
        <v>11.570088</v>
      </c>
    </row>
    <row r="139" spans="1:7" x14ac:dyDescent="0.25">
      <c r="A139" s="84" t="s">
        <v>448</v>
      </c>
      <c r="B139" s="84" t="s">
        <v>15</v>
      </c>
      <c r="C139" s="84" t="s">
        <v>283</v>
      </c>
      <c r="D139" s="85">
        <v>1899</v>
      </c>
      <c r="E139" s="85">
        <v>1120840</v>
      </c>
      <c r="F139" s="86">
        <v>169801.4</v>
      </c>
      <c r="G139" s="87">
        <v>15.149476999999999</v>
      </c>
    </row>
    <row r="140" spans="1:7" x14ac:dyDescent="0.25">
      <c r="A140" s="84" t="s">
        <v>391</v>
      </c>
      <c r="B140" s="84" t="s">
        <v>15</v>
      </c>
      <c r="C140" s="84" t="s">
        <v>392</v>
      </c>
      <c r="D140" s="85">
        <v>20</v>
      </c>
      <c r="E140" s="85">
        <v>70766</v>
      </c>
      <c r="F140" s="86">
        <v>11616.9</v>
      </c>
      <c r="G140" s="87">
        <v>16.415934</v>
      </c>
    </row>
    <row r="141" spans="1:7" x14ac:dyDescent="0.25">
      <c r="A141" s="84" t="s">
        <v>400</v>
      </c>
      <c r="B141" s="84" t="s">
        <v>15</v>
      </c>
      <c r="C141" s="84" t="s">
        <v>392</v>
      </c>
      <c r="D141" s="85">
        <v>216</v>
      </c>
      <c r="E141" s="85">
        <v>3203</v>
      </c>
      <c r="F141" s="86">
        <v>509.1</v>
      </c>
      <c r="G141" s="87">
        <v>15.894474000000001</v>
      </c>
    </row>
    <row r="142" spans="1:7" x14ac:dyDescent="0.25">
      <c r="A142" s="84" t="s">
        <v>2365</v>
      </c>
      <c r="B142" s="84" t="s">
        <v>15</v>
      </c>
      <c r="C142" s="84" t="s">
        <v>392</v>
      </c>
      <c r="D142" s="85">
        <v>2</v>
      </c>
      <c r="E142" s="85">
        <v>58625</v>
      </c>
      <c r="F142" s="86">
        <v>4607.3</v>
      </c>
      <c r="G142" s="87">
        <v>7.8589339000000002</v>
      </c>
    </row>
    <row r="143" spans="1:7" x14ac:dyDescent="0.25">
      <c r="A143" s="84" t="s">
        <v>450</v>
      </c>
      <c r="B143" s="84" t="s">
        <v>15</v>
      </c>
      <c r="C143" s="84" t="s">
        <v>385</v>
      </c>
      <c r="D143" s="85">
        <v>157889</v>
      </c>
      <c r="E143" s="85">
        <v>3492394</v>
      </c>
      <c r="F143" s="86">
        <v>434111</v>
      </c>
      <c r="G143" s="87">
        <v>12.430184000000001</v>
      </c>
    </row>
    <row r="144" spans="1:7" x14ac:dyDescent="0.25">
      <c r="A144" s="84" t="s">
        <v>451</v>
      </c>
      <c r="B144" s="84" t="s">
        <v>15</v>
      </c>
      <c r="C144" s="84" t="s">
        <v>385</v>
      </c>
      <c r="D144" s="85">
        <v>1</v>
      </c>
      <c r="E144" s="85">
        <v>240148</v>
      </c>
      <c r="F144" s="86">
        <v>1834</v>
      </c>
      <c r="G144" s="87">
        <v>0.76369569999999998</v>
      </c>
    </row>
    <row r="145" spans="1:7" x14ac:dyDescent="0.25">
      <c r="A145" s="84" t="s">
        <v>453</v>
      </c>
      <c r="B145" s="84" t="s">
        <v>15</v>
      </c>
      <c r="C145" s="84" t="s">
        <v>278</v>
      </c>
      <c r="D145" s="85">
        <v>50210</v>
      </c>
      <c r="E145" s="85">
        <v>554358</v>
      </c>
      <c r="F145" s="86">
        <v>79224.399999999994</v>
      </c>
      <c r="G145" s="87">
        <v>14.291198</v>
      </c>
    </row>
    <row r="146" spans="1:7" x14ac:dyDescent="0.25">
      <c r="A146" s="84" t="s">
        <v>401</v>
      </c>
      <c r="B146" s="84" t="s">
        <v>15</v>
      </c>
      <c r="C146" s="84" t="s">
        <v>392</v>
      </c>
      <c r="D146" s="85">
        <v>156</v>
      </c>
      <c r="E146" s="85">
        <v>54057</v>
      </c>
      <c r="F146" s="86">
        <v>8907.7000000000007</v>
      </c>
      <c r="G146" s="87">
        <v>16.478346999999999</v>
      </c>
    </row>
    <row r="147" spans="1:7" x14ac:dyDescent="0.25">
      <c r="A147" s="84" t="s">
        <v>454</v>
      </c>
      <c r="B147" s="84" t="s">
        <v>15</v>
      </c>
      <c r="C147" s="84" t="s">
        <v>283</v>
      </c>
      <c r="D147" s="85">
        <v>1452907</v>
      </c>
      <c r="E147" s="85">
        <v>20960389</v>
      </c>
      <c r="F147" s="86">
        <v>4086338.3</v>
      </c>
      <c r="G147" s="87">
        <v>19.495526999999999</v>
      </c>
    </row>
    <row r="148" spans="1:7" x14ac:dyDescent="0.25">
      <c r="A148" s="84" t="s">
        <v>455</v>
      </c>
      <c r="B148" s="84" t="s">
        <v>15</v>
      </c>
      <c r="C148" s="84" t="s">
        <v>385</v>
      </c>
      <c r="D148" s="85">
        <v>10814</v>
      </c>
      <c r="E148" s="85">
        <v>515863</v>
      </c>
      <c r="F148" s="86">
        <v>65800.3</v>
      </c>
      <c r="G148" s="87">
        <v>12.755383</v>
      </c>
    </row>
    <row r="149" spans="1:7" x14ac:dyDescent="0.25">
      <c r="A149" s="84" t="s">
        <v>456</v>
      </c>
      <c r="B149" s="84" t="s">
        <v>15</v>
      </c>
      <c r="C149" s="84" t="s">
        <v>385</v>
      </c>
      <c r="D149" s="85">
        <v>129911</v>
      </c>
      <c r="E149" s="85">
        <v>2588108</v>
      </c>
      <c r="F149" s="86">
        <v>371982.5</v>
      </c>
      <c r="G149" s="87">
        <v>14.372757999999999</v>
      </c>
    </row>
    <row r="150" spans="1:7" x14ac:dyDescent="0.25">
      <c r="A150" s="84" t="s">
        <v>457</v>
      </c>
      <c r="B150" s="84" t="s">
        <v>15</v>
      </c>
      <c r="C150" s="84" t="s">
        <v>278</v>
      </c>
      <c r="D150" s="85">
        <v>45679</v>
      </c>
      <c r="E150" s="85">
        <v>758823</v>
      </c>
      <c r="F150" s="86">
        <v>91774.399999999994</v>
      </c>
      <c r="G150" s="87">
        <v>12.094309000000001</v>
      </c>
    </row>
    <row r="151" spans="1:7" x14ac:dyDescent="0.25">
      <c r="A151" s="84" t="s">
        <v>458</v>
      </c>
      <c r="B151" s="84" t="s">
        <v>15</v>
      </c>
      <c r="C151" s="84" t="s">
        <v>278</v>
      </c>
      <c r="D151" s="85">
        <v>2463331</v>
      </c>
      <c r="E151" s="85">
        <v>36233951</v>
      </c>
      <c r="F151" s="86">
        <v>8351402</v>
      </c>
      <c r="G151" s="87">
        <v>23.048555</v>
      </c>
    </row>
    <row r="152" spans="1:7" x14ac:dyDescent="0.25">
      <c r="A152" s="84" t="s">
        <v>464</v>
      </c>
      <c r="B152" s="84" t="s">
        <v>15</v>
      </c>
      <c r="C152" s="84" t="s">
        <v>385</v>
      </c>
      <c r="D152" s="85">
        <v>638769</v>
      </c>
      <c r="E152" s="85">
        <v>10415276</v>
      </c>
      <c r="F152" s="86">
        <v>1474886.7</v>
      </c>
      <c r="G152" s="87">
        <v>14.160803</v>
      </c>
    </row>
    <row r="153" spans="1:7" x14ac:dyDescent="0.25">
      <c r="A153" s="84" t="s">
        <v>465</v>
      </c>
      <c r="B153" s="84" t="s">
        <v>15</v>
      </c>
      <c r="C153" s="84" t="s">
        <v>278</v>
      </c>
      <c r="D153" s="85">
        <v>1464831</v>
      </c>
      <c r="E153" s="85">
        <v>14398115</v>
      </c>
      <c r="F153" s="86">
        <v>3460841.4</v>
      </c>
      <c r="G153" s="87">
        <v>24.036767000000001</v>
      </c>
    </row>
    <row r="154" spans="1:7" x14ac:dyDescent="0.25">
      <c r="A154" s="84" t="s">
        <v>408</v>
      </c>
      <c r="B154" s="84" t="s">
        <v>15</v>
      </c>
      <c r="C154" s="84" t="s">
        <v>392</v>
      </c>
      <c r="D154" s="85">
        <v>152880</v>
      </c>
      <c r="E154" s="85">
        <v>1326512</v>
      </c>
      <c r="F154" s="86">
        <v>220895.9</v>
      </c>
      <c r="G154" s="87">
        <v>16.652386</v>
      </c>
    </row>
    <row r="155" spans="1:7" x14ac:dyDescent="0.25">
      <c r="A155" s="84" t="s">
        <v>466</v>
      </c>
      <c r="B155" s="84" t="s">
        <v>15</v>
      </c>
      <c r="C155" s="84" t="s">
        <v>278</v>
      </c>
      <c r="D155" s="85">
        <v>3921820</v>
      </c>
      <c r="E155" s="85">
        <v>58845770</v>
      </c>
      <c r="F155" s="86">
        <v>9504361</v>
      </c>
      <c r="G155" s="87">
        <v>16.151306999999999</v>
      </c>
    </row>
    <row r="156" spans="1:7" x14ac:dyDescent="0.25">
      <c r="A156" s="84" t="s">
        <v>409</v>
      </c>
      <c r="B156" s="84" t="s">
        <v>15</v>
      </c>
      <c r="C156" s="84" t="s">
        <v>392</v>
      </c>
      <c r="D156" s="85">
        <v>16819</v>
      </c>
      <c r="E156" s="85">
        <v>138034</v>
      </c>
      <c r="F156" s="86">
        <v>27126</v>
      </c>
      <c r="G156" s="87">
        <v>19.651679999999999</v>
      </c>
    </row>
    <row r="157" spans="1:7" x14ac:dyDescent="0.25">
      <c r="A157" s="84" t="s">
        <v>413</v>
      </c>
      <c r="B157" s="84" t="s">
        <v>15</v>
      </c>
      <c r="C157" s="84" t="s">
        <v>392</v>
      </c>
      <c r="D157" s="85">
        <v>49132</v>
      </c>
      <c r="E157" s="85">
        <v>442615</v>
      </c>
      <c r="F157" s="86">
        <v>77431</v>
      </c>
      <c r="G157" s="87">
        <v>17.493984999999999</v>
      </c>
    </row>
    <row r="158" spans="1:7" x14ac:dyDescent="0.25">
      <c r="A158" s="84" t="s">
        <v>414</v>
      </c>
      <c r="B158" s="84" t="s">
        <v>15</v>
      </c>
      <c r="C158" s="84" t="s">
        <v>392</v>
      </c>
      <c r="D158" s="85">
        <v>18976</v>
      </c>
      <c r="E158" s="85">
        <v>156439</v>
      </c>
      <c r="F158" s="86">
        <v>34195</v>
      </c>
      <c r="G158" s="87">
        <v>21.858360000000001</v>
      </c>
    </row>
    <row r="159" spans="1:7" x14ac:dyDescent="0.25">
      <c r="A159" s="84" t="s">
        <v>415</v>
      </c>
      <c r="B159" s="84" t="s">
        <v>15</v>
      </c>
      <c r="C159" s="84" t="s">
        <v>392</v>
      </c>
      <c r="D159" s="85">
        <v>113982</v>
      </c>
      <c r="E159" s="85">
        <v>868281</v>
      </c>
      <c r="F159" s="86">
        <v>198608.7</v>
      </c>
      <c r="G159" s="87">
        <v>22.873781999999999</v>
      </c>
    </row>
    <row r="160" spans="1:7" x14ac:dyDescent="0.25">
      <c r="A160" s="84" t="s">
        <v>467</v>
      </c>
      <c r="B160" s="84" t="s">
        <v>15</v>
      </c>
      <c r="C160" s="84" t="s">
        <v>281</v>
      </c>
      <c r="D160" s="85">
        <v>4346</v>
      </c>
      <c r="E160" s="85">
        <v>112990</v>
      </c>
      <c r="F160" s="86">
        <v>10385.700000000001</v>
      </c>
      <c r="G160" s="87">
        <v>9.1916983999999999</v>
      </c>
    </row>
    <row r="161" spans="1:7" x14ac:dyDescent="0.25">
      <c r="A161" s="84" t="s">
        <v>416</v>
      </c>
      <c r="B161" s="84" t="s">
        <v>15</v>
      </c>
      <c r="C161" s="84" t="s">
        <v>392</v>
      </c>
      <c r="D161" s="85">
        <v>82</v>
      </c>
      <c r="E161" s="85">
        <v>34402</v>
      </c>
      <c r="F161" s="86">
        <v>5571.6</v>
      </c>
      <c r="G161" s="87">
        <v>16.19557</v>
      </c>
    </row>
    <row r="162" spans="1:7" x14ac:dyDescent="0.25">
      <c r="A162" s="84" t="s">
        <v>469</v>
      </c>
      <c r="B162" s="84" t="s">
        <v>15</v>
      </c>
      <c r="C162" s="84" t="s">
        <v>385</v>
      </c>
      <c r="D162" s="85">
        <v>103980</v>
      </c>
      <c r="E162" s="85">
        <v>2163508</v>
      </c>
      <c r="F162" s="86">
        <v>300974</v>
      </c>
      <c r="G162" s="87">
        <v>13.911388000000001</v>
      </c>
    </row>
    <row r="163" spans="1:7" x14ac:dyDescent="0.25">
      <c r="A163" s="84" t="s">
        <v>470</v>
      </c>
      <c r="B163" s="84" t="s">
        <v>15</v>
      </c>
      <c r="C163" s="84" t="s">
        <v>281</v>
      </c>
      <c r="D163" s="85">
        <v>44</v>
      </c>
      <c r="E163" s="85">
        <v>10019</v>
      </c>
      <c r="F163" s="86">
        <v>994.1</v>
      </c>
      <c r="G163" s="87">
        <v>9.9221479000000006</v>
      </c>
    </row>
    <row r="164" spans="1:7" x14ac:dyDescent="0.25">
      <c r="A164" s="84" t="s">
        <v>421</v>
      </c>
      <c r="B164" s="84" t="s">
        <v>15</v>
      </c>
      <c r="C164" s="84" t="s">
        <v>392</v>
      </c>
      <c r="D164" s="85">
        <v>81166</v>
      </c>
      <c r="E164" s="85">
        <v>472760</v>
      </c>
      <c r="F164" s="86">
        <v>81821.399999999994</v>
      </c>
      <c r="G164" s="87">
        <v>17.307175000000001</v>
      </c>
    </row>
    <row r="165" spans="1:7" x14ac:dyDescent="0.25">
      <c r="A165" s="84" t="s">
        <v>422</v>
      </c>
      <c r="B165" s="84" t="s">
        <v>15</v>
      </c>
      <c r="C165" s="84" t="s">
        <v>351</v>
      </c>
      <c r="D165" s="85">
        <v>94</v>
      </c>
      <c r="E165" s="85">
        <v>3315964</v>
      </c>
      <c r="F165" s="86">
        <v>90851.1</v>
      </c>
      <c r="G165" s="87">
        <v>2.7398096000000001</v>
      </c>
    </row>
    <row r="166" spans="1:7" x14ac:dyDescent="0.25">
      <c r="A166" s="84" t="s">
        <v>2369</v>
      </c>
      <c r="B166" s="84" t="s">
        <v>16</v>
      </c>
      <c r="C166" s="84" t="s">
        <v>278</v>
      </c>
      <c r="D166" s="85">
        <v>98407</v>
      </c>
      <c r="E166" s="85">
        <v>1911627</v>
      </c>
      <c r="F166" s="86">
        <v>241191</v>
      </c>
      <c r="G166" s="87">
        <v>12.617053</v>
      </c>
    </row>
    <row r="167" spans="1:7" x14ac:dyDescent="0.25">
      <c r="A167" s="84" t="s">
        <v>473</v>
      </c>
      <c r="B167" s="84" t="s">
        <v>16</v>
      </c>
      <c r="C167" s="84" t="s">
        <v>283</v>
      </c>
      <c r="D167" s="85">
        <v>239446</v>
      </c>
      <c r="E167" s="85">
        <v>4639120</v>
      </c>
      <c r="F167" s="86">
        <v>428332.5</v>
      </c>
      <c r="G167" s="87">
        <v>9.2330550000000002</v>
      </c>
    </row>
    <row r="168" spans="1:7" x14ac:dyDescent="0.25">
      <c r="A168" s="84" t="s">
        <v>474</v>
      </c>
      <c r="B168" s="84" t="s">
        <v>16</v>
      </c>
      <c r="C168" s="84" t="s">
        <v>283</v>
      </c>
      <c r="D168" s="85">
        <v>76821</v>
      </c>
      <c r="E168" s="85">
        <v>1457336</v>
      </c>
      <c r="F168" s="86">
        <v>139243</v>
      </c>
      <c r="G168" s="87">
        <v>9.5546257000000008</v>
      </c>
    </row>
    <row r="169" spans="1:7" x14ac:dyDescent="0.25">
      <c r="A169" s="84" t="s">
        <v>475</v>
      </c>
      <c r="B169" s="84" t="s">
        <v>16</v>
      </c>
      <c r="C169" s="84" t="s">
        <v>283</v>
      </c>
      <c r="D169" s="85">
        <v>6076</v>
      </c>
      <c r="E169" s="85">
        <v>257964</v>
      </c>
      <c r="F169" s="86">
        <v>19575.900000000001</v>
      </c>
      <c r="G169" s="87">
        <v>7.5886170000000002</v>
      </c>
    </row>
    <row r="170" spans="1:7" x14ac:dyDescent="0.25">
      <c r="A170" s="84" t="s">
        <v>476</v>
      </c>
      <c r="B170" s="84" t="s">
        <v>16</v>
      </c>
      <c r="C170" s="84" t="s">
        <v>283</v>
      </c>
      <c r="D170" s="85">
        <v>17628</v>
      </c>
      <c r="E170" s="85">
        <v>227161</v>
      </c>
      <c r="F170" s="86">
        <v>20090</v>
      </c>
      <c r="G170" s="87">
        <v>8.8439476999999993</v>
      </c>
    </row>
    <row r="171" spans="1:7" x14ac:dyDescent="0.25">
      <c r="A171" s="84" t="s">
        <v>479</v>
      </c>
      <c r="B171" s="84" t="s">
        <v>16</v>
      </c>
      <c r="C171" s="84" t="s">
        <v>283</v>
      </c>
      <c r="D171" s="85">
        <v>42047</v>
      </c>
      <c r="E171" s="85">
        <v>808133</v>
      </c>
      <c r="F171" s="86">
        <v>72938.100000000006</v>
      </c>
      <c r="G171" s="87">
        <v>9.0255068999999999</v>
      </c>
    </row>
    <row r="172" spans="1:7" x14ac:dyDescent="0.25">
      <c r="A172" s="84" t="s">
        <v>480</v>
      </c>
      <c r="B172" s="84" t="s">
        <v>16</v>
      </c>
      <c r="C172" s="84" t="s">
        <v>283</v>
      </c>
      <c r="D172" s="85">
        <v>38282</v>
      </c>
      <c r="E172" s="85">
        <v>685364</v>
      </c>
      <c r="F172" s="86">
        <v>69718</v>
      </c>
      <c r="G172" s="87">
        <v>10.172404999999999</v>
      </c>
    </row>
    <row r="173" spans="1:7" x14ac:dyDescent="0.25">
      <c r="A173" s="84" t="s">
        <v>481</v>
      </c>
      <c r="B173" s="84" t="s">
        <v>16</v>
      </c>
      <c r="C173" s="84" t="s">
        <v>281</v>
      </c>
      <c r="D173" s="85">
        <v>34656</v>
      </c>
      <c r="E173" s="85">
        <v>518637</v>
      </c>
      <c r="F173" s="86">
        <v>67085.899999999994</v>
      </c>
      <c r="G173" s="87">
        <v>12.935039</v>
      </c>
    </row>
    <row r="174" spans="1:7" x14ac:dyDescent="0.25">
      <c r="A174" s="84" t="s">
        <v>482</v>
      </c>
      <c r="B174" s="84" t="s">
        <v>16</v>
      </c>
      <c r="C174" s="84" t="s">
        <v>281</v>
      </c>
      <c r="D174" s="85">
        <v>15236</v>
      </c>
      <c r="E174" s="85">
        <v>575715</v>
      </c>
      <c r="F174" s="86">
        <v>55802</v>
      </c>
      <c r="G174" s="87">
        <v>9.6926430999999997</v>
      </c>
    </row>
    <row r="175" spans="1:7" x14ac:dyDescent="0.25">
      <c r="A175" s="84" t="s">
        <v>483</v>
      </c>
      <c r="B175" s="84" t="s">
        <v>16</v>
      </c>
      <c r="C175" s="84" t="s">
        <v>281</v>
      </c>
      <c r="D175" s="85">
        <v>18295</v>
      </c>
      <c r="E175" s="85">
        <v>260359</v>
      </c>
      <c r="F175" s="86">
        <v>33514</v>
      </c>
      <c r="G175" s="87">
        <v>12.872226</v>
      </c>
    </row>
    <row r="176" spans="1:7" x14ac:dyDescent="0.25">
      <c r="A176" s="84" t="s">
        <v>400</v>
      </c>
      <c r="B176" s="84" t="s">
        <v>16</v>
      </c>
      <c r="C176" s="84" t="s">
        <v>392</v>
      </c>
      <c r="D176" s="85">
        <v>93</v>
      </c>
      <c r="E176" s="85">
        <v>4433</v>
      </c>
      <c r="F176" s="86">
        <v>230.3</v>
      </c>
      <c r="G176" s="87">
        <v>5.1951274999999999</v>
      </c>
    </row>
    <row r="177" spans="1:7" x14ac:dyDescent="0.25">
      <c r="A177" s="84" t="s">
        <v>485</v>
      </c>
      <c r="B177" s="84" t="s">
        <v>16</v>
      </c>
      <c r="C177" s="84" t="s">
        <v>281</v>
      </c>
      <c r="D177" s="85">
        <v>1009</v>
      </c>
      <c r="E177" s="85">
        <v>114324</v>
      </c>
      <c r="F177" s="86">
        <v>13472</v>
      </c>
      <c r="G177" s="87">
        <v>11.784052000000001</v>
      </c>
    </row>
    <row r="178" spans="1:7" x14ac:dyDescent="0.25">
      <c r="A178" s="84" t="s">
        <v>486</v>
      </c>
      <c r="B178" s="84" t="s">
        <v>16</v>
      </c>
      <c r="C178" s="84" t="s">
        <v>281</v>
      </c>
      <c r="D178" s="85">
        <v>8403</v>
      </c>
      <c r="E178" s="85">
        <v>380858</v>
      </c>
      <c r="F178" s="86">
        <v>42969.599999999999</v>
      </c>
      <c r="G178" s="87">
        <v>11.282315000000001</v>
      </c>
    </row>
    <row r="179" spans="1:7" x14ac:dyDescent="0.25">
      <c r="A179" s="84" t="s">
        <v>487</v>
      </c>
      <c r="B179" s="84" t="s">
        <v>16</v>
      </c>
      <c r="C179" s="84" t="s">
        <v>281</v>
      </c>
      <c r="D179" s="85">
        <v>58570</v>
      </c>
      <c r="E179" s="85">
        <v>1205645</v>
      </c>
      <c r="F179" s="86">
        <v>130815.5</v>
      </c>
      <c r="G179" s="87">
        <v>10.850250000000001</v>
      </c>
    </row>
    <row r="180" spans="1:7" x14ac:dyDescent="0.25">
      <c r="A180" s="84" t="s">
        <v>488</v>
      </c>
      <c r="B180" s="84" t="s">
        <v>16</v>
      </c>
      <c r="C180" s="84" t="s">
        <v>281</v>
      </c>
      <c r="D180" s="85">
        <v>165422</v>
      </c>
      <c r="E180" s="85">
        <v>2508998</v>
      </c>
      <c r="F180" s="86">
        <v>307832</v>
      </c>
      <c r="G180" s="87">
        <v>12.269121</v>
      </c>
    </row>
    <row r="181" spans="1:7" x14ac:dyDescent="0.25">
      <c r="A181" s="84" t="s">
        <v>489</v>
      </c>
      <c r="B181" s="84" t="s">
        <v>16</v>
      </c>
      <c r="C181" s="84" t="s">
        <v>281</v>
      </c>
      <c r="D181" s="85">
        <v>6570</v>
      </c>
      <c r="E181" s="85">
        <v>226164</v>
      </c>
      <c r="F181" s="86">
        <v>26824</v>
      </c>
      <c r="G181" s="87">
        <v>11.86042</v>
      </c>
    </row>
    <row r="182" spans="1:7" x14ac:dyDescent="0.25">
      <c r="A182" s="84" t="s">
        <v>490</v>
      </c>
      <c r="B182" s="84" t="s">
        <v>16</v>
      </c>
      <c r="C182" s="84" t="s">
        <v>281</v>
      </c>
      <c r="D182" s="85">
        <v>44831</v>
      </c>
      <c r="E182" s="85">
        <v>907682</v>
      </c>
      <c r="F182" s="86">
        <v>104333</v>
      </c>
      <c r="G182" s="87">
        <v>11.494444</v>
      </c>
    </row>
    <row r="183" spans="1:7" x14ac:dyDescent="0.25">
      <c r="A183" s="84" t="s">
        <v>401</v>
      </c>
      <c r="B183" s="84" t="s">
        <v>16</v>
      </c>
      <c r="C183" s="84" t="s">
        <v>392</v>
      </c>
      <c r="D183" s="85">
        <v>16</v>
      </c>
      <c r="E183" s="85">
        <v>6865</v>
      </c>
      <c r="F183" s="86">
        <v>477.8</v>
      </c>
      <c r="G183" s="87">
        <v>6.9599416999999999</v>
      </c>
    </row>
    <row r="184" spans="1:7" x14ac:dyDescent="0.25">
      <c r="A184" s="84" t="s">
        <v>491</v>
      </c>
      <c r="B184" s="84" t="s">
        <v>16</v>
      </c>
      <c r="C184" s="84" t="s">
        <v>281</v>
      </c>
      <c r="D184" s="85">
        <v>2259</v>
      </c>
      <c r="E184" s="85">
        <v>507341</v>
      </c>
      <c r="F184" s="86">
        <v>34961.5</v>
      </c>
      <c r="G184" s="87">
        <v>6.8911245000000001</v>
      </c>
    </row>
    <row r="185" spans="1:7" x14ac:dyDescent="0.25">
      <c r="A185" s="84" t="s">
        <v>492</v>
      </c>
      <c r="B185" s="84" t="s">
        <v>16</v>
      </c>
      <c r="C185" s="84" t="s">
        <v>281</v>
      </c>
      <c r="D185" s="85">
        <v>8801</v>
      </c>
      <c r="E185" s="85">
        <v>372911</v>
      </c>
      <c r="F185" s="86">
        <v>43535.7</v>
      </c>
      <c r="G185" s="87">
        <v>11.674555</v>
      </c>
    </row>
    <row r="186" spans="1:7" x14ac:dyDescent="0.25">
      <c r="A186" s="84" t="s">
        <v>493</v>
      </c>
      <c r="B186" s="84" t="s">
        <v>16</v>
      </c>
      <c r="C186" s="84" t="s">
        <v>281</v>
      </c>
      <c r="D186" s="85">
        <v>21150</v>
      </c>
      <c r="E186" s="85">
        <v>295341</v>
      </c>
      <c r="F186" s="86">
        <v>38272.699999999997</v>
      </c>
      <c r="G186" s="87">
        <v>12.958817</v>
      </c>
    </row>
    <row r="187" spans="1:7" x14ac:dyDescent="0.25">
      <c r="A187" s="84" t="s">
        <v>494</v>
      </c>
      <c r="B187" s="84" t="s">
        <v>16</v>
      </c>
      <c r="C187" s="84" t="s">
        <v>281</v>
      </c>
      <c r="D187" s="85">
        <v>56491</v>
      </c>
      <c r="E187" s="85">
        <v>911481</v>
      </c>
      <c r="F187" s="86">
        <v>120025.9</v>
      </c>
      <c r="G187" s="87">
        <v>13.168227999999999</v>
      </c>
    </row>
    <row r="188" spans="1:7" x14ac:dyDescent="0.25">
      <c r="A188" s="84" t="s">
        <v>495</v>
      </c>
      <c r="B188" s="84" t="s">
        <v>16</v>
      </c>
      <c r="C188" s="84" t="s">
        <v>281</v>
      </c>
      <c r="D188" s="85">
        <v>45869</v>
      </c>
      <c r="E188" s="85">
        <v>1344270</v>
      </c>
      <c r="F188" s="86">
        <v>133995</v>
      </c>
      <c r="G188" s="87">
        <v>9.9678635999999994</v>
      </c>
    </row>
    <row r="189" spans="1:7" x14ac:dyDescent="0.25">
      <c r="A189" s="84" t="s">
        <v>496</v>
      </c>
      <c r="B189" s="84" t="s">
        <v>16</v>
      </c>
      <c r="C189" s="84" t="s">
        <v>278</v>
      </c>
      <c r="D189" s="85">
        <v>1517920</v>
      </c>
      <c r="E189" s="85">
        <v>28847908</v>
      </c>
      <c r="F189" s="86">
        <v>2803598.8</v>
      </c>
      <c r="G189" s="87">
        <v>9.7185515000000002</v>
      </c>
    </row>
    <row r="190" spans="1:7" x14ac:dyDescent="0.25">
      <c r="A190" s="84" t="s">
        <v>497</v>
      </c>
      <c r="B190" s="84" t="s">
        <v>16</v>
      </c>
      <c r="C190" s="84" t="s">
        <v>281</v>
      </c>
      <c r="D190" s="85">
        <v>24748</v>
      </c>
      <c r="E190" s="85">
        <v>424985</v>
      </c>
      <c r="F190" s="86">
        <v>55604.7</v>
      </c>
      <c r="G190" s="87">
        <v>13.083921</v>
      </c>
    </row>
    <row r="191" spans="1:7" x14ac:dyDescent="0.25">
      <c r="A191" s="84" t="s">
        <v>498</v>
      </c>
      <c r="B191" s="84" t="s">
        <v>16</v>
      </c>
      <c r="C191" s="84" t="s">
        <v>281</v>
      </c>
      <c r="D191" s="85">
        <v>12765</v>
      </c>
      <c r="E191" s="85">
        <v>229733</v>
      </c>
      <c r="F191" s="86">
        <v>35463</v>
      </c>
      <c r="G191" s="87">
        <v>15.436616000000001</v>
      </c>
    </row>
    <row r="192" spans="1:7" x14ac:dyDescent="0.25">
      <c r="A192" s="84" t="s">
        <v>499</v>
      </c>
      <c r="B192" s="84" t="s">
        <v>16</v>
      </c>
      <c r="C192" s="84" t="s">
        <v>281</v>
      </c>
      <c r="D192" s="85">
        <v>13972</v>
      </c>
      <c r="E192" s="85">
        <v>197786</v>
      </c>
      <c r="F192" s="86">
        <v>29245.7</v>
      </c>
      <c r="G192" s="87">
        <v>14.786536999999999</v>
      </c>
    </row>
    <row r="193" spans="1:7" x14ac:dyDescent="0.25">
      <c r="A193" s="84" t="s">
        <v>408</v>
      </c>
      <c r="B193" s="84" t="s">
        <v>16</v>
      </c>
      <c r="C193" s="84" t="s">
        <v>392</v>
      </c>
      <c r="D193" s="85">
        <v>13905</v>
      </c>
      <c r="E193" s="85">
        <v>103066</v>
      </c>
      <c r="F193" s="86">
        <v>11411.9</v>
      </c>
      <c r="G193" s="87">
        <v>11.072419999999999</v>
      </c>
    </row>
    <row r="194" spans="1:7" x14ac:dyDescent="0.25">
      <c r="A194" s="84" t="s">
        <v>501</v>
      </c>
      <c r="B194" s="84" t="s">
        <v>16</v>
      </c>
      <c r="C194" s="84" t="s">
        <v>281</v>
      </c>
      <c r="D194" s="85">
        <v>10565</v>
      </c>
      <c r="E194" s="85">
        <v>237674</v>
      </c>
      <c r="F194" s="86">
        <v>32875.199999999997</v>
      </c>
      <c r="G194" s="87">
        <v>13.832056</v>
      </c>
    </row>
    <row r="195" spans="1:7" x14ac:dyDescent="0.25">
      <c r="A195" s="84" t="s">
        <v>502</v>
      </c>
      <c r="B195" s="84" t="s">
        <v>16</v>
      </c>
      <c r="C195" s="84" t="s">
        <v>281</v>
      </c>
      <c r="D195" s="85">
        <v>7</v>
      </c>
      <c r="E195" s="85">
        <v>106</v>
      </c>
      <c r="F195" s="86">
        <v>19.600000000000001</v>
      </c>
      <c r="G195" s="87">
        <v>18.490566000000001</v>
      </c>
    </row>
    <row r="196" spans="1:7" x14ac:dyDescent="0.25">
      <c r="A196" s="84" t="s">
        <v>409</v>
      </c>
      <c r="B196" s="84" t="s">
        <v>16</v>
      </c>
      <c r="C196" s="84" t="s">
        <v>392</v>
      </c>
      <c r="D196" s="85">
        <v>869</v>
      </c>
      <c r="E196" s="85">
        <v>7783</v>
      </c>
      <c r="F196" s="86">
        <v>739</v>
      </c>
      <c r="G196" s="87">
        <v>9.4950533000000004</v>
      </c>
    </row>
    <row r="197" spans="1:7" x14ac:dyDescent="0.25">
      <c r="A197" s="84" t="s">
        <v>413</v>
      </c>
      <c r="B197" s="84" t="s">
        <v>16</v>
      </c>
      <c r="C197" s="84" t="s">
        <v>392</v>
      </c>
      <c r="D197" s="85">
        <v>1136</v>
      </c>
      <c r="E197" s="85">
        <v>10492</v>
      </c>
      <c r="F197" s="86">
        <v>822.8</v>
      </c>
      <c r="G197" s="87">
        <v>7.8421655000000001</v>
      </c>
    </row>
    <row r="198" spans="1:7" x14ac:dyDescent="0.25">
      <c r="A198" s="84" t="s">
        <v>414</v>
      </c>
      <c r="B198" s="84" t="s">
        <v>16</v>
      </c>
      <c r="C198" s="84" t="s">
        <v>392</v>
      </c>
      <c r="D198" s="85">
        <v>29</v>
      </c>
      <c r="E198" s="85">
        <v>140</v>
      </c>
      <c r="F198" s="86">
        <v>13.1</v>
      </c>
      <c r="G198" s="87">
        <v>9.3571428999999995</v>
      </c>
    </row>
    <row r="199" spans="1:7" x14ac:dyDescent="0.25">
      <c r="A199" s="84" t="s">
        <v>415</v>
      </c>
      <c r="B199" s="84" t="s">
        <v>16</v>
      </c>
      <c r="C199" s="84" t="s">
        <v>392</v>
      </c>
      <c r="D199" s="85">
        <v>4795</v>
      </c>
      <c r="E199" s="85">
        <v>37519</v>
      </c>
      <c r="F199" s="86">
        <v>5203</v>
      </c>
      <c r="G199" s="87">
        <v>13.86764</v>
      </c>
    </row>
    <row r="200" spans="1:7" x14ac:dyDescent="0.25">
      <c r="A200" s="84" t="s">
        <v>416</v>
      </c>
      <c r="B200" s="84" t="s">
        <v>16</v>
      </c>
      <c r="C200" s="84" t="s">
        <v>392</v>
      </c>
      <c r="D200" s="85">
        <v>13</v>
      </c>
      <c r="E200" s="85">
        <v>1479</v>
      </c>
      <c r="F200" s="86">
        <v>77.099999999999994</v>
      </c>
      <c r="G200" s="87">
        <v>5.2129817000000003</v>
      </c>
    </row>
    <row r="201" spans="1:7" x14ac:dyDescent="0.25">
      <c r="A201" s="84" t="s">
        <v>2370</v>
      </c>
      <c r="B201" s="84" t="s">
        <v>16</v>
      </c>
      <c r="C201" s="84" t="s">
        <v>281</v>
      </c>
      <c r="D201" s="85">
        <v>48</v>
      </c>
      <c r="E201" s="85">
        <v>170</v>
      </c>
      <c r="F201" s="86">
        <v>34.1</v>
      </c>
      <c r="G201" s="87">
        <v>20.058824000000001</v>
      </c>
    </row>
    <row r="202" spans="1:7" x14ac:dyDescent="0.25">
      <c r="A202" s="84" t="s">
        <v>506</v>
      </c>
      <c r="B202" s="84" t="s">
        <v>16</v>
      </c>
      <c r="C202" s="84" t="s">
        <v>281</v>
      </c>
      <c r="D202" s="85">
        <v>95616</v>
      </c>
      <c r="E202" s="85">
        <v>2871674</v>
      </c>
      <c r="F202" s="86">
        <v>299593.90000000002</v>
      </c>
      <c r="G202" s="87">
        <v>10.432727</v>
      </c>
    </row>
    <row r="203" spans="1:7" x14ac:dyDescent="0.25">
      <c r="A203" s="84" t="s">
        <v>421</v>
      </c>
      <c r="B203" s="84" t="s">
        <v>16</v>
      </c>
      <c r="C203" s="84" t="s">
        <v>392</v>
      </c>
      <c r="D203" s="85">
        <v>54</v>
      </c>
      <c r="E203" s="85">
        <v>220</v>
      </c>
      <c r="F203" s="86">
        <v>21.1</v>
      </c>
      <c r="G203" s="87">
        <v>9.5909090999999993</v>
      </c>
    </row>
    <row r="204" spans="1:7" x14ac:dyDescent="0.25">
      <c r="A204" s="84" t="s">
        <v>422</v>
      </c>
      <c r="B204" s="84" t="s">
        <v>16</v>
      </c>
      <c r="C204" s="84" t="s">
        <v>351</v>
      </c>
      <c r="D204" s="85">
        <v>10</v>
      </c>
      <c r="E204" s="85">
        <v>72671</v>
      </c>
      <c r="F204" s="86">
        <v>1864.2</v>
      </c>
      <c r="G204" s="87">
        <v>2.5652599</v>
      </c>
    </row>
    <row r="205" spans="1:7" x14ac:dyDescent="0.25">
      <c r="A205" s="84" t="s">
        <v>507</v>
      </c>
      <c r="B205" s="84" t="s">
        <v>16</v>
      </c>
      <c r="C205" s="84" t="s">
        <v>281</v>
      </c>
      <c r="D205" s="85">
        <v>62</v>
      </c>
      <c r="E205" s="85">
        <v>1582</v>
      </c>
      <c r="F205" s="86">
        <v>199.5</v>
      </c>
      <c r="G205" s="87">
        <v>12.610619</v>
      </c>
    </row>
    <row r="206" spans="1:7" x14ac:dyDescent="0.25">
      <c r="A206" s="84" t="s">
        <v>508</v>
      </c>
      <c r="B206" s="84" t="s">
        <v>16</v>
      </c>
      <c r="C206" s="84" t="s">
        <v>281</v>
      </c>
      <c r="D206" s="85">
        <v>3408</v>
      </c>
      <c r="E206" s="85">
        <v>763847</v>
      </c>
      <c r="F206" s="86">
        <v>57436.4</v>
      </c>
      <c r="G206" s="87">
        <v>7.5193592000000002</v>
      </c>
    </row>
    <row r="207" spans="1:7" x14ac:dyDescent="0.25">
      <c r="A207" s="84" t="s">
        <v>509</v>
      </c>
      <c r="B207" s="84" t="s">
        <v>16</v>
      </c>
      <c r="C207" s="84" t="s">
        <v>281</v>
      </c>
      <c r="D207" s="85">
        <v>8382</v>
      </c>
      <c r="E207" s="85">
        <v>346789</v>
      </c>
      <c r="F207" s="86">
        <v>43049</v>
      </c>
      <c r="G207" s="87">
        <v>12.413600000000001</v>
      </c>
    </row>
    <row r="208" spans="1:7" x14ac:dyDescent="0.25">
      <c r="A208" s="84" t="s">
        <v>510</v>
      </c>
      <c r="B208" s="84" t="s">
        <v>16</v>
      </c>
      <c r="C208" s="84" t="s">
        <v>281</v>
      </c>
      <c r="D208" s="85">
        <v>26816</v>
      </c>
      <c r="E208" s="85">
        <v>522714</v>
      </c>
      <c r="F208" s="86">
        <v>58078.3</v>
      </c>
      <c r="G208" s="87">
        <v>11.110913</v>
      </c>
    </row>
    <row r="209" spans="1:7" x14ac:dyDescent="0.25">
      <c r="A209" s="84" t="s">
        <v>511</v>
      </c>
      <c r="B209" s="84" t="s">
        <v>19</v>
      </c>
      <c r="C209" s="84" t="s">
        <v>283</v>
      </c>
      <c r="D209" s="85">
        <v>2807</v>
      </c>
      <c r="E209" s="85">
        <v>215694</v>
      </c>
      <c r="F209" s="86">
        <v>17987.7</v>
      </c>
      <c r="G209" s="87">
        <v>8.3394531000000001</v>
      </c>
    </row>
    <row r="210" spans="1:7" x14ac:dyDescent="0.25">
      <c r="A210" s="84" t="s">
        <v>513</v>
      </c>
      <c r="B210" s="84" t="s">
        <v>19</v>
      </c>
      <c r="C210" s="84" t="s">
        <v>283</v>
      </c>
      <c r="D210" s="85">
        <v>20564</v>
      </c>
      <c r="E210" s="85">
        <v>285100</v>
      </c>
      <c r="F210" s="86">
        <v>51047</v>
      </c>
      <c r="G210" s="87">
        <v>17.904945999999999</v>
      </c>
    </row>
    <row r="211" spans="1:7" x14ac:dyDescent="0.25">
      <c r="A211" s="84" t="s">
        <v>515</v>
      </c>
      <c r="B211" s="84" t="s">
        <v>19</v>
      </c>
      <c r="C211" s="84" t="s">
        <v>278</v>
      </c>
      <c r="D211" s="85">
        <v>936524</v>
      </c>
      <c r="E211" s="85">
        <v>9933299</v>
      </c>
      <c r="F211" s="86">
        <v>1976916.4</v>
      </c>
      <c r="G211" s="87">
        <v>19.901911999999999</v>
      </c>
    </row>
    <row r="212" spans="1:7" x14ac:dyDescent="0.25">
      <c r="A212" s="84" t="s">
        <v>391</v>
      </c>
      <c r="B212" s="84" t="s">
        <v>19</v>
      </c>
      <c r="C212" s="84" t="s">
        <v>392</v>
      </c>
      <c r="D212" s="85">
        <v>1</v>
      </c>
      <c r="E212" s="85">
        <v>575</v>
      </c>
      <c r="F212" s="86">
        <v>69</v>
      </c>
      <c r="G212" s="87">
        <v>12</v>
      </c>
    </row>
    <row r="213" spans="1:7" x14ac:dyDescent="0.25">
      <c r="A213" s="84" t="s">
        <v>400</v>
      </c>
      <c r="B213" s="84" t="s">
        <v>19</v>
      </c>
      <c r="C213" s="84" t="s">
        <v>392</v>
      </c>
      <c r="D213" s="85">
        <v>102</v>
      </c>
      <c r="E213" s="85">
        <v>1370</v>
      </c>
      <c r="F213" s="86">
        <v>234.2</v>
      </c>
      <c r="G213" s="87">
        <v>17.094891000000001</v>
      </c>
    </row>
    <row r="214" spans="1:7" x14ac:dyDescent="0.25">
      <c r="A214" s="84" t="s">
        <v>2365</v>
      </c>
      <c r="B214" s="84" t="s">
        <v>19</v>
      </c>
      <c r="C214" s="84" t="s">
        <v>392</v>
      </c>
      <c r="D214" s="85">
        <v>5</v>
      </c>
      <c r="E214" s="85">
        <v>31209</v>
      </c>
      <c r="F214" s="86">
        <v>2654.4</v>
      </c>
      <c r="G214" s="87">
        <v>8.5052389000000002</v>
      </c>
    </row>
    <row r="215" spans="1:7" x14ac:dyDescent="0.25">
      <c r="A215" s="84" t="s">
        <v>516</v>
      </c>
      <c r="B215" s="84" t="s">
        <v>19</v>
      </c>
      <c r="C215" s="84" t="s">
        <v>283</v>
      </c>
      <c r="D215" s="85">
        <v>13840</v>
      </c>
      <c r="E215" s="85">
        <v>424481</v>
      </c>
      <c r="F215" s="86">
        <v>54446.6</v>
      </c>
      <c r="G215" s="87">
        <v>12.826627999999999</v>
      </c>
    </row>
    <row r="216" spans="1:7" x14ac:dyDescent="0.25">
      <c r="A216" s="84" t="s">
        <v>401</v>
      </c>
      <c r="B216" s="84" t="s">
        <v>19</v>
      </c>
      <c r="C216" s="84" t="s">
        <v>392</v>
      </c>
      <c r="D216" s="85">
        <v>8</v>
      </c>
      <c r="E216" s="85">
        <v>1804</v>
      </c>
      <c r="F216" s="86">
        <v>240.7</v>
      </c>
      <c r="G216" s="87">
        <v>13.342572000000001</v>
      </c>
    </row>
    <row r="217" spans="1:7" x14ac:dyDescent="0.25">
      <c r="A217" s="84" t="s">
        <v>408</v>
      </c>
      <c r="B217" s="84" t="s">
        <v>19</v>
      </c>
      <c r="C217" s="84" t="s">
        <v>392</v>
      </c>
      <c r="D217" s="85">
        <v>9307</v>
      </c>
      <c r="E217" s="85">
        <v>73156</v>
      </c>
      <c r="F217" s="86">
        <v>10707.6</v>
      </c>
      <c r="G217" s="87">
        <v>14.636666999999999</v>
      </c>
    </row>
    <row r="218" spans="1:7" x14ac:dyDescent="0.25">
      <c r="A218" s="84" t="s">
        <v>409</v>
      </c>
      <c r="B218" s="84" t="s">
        <v>19</v>
      </c>
      <c r="C218" s="84" t="s">
        <v>392</v>
      </c>
      <c r="D218" s="85">
        <v>429</v>
      </c>
      <c r="E218" s="85">
        <v>2628</v>
      </c>
      <c r="F218" s="86">
        <v>465</v>
      </c>
      <c r="G218" s="87">
        <v>17.694064000000001</v>
      </c>
    </row>
    <row r="219" spans="1:7" x14ac:dyDescent="0.25">
      <c r="A219" s="84" t="s">
        <v>413</v>
      </c>
      <c r="B219" s="84" t="s">
        <v>19</v>
      </c>
      <c r="C219" s="84" t="s">
        <v>392</v>
      </c>
      <c r="D219" s="85">
        <v>1886</v>
      </c>
      <c r="E219" s="85">
        <v>11427</v>
      </c>
      <c r="F219" s="86">
        <v>2722</v>
      </c>
      <c r="G219" s="87">
        <v>23.820775000000001</v>
      </c>
    </row>
    <row r="220" spans="1:7" x14ac:dyDescent="0.25">
      <c r="A220" s="84" t="s">
        <v>414</v>
      </c>
      <c r="B220" s="84" t="s">
        <v>19</v>
      </c>
      <c r="C220" s="84" t="s">
        <v>392</v>
      </c>
      <c r="D220" s="85">
        <v>7805</v>
      </c>
      <c r="E220" s="85">
        <v>58390</v>
      </c>
      <c r="F220" s="86">
        <v>9995.7000000000007</v>
      </c>
      <c r="G220" s="87">
        <v>17.118856000000001</v>
      </c>
    </row>
    <row r="221" spans="1:7" x14ac:dyDescent="0.25">
      <c r="A221" s="84" t="s">
        <v>415</v>
      </c>
      <c r="B221" s="84" t="s">
        <v>19</v>
      </c>
      <c r="C221" s="84" t="s">
        <v>392</v>
      </c>
      <c r="D221" s="85">
        <v>7016</v>
      </c>
      <c r="E221" s="85">
        <v>50316</v>
      </c>
      <c r="F221" s="86">
        <v>9753.7999999999993</v>
      </c>
      <c r="G221" s="87">
        <v>19.385086000000001</v>
      </c>
    </row>
    <row r="222" spans="1:7" x14ac:dyDescent="0.25">
      <c r="A222" s="84" t="s">
        <v>416</v>
      </c>
      <c r="B222" s="84" t="s">
        <v>19</v>
      </c>
      <c r="C222" s="84" t="s">
        <v>392</v>
      </c>
      <c r="D222" s="85">
        <v>7</v>
      </c>
      <c r="E222" s="85">
        <v>996</v>
      </c>
      <c r="F222" s="86">
        <v>169.3</v>
      </c>
      <c r="G222" s="87">
        <v>16.997992</v>
      </c>
    </row>
    <row r="223" spans="1:7" x14ac:dyDescent="0.25">
      <c r="A223" s="84" t="s">
        <v>519</v>
      </c>
      <c r="B223" s="84" t="s">
        <v>19</v>
      </c>
      <c r="C223" s="84" t="s">
        <v>283</v>
      </c>
      <c r="D223" s="85">
        <v>25328</v>
      </c>
      <c r="E223" s="85">
        <v>561259</v>
      </c>
      <c r="F223" s="86">
        <v>62779</v>
      </c>
      <c r="G223" s="87">
        <v>11.185389000000001</v>
      </c>
    </row>
    <row r="224" spans="1:7" x14ac:dyDescent="0.25">
      <c r="A224" s="84" t="s">
        <v>520</v>
      </c>
      <c r="B224" s="84" t="s">
        <v>19</v>
      </c>
      <c r="C224" s="84" t="s">
        <v>278</v>
      </c>
      <c r="D224" s="85">
        <v>244527</v>
      </c>
      <c r="E224" s="85">
        <v>2032003</v>
      </c>
      <c r="F224" s="86">
        <v>492635.7</v>
      </c>
      <c r="G224" s="87">
        <v>24.243846999999999</v>
      </c>
    </row>
    <row r="225" spans="1:7" x14ac:dyDescent="0.25">
      <c r="A225" s="84" t="s">
        <v>421</v>
      </c>
      <c r="B225" s="84" t="s">
        <v>19</v>
      </c>
      <c r="C225" s="84" t="s">
        <v>392</v>
      </c>
      <c r="D225" s="85">
        <v>4109</v>
      </c>
      <c r="E225" s="85">
        <v>25777</v>
      </c>
      <c r="F225" s="86">
        <v>4115.6000000000004</v>
      </c>
      <c r="G225" s="87">
        <v>15.966170999999999</v>
      </c>
    </row>
    <row r="226" spans="1:7" x14ac:dyDescent="0.25">
      <c r="A226" s="84" t="s">
        <v>391</v>
      </c>
      <c r="B226" s="84" t="s">
        <v>184</v>
      </c>
      <c r="C226" s="84" t="s">
        <v>392</v>
      </c>
      <c r="D226" s="85">
        <v>2</v>
      </c>
      <c r="E226" s="85">
        <v>1149</v>
      </c>
      <c r="F226" s="86">
        <v>81.3</v>
      </c>
      <c r="G226" s="87">
        <v>7.0757180000000002</v>
      </c>
    </row>
    <row r="227" spans="1:7" x14ac:dyDescent="0.25">
      <c r="A227" s="84" t="s">
        <v>521</v>
      </c>
      <c r="B227" s="84" t="s">
        <v>184</v>
      </c>
      <c r="C227" s="84" t="s">
        <v>278</v>
      </c>
      <c r="D227" s="85">
        <v>265760</v>
      </c>
      <c r="E227" s="85">
        <v>2842831</v>
      </c>
      <c r="F227" s="86">
        <v>340877.8</v>
      </c>
      <c r="G227" s="87">
        <v>11.990786999999999</v>
      </c>
    </row>
    <row r="228" spans="1:7" x14ac:dyDescent="0.25">
      <c r="A228" s="84" t="s">
        <v>408</v>
      </c>
      <c r="B228" s="84" t="s">
        <v>184</v>
      </c>
      <c r="C228" s="84" t="s">
        <v>392</v>
      </c>
      <c r="D228" s="85">
        <v>505</v>
      </c>
      <c r="E228" s="85">
        <v>2170</v>
      </c>
      <c r="F228" s="86">
        <v>244.2</v>
      </c>
      <c r="G228" s="87">
        <v>11.253456</v>
      </c>
    </row>
    <row r="229" spans="1:7" x14ac:dyDescent="0.25">
      <c r="A229" s="84" t="s">
        <v>415</v>
      </c>
      <c r="B229" s="84" t="s">
        <v>184</v>
      </c>
      <c r="C229" s="84" t="s">
        <v>392</v>
      </c>
      <c r="D229" s="85">
        <v>29</v>
      </c>
      <c r="E229" s="85">
        <v>155</v>
      </c>
      <c r="F229" s="86">
        <v>16.5</v>
      </c>
      <c r="G229" s="87">
        <v>10.645161</v>
      </c>
    </row>
    <row r="230" spans="1:7" x14ac:dyDescent="0.25">
      <c r="A230" s="84" t="s">
        <v>522</v>
      </c>
      <c r="B230" s="84" t="s">
        <v>22</v>
      </c>
      <c r="C230" s="84" t="s">
        <v>283</v>
      </c>
      <c r="D230" s="85">
        <v>24597</v>
      </c>
      <c r="E230" s="85">
        <v>731771</v>
      </c>
      <c r="F230" s="86">
        <v>74093</v>
      </c>
      <c r="G230" s="87">
        <v>10.125162</v>
      </c>
    </row>
    <row r="231" spans="1:7" x14ac:dyDescent="0.25">
      <c r="A231" s="84" t="s">
        <v>523</v>
      </c>
      <c r="B231" s="84" t="s">
        <v>22</v>
      </c>
      <c r="C231" s="84" t="s">
        <v>283</v>
      </c>
      <c r="D231" s="85">
        <v>7731</v>
      </c>
      <c r="E231" s="85">
        <v>220106</v>
      </c>
      <c r="F231" s="86">
        <v>24325.5</v>
      </c>
      <c r="G231" s="87">
        <v>11.051721000000001</v>
      </c>
    </row>
    <row r="232" spans="1:7" x14ac:dyDescent="0.25">
      <c r="A232" s="84" t="s">
        <v>524</v>
      </c>
      <c r="B232" s="84" t="s">
        <v>22</v>
      </c>
      <c r="C232" s="84" t="s">
        <v>283</v>
      </c>
      <c r="D232" s="85">
        <v>12679</v>
      </c>
      <c r="E232" s="85">
        <v>402097</v>
      </c>
      <c r="F232" s="86">
        <v>50236.3</v>
      </c>
      <c r="G232" s="87">
        <v>12.493577</v>
      </c>
    </row>
    <row r="233" spans="1:7" x14ac:dyDescent="0.25">
      <c r="A233" s="84" t="s">
        <v>526</v>
      </c>
      <c r="B233" s="84" t="s">
        <v>22</v>
      </c>
      <c r="C233" s="84" t="s">
        <v>281</v>
      </c>
      <c r="D233" s="85">
        <v>105306</v>
      </c>
      <c r="E233" s="85">
        <v>1443643</v>
      </c>
      <c r="F233" s="86">
        <v>173766</v>
      </c>
      <c r="G233" s="87">
        <v>12.036632000000001</v>
      </c>
    </row>
    <row r="234" spans="1:7" x14ac:dyDescent="0.25">
      <c r="A234" s="84" t="s">
        <v>527</v>
      </c>
      <c r="B234" s="84" t="s">
        <v>22</v>
      </c>
      <c r="C234" s="84" t="s">
        <v>278</v>
      </c>
      <c r="D234" s="85">
        <v>284249</v>
      </c>
      <c r="E234" s="85">
        <v>3606855</v>
      </c>
      <c r="F234" s="86">
        <v>437429.2</v>
      </c>
      <c r="G234" s="87">
        <v>12.127718</v>
      </c>
    </row>
    <row r="235" spans="1:7" x14ac:dyDescent="0.25">
      <c r="A235" s="84" t="s">
        <v>408</v>
      </c>
      <c r="B235" s="84" t="s">
        <v>22</v>
      </c>
      <c r="C235" s="84" t="s">
        <v>392</v>
      </c>
      <c r="D235" s="85">
        <v>3328</v>
      </c>
      <c r="E235" s="85">
        <v>31425</v>
      </c>
      <c r="F235" s="86">
        <v>4569.1000000000004</v>
      </c>
      <c r="G235" s="87">
        <v>14.539698</v>
      </c>
    </row>
    <row r="236" spans="1:7" x14ac:dyDescent="0.25">
      <c r="A236" s="84" t="s">
        <v>414</v>
      </c>
      <c r="B236" s="84" t="s">
        <v>22</v>
      </c>
      <c r="C236" s="84" t="s">
        <v>392</v>
      </c>
      <c r="D236" s="85">
        <v>5</v>
      </c>
      <c r="E236" s="85">
        <v>25</v>
      </c>
      <c r="F236" s="86">
        <v>4.0999999999999996</v>
      </c>
      <c r="G236" s="87">
        <v>16.399999999999999</v>
      </c>
    </row>
    <row r="237" spans="1:7" x14ac:dyDescent="0.25">
      <c r="A237" s="84" t="s">
        <v>415</v>
      </c>
      <c r="B237" s="84" t="s">
        <v>22</v>
      </c>
      <c r="C237" s="84" t="s">
        <v>392</v>
      </c>
      <c r="D237" s="85">
        <v>417</v>
      </c>
      <c r="E237" s="85">
        <v>3542</v>
      </c>
      <c r="F237" s="86">
        <v>405.8</v>
      </c>
      <c r="G237" s="87">
        <v>11.456804</v>
      </c>
    </row>
    <row r="238" spans="1:7" x14ac:dyDescent="0.25">
      <c r="A238" s="84" t="s">
        <v>530</v>
      </c>
      <c r="B238" s="84" t="s">
        <v>22</v>
      </c>
      <c r="C238" s="84" t="s">
        <v>283</v>
      </c>
      <c r="D238" s="85">
        <v>9337</v>
      </c>
      <c r="E238" s="85">
        <v>242170</v>
      </c>
      <c r="F238" s="86">
        <v>27714</v>
      </c>
      <c r="G238" s="87">
        <v>11.444027</v>
      </c>
    </row>
    <row r="239" spans="1:7" x14ac:dyDescent="0.25">
      <c r="A239" s="84" t="s">
        <v>532</v>
      </c>
      <c r="B239" s="84" t="s">
        <v>24</v>
      </c>
      <c r="C239" s="84" t="s">
        <v>283</v>
      </c>
      <c r="D239" s="85">
        <v>35747</v>
      </c>
      <c r="E239" s="85">
        <v>701053</v>
      </c>
      <c r="F239" s="86">
        <v>75919.5</v>
      </c>
      <c r="G239" s="87">
        <v>10.829352</v>
      </c>
    </row>
    <row r="240" spans="1:7" x14ac:dyDescent="0.25">
      <c r="A240" s="84" t="s">
        <v>533</v>
      </c>
      <c r="B240" s="84" t="s">
        <v>24</v>
      </c>
      <c r="C240" s="84" t="s">
        <v>281</v>
      </c>
      <c r="D240" s="85">
        <v>34339</v>
      </c>
      <c r="E240" s="85">
        <v>526666</v>
      </c>
      <c r="F240" s="86">
        <v>63555.5</v>
      </c>
      <c r="G240" s="87">
        <v>12.067515</v>
      </c>
    </row>
    <row r="241" spans="1:7" x14ac:dyDescent="0.25">
      <c r="A241" s="84" t="s">
        <v>534</v>
      </c>
      <c r="B241" s="84" t="s">
        <v>24</v>
      </c>
      <c r="C241" s="84" t="s">
        <v>281</v>
      </c>
      <c r="D241" s="85">
        <v>55664</v>
      </c>
      <c r="E241" s="85">
        <v>938843</v>
      </c>
      <c r="F241" s="86">
        <v>102724</v>
      </c>
      <c r="G241" s="87">
        <v>10.941553000000001</v>
      </c>
    </row>
    <row r="242" spans="1:7" x14ac:dyDescent="0.25">
      <c r="A242" s="84" t="s">
        <v>536</v>
      </c>
      <c r="B242" s="84" t="s">
        <v>24</v>
      </c>
      <c r="C242" s="84" t="s">
        <v>283</v>
      </c>
      <c r="D242" s="85">
        <v>12538</v>
      </c>
      <c r="E242" s="85">
        <v>289701</v>
      </c>
      <c r="F242" s="86">
        <v>27368.1</v>
      </c>
      <c r="G242" s="87">
        <v>9.4470161000000008</v>
      </c>
    </row>
    <row r="243" spans="1:7" x14ac:dyDescent="0.25">
      <c r="A243" s="84" t="s">
        <v>539</v>
      </c>
      <c r="B243" s="84" t="s">
        <v>24</v>
      </c>
      <c r="C243" s="84" t="s">
        <v>283</v>
      </c>
      <c r="D243" s="85">
        <v>27954</v>
      </c>
      <c r="E243" s="85">
        <v>588673</v>
      </c>
      <c r="F243" s="86">
        <v>62337.8</v>
      </c>
      <c r="G243" s="87">
        <v>10.589546</v>
      </c>
    </row>
    <row r="244" spans="1:7" x14ac:dyDescent="0.25">
      <c r="A244" s="84" t="s">
        <v>541</v>
      </c>
      <c r="B244" s="84" t="s">
        <v>24</v>
      </c>
      <c r="C244" s="84" t="s">
        <v>283</v>
      </c>
      <c r="D244" s="85">
        <v>27606</v>
      </c>
      <c r="E244" s="85">
        <v>438403</v>
      </c>
      <c r="F244" s="86">
        <v>40189</v>
      </c>
      <c r="G244" s="87">
        <v>9.1671361999999998</v>
      </c>
    </row>
    <row r="245" spans="1:7" x14ac:dyDescent="0.25">
      <c r="A245" s="84" t="s">
        <v>542</v>
      </c>
      <c r="B245" s="84" t="s">
        <v>24</v>
      </c>
      <c r="C245" s="84" t="s">
        <v>283</v>
      </c>
      <c r="D245" s="85">
        <v>134243</v>
      </c>
      <c r="E245" s="85">
        <v>3163310</v>
      </c>
      <c r="F245" s="86">
        <v>274458.90000000002</v>
      </c>
      <c r="G245" s="87">
        <v>8.6763200999999999</v>
      </c>
    </row>
    <row r="246" spans="1:7" x14ac:dyDescent="0.25">
      <c r="A246" s="84" t="s">
        <v>543</v>
      </c>
      <c r="B246" s="84" t="s">
        <v>24</v>
      </c>
      <c r="C246" s="84" t="s">
        <v>283</v>
      </c>
      <c r="D246" s="85">
        <v>26667</v>
      </c>
      <c r="E246" s="85">
        <v>495081</v>
      </c>
      <c r="F246" s="86">
        <v>53205.4</v>
      </c>
      <c r="G246" s="87">
        <v>10.746807</v>
      </c>
    </row>
    <row r="247" spans="1:7" x14ac:dyDescent="0.25">
      <c r="A247" s="84" t="s">
        <v>544</v>
      </c>
      <c r="B247" s="84" t="s">
        <v>24</v>
      </c>
      <c r="C247" s="84" t="s">
        <v>283</v>
      </c>
      <c r="D247" s="85">
        <v>54666</v>
      </c>
      <c r="E247" s="85">
        <v>1306441</v>
      </c>
      <c r="F247" s="86">
        <v>121253.7</v>
      </c>
      <c r="G247" s="87">
        <v>9.2812228000000001</v>
      </c>
    </row>
    <row r="248" spans="1:7" x14ac:dyDescent="0.25">
      <c r="A248" s="84" t="s">
        <v>546</v>
      </c>
      <c r="B248" s="84" t="s">
        <v>24</v>
      </c>
      <c r="C248" s="84" t="s">
        <v>283</v>
      </c>
      <c r="D248" s="85">
        <v>120929</v>
      </c>
      <c r="E248" s="85">
        <v>2581037</v>
      </c>
      <c r="F248" s="86">
        <v>248546.3</v>
      </c>
      <c r="G248" s="87">
        <v>9.6297069999999998</v>
      </c>
    </row>
    <row r="249" spans="1:7" x14ac:dyDescent="0.25">
      <c r="A249" s="84" t="s">
        <v>548</v>
      </c>
      <c r="B249" s="84" t="s">
        <v>24</v>
      </c>
      <c r="C249" s="84" t="s">
        <v>283</v>
      </c>
      <c r="D249" s="85">
        <v>14728</v>
      </c>
      <c r="E249" s="85">
        <v>419474</v>
      </c>
      <c r="F249" s="86">
        <v>38620.300000000003</v>
      </c>
      <c r="G249" s="87">
        <v>9.2068399999999997</v>
      </c>
    </row>
    <row r="250" spans="1:7" x14ac:dyDescent="0.25">
      <c r="A250" s="84" t="s">
        <v>549</v>
      </c>
      <c r="B250" s="84" t="s">
        <v>24</v>
      </c>
      <c r="C250" s="84" t="s">
        <v>281</v>
      </c>
      <c r="D250" s="85">
        <v>180503</v>
      </c>
      <c r="E250" s="85">
        <v>3416339</v>
      </c>
      <c r="F250" s="86">
        <v>362087.1</v>
      </c>
      <c r="G250" s="87">
        <v>10.598687999999999</v>
      </c>
    </row>
    <row r="251" spans="1:7" x14ac:dyDescent="0.25">
      <c r="A251" s="84" t="s">
        <v>550</v>
      </c>
      <c r="B251" s="84" t="s">
        <v>24</v>
      </c>
      <c r="C251" s="84" t="s">
        <v>278</v>
      </c>
      <c r="D251" s="85">
        <v>1863801</v>
      </c>
      <c r="E251" s="85">
        <v>39230213</v>
      </c>
      <c r="F251" s="86">
        <v>4563926.7</v>
      </c>
      <c r="G251" s="87">
        <v>11.633704</v>
      </c>
    </row>
    <row r="252" spans="1:7" x14ac:dyDescent="0.25">
      <c r="A252" s="84" t="s">
        <v>552</v>
      </c>
      <c r="B252" s="84" t="s">
        <v>24</v>
      </c>
      <c r="C252" s="84" t="s">
        <v>281</v>
      </c>
      <c r="D252" s="85">
        <v>33102</v>
      </c>
      <c r="E252" s="85">
        <v>735664</v>
      </c>
      <c r="F252" s="86">
        <v>82767</v>
      </c>
      <c r="G252" s="87">
        <v>11.250652000000001</v>
      </c>
    </row>
    <row r="253" spans="1:7" x14ac:dyDescent="0.25">
      <c r="A253" s="84" t="s">
        <v>553</v>
      </c>
      <c r="B253" s="84" t="s">
        <v>24</v>
      </c>
      <c r="C253" s="84" t="s">
        <v>278</v>
      </c>
      <c r="D253" s="85">
        <v>5136952</v>
      </c>
      <c r="E253" s="85">
        <v>113663998</v>
      </c>
      <c r="F253" s="86">
        <v>10653802</v>
      </c>
      <c r="G253" s="87">
        <v>9.3730664000000008</v>
      </c>
    </row>
    <row r="254" spans="1:7" x14ac:dyDescent="0.25">
      <c r="A254" s="84" t="s">
        <v>554</v>
      </c>
      <c r="B254" s="84" t="s">
        <v>24</v>
      </c>
      <c r="C254" s="84" t="s">
        <v>278</v>
      </c>
      <c r="D254" s="85">
        <v>32334</v>
      </c>
      <c r="E254" s="85">
        <v>645164</v>
      </c>
      <c r="F254" s="86">
        <v>86948.2</v>
      </c>
      <c r="G254" s="87">
        <v>13.476914000000001</v>
      </c>
    </row>
    <row r="255" spans="1:7" x14ac:dyDescent="0.25">
      <c r="A255" s="84" t="s">
        <v>555</v>
      </c>
      <c r="B255" s="84" t="s">
        <v>24</v>
      </c>
      <c r="C255" s="84" t="s">
        <v>283</v>
      </c>
      <c r="D255" s="85">
        <v>28784</v>
      </c>
      <c r="E255" s="85">
        <v>575481</v>
      </c>
      <c r="F255" s="86">
        <v>63515</v>
      </c>
      <c r="G255" s="87">
        <v>11.036854</v>
      </c>
    </row>
    <row r="256" spans="1:7" x14ac:dyDescent="0.25">
      <c r="A256" s="84" t="s">
        <v>556</v>
      </c>
      <c r="B256" s="84" t="s">
        <v>24</v>
      </c>
      <c r="C256" s="84" t="s">
        <v>283</v>
      </c>
      <c r="D256" s="85">
        <v>99665</v>
      </c>
      <c r="E256" s="85">
        <v>1790570</v>
      </c>
      <c r="F256" s="86">
        <v>237636.2</v>
      </c>
      <c r="G256" s="87">
        <v>13.271539000000001</v>
      </c>
    </row>
    <row r="257" spans="1:7" x14ac:dyDescent="0.25">
      <c r="A257" s="84" t="s">
        <v>557</v>
      </c>
      <c r="B257" s="84" t="s">
        <v>24</v>
      </c>
      <c r="C257" s="84" t="s">
        <v>281</v>
      </c>
      <c r="D257" s="85">
        <v>17025</v>
      </c>
      <c r="E257" s="85">
        <v>331722</v>
      </c>
      <c r="F257" s="86">
        <v>44980</v>
      </c>
      <c r="G257" s="87">
        <v>13.559547</v>
      </c>
    </row>
    <row r="258" spans="1:7" x14ac:dyDescent="0.25">
      <c r="A258" s="84" t="s">
        <v>400</v>
      </c>
      <c r="B258" s="84" t="s">
        <v>24</v>
      </c>
      <c r="C258" s="84" t="s">
        <v>392</v>
      </c>
      <c r="D258" s="85">
        <v>1</v>
      </c>
      <c r="E258" s="85">
        <v>504</v>
      </c>
      <c r="F258" s="86">
        <v>98.3</v>
      </c>
      <c r="G258" s="87">
        <v>19.503968</v>
      </c>
    </row>
    <row r="259" spans="1:7" x14ac:dyDescent="0.25">
      <c r="A259" s="84" t="s">
        <v>558</v>
      </c>
      <c r="B259" s="84" t="s">
        <v>24</v>
      </c>
      <c r="C259" s="84" t="s">
        <v>281</v>
      </c>
      <c r="D259" s="85">
        <v>20833</v>
      </c>
      <c r="E259" s="85">
        <v>344000</v>
      </c>
      <c r="F259" s="86">
        <v>43839.9</v>
      </c>
      <c r="G259" s="87">
        <v>12.744157</v>
      </c>
    </row>
    <row r="260" spans="1:7" x14ac:dyDescent="0.25">
      <c r="A260" s="84" t="s">
        <v>559</v>
      </c>
      <c r="B260" s="84" t="s">
        <v>24</v>
      </c>
      <c r="C260" s="84" t="s">
        <v>278</v>
      </c>
      <c r="D260" s="85">
        <v>470680</v>
      </c>
      <c r="E260" s="85">
        <v>10767926</v>
      </c>
      <c r="F260" s="86">
        <v>1233113</v>
      </c>
      <c r="G260" s="87">
        <v>11.451722</v>
      </c>
    </row>
    <row r="261" spans="1:7" x14ac:dyDescent="0.25">
      <c r="A261" s="84" t="s">
        <v>561</v>
      </c>
      <c r="B261" s="84" t="s">
        <v>24</v>
      </c>
      <c r="C261" s="84" t="s">
        <v>283</v>
      </c>
      <c r="D261" s="85">
        <v>487412</v>
      </c>
      <c r="E261" s="85">
        <v>12076440</v>
      </c>
      <c r="F261" s="86">
        <v>1192084.3999999999</v>
      </c>
      <c r="G261" s="87">
        <v>9.8711573999999995</v>
      </c>
    </row>
    <row r="262" spans="1:7" x14ac:dyDescent="0.25">
      <c r="A262" s="84" t="s">
        <v>562</v>
      </c>
      <c r="B262" s="84" t="s">
        <v>24</v>
      </c>
      <c r="C262" s="84" t="s">
        <v>283</v>
      </c>
      <c r="D262" s="85">
        <v>79761</v>
      </c>
      <c r="E262" s="85">
        <v>1627518</v>
      </c>
      <c r="F262" s="86">
        <v>174717</v>
      </c>
      <c r="G262" s="87">
        <v>10.735181000000001</v>
      </c>
    </row>
    <row r="263" spans="1:7" x14ac:dyDescent="0.25">
      <c r="A263" s="84" t="s">
        <v>563</v>
      </c>
      <c r="B263" s="84" t="s">
        <v>24</v>
      </c>
      <c r="C263" s="84" t="s">
        <v>281</v>
      </c>
      <c r="D263" s="85">
        <v>224324</v>
      </c>
      <c r="E263" s="85">
        <v>4279635</v>
      </c>
      <c r="F263" s="86">
        <v>429208</v>
      </c>
      <c r="G263" s="87">
        <v>10.02908</v>
      </c>
    </row>
    <row r="264" spans="1:7" x14ac:dyDescent="0.25">
      <c r="A264" s="84" t="s">
        <v>401</v>
      </c>
      <c r="B264" s="84" t="s">
        <v>24</v>
      </c>
      <c r="C264" s="84" t="s">
        <v>392</v>
      </c>
      <c r="D264" s="85">
        <v>1</v>
      </c>
      <c r="E264" s="85">
        <v>320</v>
      </c>
      <c r="F264" s="86">
        <v>90</v>
      </c>
      <c r="G264" s="87">
        <v>28.125</v>
      </c>
    </row>
    <row r="265" spans="1:7" x14ac:dyDescent="0.25">
      <c r="A265" s="84" t="s">
        <v>564</v>
      </c>
      <c r="B265" s="84" t="s">
        <v>24</v>
      </c>
      <c r="C265" s="84" t="s">
        <v>283</v>
      </c>
      <c r="D265" s="85">
        <v>29659</v>
      </c>
      <c r="E265" s="85">
        <v>443326</v>
      </c>
      <c r="F265" s="86">
        <v>43209</v>
      </c>
      <c r="G265" s="87">
        <v>9.7465522</v>
      </c>
    </row>
    <row r="266" spans="1:7" x14ac:dyDescent="0.25">
      <c r="A266" s="84" t="s">
        <v>565</v>
      </c>
      <c r="B266" s="84" t="s">
        <v>24</v>
      </c>
      <c r="C266" s="84" t="s">
        <v>281</v>
      </c>
      <c r="D266" s="85">
        <v>10890</v>
      </c>
      <c r="E266" s="85">
        <v>173437</v>
      </c>
      <c r="F266" s="86">
        <v>21337.5</v>
      </c>
      <c r="G266" s="87">
        <v>12.302738</v>
      </c>
    </row>
    <row r="267" spans="1:7" x14ac:dyDescent="0.25">
      <c r="A267" s="84" t="s">
        <v>566</v>
      </c>
      <c r="B267" s="84" t="s">
        <v>24</v>
      </c>
      <c r="C267" s="84" t="s">
        <v>283</v>
      </c>
      <c r="D267" s="85">
        <v>253449</v>
      </c>
      <c r="E267" s="85">
        <v>6750618</v>
      </c>
      <c r="F267" s="86">
        <v>647043</v>
      </c>
      <c r="G267" s="87">
        <v>9.5849446999999994</v>
      </c>
    </row>
    <row r="268" spans="1:7" x14ac:dyDescent="0.25">
      <c r="A268" s="84" t="s">
        <v>567</v>
      </c>
      <c r="B268" s="84" t="s">
        <v>24</v>
      </c>
      <c r="C268" s="84" t="s">
        <v>281</v>
      </c>
      <c r="D268" s="85">
        <v>50392</v>
      </c>
      <c r="E268" s="85">
        <v>934732</v>
      </c>
      <c r="F268" s="86">
        <v>108288.3</v>
      </c>
      <c r="G268" s="87">
        <v>11.584956999999999</v>
      </c>
    </row>
    <row r="269" spans="1:7" x14ac:dyDescent="0.25">
      <c r="A269" s="84" t="s">
        <v>568</v>
      </c>
      <c r="B269" s="84" t="s">
        <v>24</v>
      </c>
      <c r="C269" s="84" t="s">
        <v>283</v>
      </c>
      <c r="D269" s="85">
        <v>1532</v>
      </c>
      <c r="E269" s="85">
        <v>1081168</v>
      </c>
      <c r="F269" s="86">
        <v>88744</v>
      </c>
      <c r="G269" s="87">
        <v>8.2081601000000006</v>
      </c>
    </row>
    <row r="270" spans="1:7" x14ac:dyDescent="0.25">
      <c r="A270" s="84" t="s">
        <v>408</v>
      </c>
      <c r="B270" s="84" t="s">
        <v>24</v>
      </c>
      <c r="C270" s="84" t="s">
        <v>392</v>
      </c>
      <c r="D270" s="85">
        <v>946</v>
      </c>
      <c r="E270" s="85">
        <v>6438</v>
      </c>
      <c r="F270" s="86">
        <v>694.4</v>
      </c>
      <c r="G270" s="87">
        <v>10.785958000000001</v>
      </c>
    </row>
    <row r="271" spans="1:7" x14ac:dyDescent="0.25">
      <c r="A271" s="84" t="s">
        <v>569</v>
      </c>
      <c r="B271" s="84" t="s">
        <v>24</v>
      </c>
      <c r="C271" s="84" t="s">
        <v>281</v>
      </c>
      <c r="D271" s="85">
        <v>216477</v>
      </c>
      <c r="E271" s="85">
        <v>3635263</v>
      </c>
      <c r="F271" s="86">
        <v>413794</v>
      </c>
      <c r="G271" s="87">
        <v>11.38278</v>
      </c>
    </row>
    <row r="272" spans="1:7" x14ac:dyDescent="0.25">
      <c r="A272" s="84" t="s">
        <v>414</v>
      </c>
      <c r="B272" s="84" t="s">
        <v>24</v>
      </c>
      <c r="C272" s="84" t="s">
        <v>392</v>
      </c>
      <c r="D272" s="85">
        <v>980</v>
      </c>
      <c r="E272" s="85">
        <v>9540</v>
      </c>
      <c r="F272" s="86">
        <v>1394.9</v>
      </c>
      <c r="G272" s="87">
        <v>14.621593000000001</v>
      </c>
    </row>
    <row r="273" spans="1:7" x14ac:dyDescent="0.25">
      <c r="A273" s="84" t="s">
        <v>415</v>
      </c>
      <c r="B273" s="84" t="s">
        <v>24</v>
      </c>
      <c r="C273" s="84" t="s">
        <v>392</v>
      </c>
      <c r="D273" s="85">
        <v>1730</v>
      </c>
      <c r="E273" s="85">
        <v>19041</v>
      </c>
      <c r="F273" s="86">
        <v>3346.2</v>
      </c>
      <c r="G273" s="87">
        <v>17.573657000000001</v>
      </c>
    </row>
    <row r="274" spans="1:7" x14ac:dyDescent="0.25">
      <c r="A274" s="84" t="s">
        <v>570</v>
      </c>
      <c r="B274" s="84" t="s">
        <v>24</v>
      </c>
      <c r="C274" s="84" t="s">
        <v>281</v>
      </c>
      <c r="D274" s="85">
        <v>27388</v>
      </c>
      <c r="E274" s="85">
        <v>530063</v>
      </c>
      <c r="F274" s="86">
        <v>56912</v>
      </c>
      <c r="G274" s="87">
        <v>10.736837</v>
      </c>
    </row>
    <row r="275" spans="1:7" x14ac:dyDescent="0.25">
      <c r="A275" s="84" t="s">
        <v>571</v>
      </c>
      <c r="B275" s="84" t="s">
        <v>24</v>
      </c>
      <c r="C275" s="84" t="s">
        <v>281</v>
      </c>
      <c r="D275" s="85">
        <v>55018</v>
      </c>
      <c r="E275" s="85">
        <v>1023580</v>
      </c>
      <c r="F275" s="86">
        <v>125381</v>
      </c>
      <c r="G275" s="87">
        <v>12.249262</v>
      </c>
    </row>
    <row r="276" spans="1:7" x14ac:dyDescent="0.25">
      <c r="A276" s="84" t="s">
        <v>572</v>
      </c>
      <c r="B276" s="84" t="s">
        <v>24</v>
      </c>
      <c r="C276" s="84" t="s">
        <v>278</v>
      </c>
      <c r="D276" s="85">
        <v>786047</v>
      </c>
      <c r="E276" s="85">
        <v>19953730</v>
      </c>
      <c r="F276" s="86">
        <v>1826439.5</v>
      </c>
      <c r="G276" s="87">
        <v>9.1533738000000007</v>
      </c>
    </row>
    <row r="277" spans="1:7" x14ac:dyDescent="0.25">
      <c r="A277" s="84" t="s">
        <v>416</v>
      </c>
      <c r="B277" s="84" t="s">
        <v>24</v>
      </c>
      <c r="C277" s="84" t="s">
        <v>392</v>
      </c>
      <c r="D277" s="85">
        <v>3</v>
      </c>
      <c r="E277" s="85">
        <v>757</v>
      </c>
      <c r="F277" s="86">
        <v>274</v>
      </c>
      <c r="G277" s="87">
        <v>36.195509000000001</v>
      </c>
    </row>
    <row r="278" spans="1:7" x14ac:dyDescent="0.25">
      <c r="A278" s="84" t="s">
        <v>2371</v>
      </c>
      <c r="B278" s="84" t="s">
        <v>24</v>
      </c>
      <c r="C278" s="84" t="s">
        <v>281</v>
      </c>
      <c r="D278" s="85">
        <v>19081</v>
      </c>
      <c r="E278" s="85">
        <v>317797</v>
      </c>
      <c r="F278" s="86">
        <v>38609.199999999997</v>
      </c>
      <c r="G278" s="87">
        <v>12.149013</v>
      </c>
    </row>
    <row r="279" spans="1:7" x14ac:dyDescent="0.25">
      <c r="A279" s="84" t="s">
        <v>2372</v>
      </c>
      <c r="B279" s="84" t="s">
        <v>24</v>
      </c>
      <c r="C279" s="84" t="s">
        <v>283</v>
      </c>
      <c r="D279" s="85">
        <v>30908</v>
      </c>
      <c r="E279" s="85">
        <v>723134</v>
      </c>
      <c r="F279" s="86">
        <v>96843</v>
      </c>
      <c r="G279" s="87">
        <v>13.392124000000001</v>
      </c>
    </row>
    <row r="280" spans="1:7" x14ac:dyDescent="0.25">
      <c r="A280" s="84" t="s">
        <v>421</v>
      </c>
      <c r="B280" s="84" t="s">
        <v>24</v>
      </c>
      <c r="C280" s="84" t="s">
        <v>392</v>
      </c>
      <c r="D280" s="85">
        <v>629</v>
      </c>
      <c r="E280" s="85">
        <v>4913</v>
      </c>
      <c r="F280" s="86">
        <v>591.79999999999995</v>
      </c>
      <c r="G280" s="87">
        <v>12.045593</v>
      </c>
    </row>
    <row r="281" spans="1:7" x14ac:dyDescent="0.25">
      <c r="A281" s="84" t="s">
        <v>573</v>
      </c>
      <c r="B281" s="84" t="s">
        <v>24</v>
      </c>
      <c r="C281" s="84" t="s">
        <v>281</v>
      </c>
      <c r="D281" s="85">
        <v>28358</v>
      </c>
      <c r="E281" s="85">
        <v>498614</v>
      </c>
      <c r="F281" s="86">
        <v>57724</v>
      </c>
      <c r="G281" s="87">
        <v>11.576891</v>
      </c>
    </row>
    <row r="282" spans="1:7" x14ac:dyDescent="0.25">
      <c r="A282" s="84" t="s">
        <v>574</v>
      </c>
      <c r="B282" s="84" t="s">
        <v>24</v>
      </c>
      <c r="C282" s="84" t="s">
        <v>281</v>
      </c>
      <c r="D282" s="85">
        <v>226696</v>
      </c>
      <c r="E282" s="85">
        <v>4247097</v>
      </c>
      <c r="F282" s="86">
        <v>453417.6</v>
      </c>
      <c r="G282" s="87">
        <v>10.675941999999999</v>
      </c>
    </row>
    <row r="283" spans="1:7" x14ac:dyDescent="0.25">
      <c r="A283" s="84" t="s">
        <v>2373</v>
      </c>
      <c r="B283" s="84" t="s">
        <v>27</v>
      </c>
      <c r="C283" s="84" t="s">
        <v>283</v>
      </c>
      <c r="D283" s="85">
        <v>37083</v>
      </c>
      <c r="E283" s="85">
        <v>883218</v>
      </c>
      <c r="F283" s="86">
        <v>94635</v>
      </c>
      <c r="G283" s="87">
        <v>10.714795000000001</v>
      </c>
    </row>
    <row r="284" spans="1:7" x14ac:dyDescent="0.25">
      <c r="A284" s="84" t="s">
        <v>576</v>
      </c>
      <c r="B284" s="84" t="s">
        <v>27</v>
      </c>
      <c r="C284" s="84" t="s">
        <v>281</v>
      </c>
      <c r="D284" s="85">
        <v>20936</v>
      </c>
      <c r="E284" s="85">
        <v>403701</v>
      </c>
      <c r="F284" s="86">
        <v>51248</v>
      </c>
      <c r="G284" s="87">
        <v>12.694544</v>
      </c>
    </row>
    <row r="285" spans="1:7" x14ac:dyDescent="0.25">
      <c r="A285" s="84" t="s">
        <v>577</v>
      </c>
      <c r="B285" s="84" t="s">
        <v>27</v>
      </c>
      <c r="C285" s="84" t="s">
        <v>281</v>
      </c>
      <c r="D285" s="85">
        <v>50829</v>
      </c>
      <c r="E285" s="85">
        <v>750747</v>
      </c>
      <c r="F285" s="86">
        <v>86788.800000000003</v>
      </c>
      <c r="G285" s="87">
        <v>11.560326</v>
      </c>
    </row>
    <row r="286" spans="1:7" x14ac:dyDescent="0.25">
      <c r="A286" s="84" t="s">
        <v>578</v>
      </c>
      <c r="B286" s="84" t="s">
        <v>27</v>
      </c>
      <c r="C286" s="84" t="s">
        <v>281</v>
      </c>
      <c r="D286" s="85">
        <v>36210</v>
      </c>
      <c r="E286" s="85">
        <v>463883</v>
      </c>
      <c r="F286" s="86">
        <v>59625</v>
      </c>
      <c r="G286" s="87">
        <v>12.853457000000001</v>
      </c>
    </row>
    <row r="287" spans="1:7" x14ac:dyDescent="0.25">
      <c r="A287" s="84" t="s">
        <v>579</v>
      </c>
      <c r="B287" s="84" t="s">
        <v>27</v>
      </c>
      <c r="C287" s="84" t="s">
        <v>281</v>
      </c>
      <c r="D287" s="85">
        <v>22586</v>
      </c>
      <c r="E287" s="85">
        <v>442556</v>
      </c>
      <c r="F287" s="86">
        <v>49528.6</v>
      </c>
      <c r="G287" s="87">
        <v>11.191488</v>
      </c>
    </row>
    <row r="288" spans="1:7" x14ac:dyDescent="0.25">
      <c r="A288" s="84" t="s">
        <v>580</v>
      </c>
      <c r="B288" s="84" t="s">
        <v>27</v>
      </c>
      <c r="C288" s="84" t="s">
        <v>281</v>
      </c>
      <c r="D288" s="85">
        <v>52460</v>
      </c>
      <c r="E288" s="85">
        <v>1055494</v>
      </c>
      <c r="F288" s="86">
        <v>112792</v>
      </c>
      <c r="G288" s="87">
        <v>10.686180999999999</v>
      </c>
    </row>
    <row r="289" spans="1:7" x14ac:dyDescent="0.25">
      <c r="A289" s="84" t="s">
        <v>581</v>
      </c>
      <c r="B289" s="84" t="s">
        <v>27</v>
      </c>
      <c r="C289" s="84" t="s">
        <v>281</v>
      </c>
      <c r="D289" s="85">
        <v>60555</v>
      </c>
      <c r="E289" s="85">
        <v>1258391</v>
      </c>
      <c r="F289" s="86">
        <v>119779</v>
      </c>
      <c r="G289" s="87">
        <v>9.5184247000000006</v>
      </c>
    </row>
    <row r="290" spans="1:7" x14ac:dyDescent="0.25">
      <c r="A290" s="84" t="s">
        <v>584</v>
      </c>
      <c r="B290" s="84" t="s">
        <v>27</v>
      </c>
      <c r="C290" s="84" t="s">
        <v>283</v>
      </c>
      <c r="D290" s="85">
        <v>3771</v>
      </c>
      <c r="E290" s="85">
        <v>206493</v>
      </c>
      <c r="F290" s="86">
        <v>21496.9</v>
      </c>
      <c r="G290" s="87">
        <v>10.410474000000001</v>
      </c>
    </row>
    <row r="291" spans="1:7" x14ac:dyDescent="0.25">
      <c r="A291" s="84" t="s">
        <v>586</v>
      </c>
      <c r="B291" s="84" t="s">
        <v>27</v>
      </c>
      <c r="C291" s="84" t="s">
        <v>283</v>
      </c>
      <c r="D291" s="85">
        <v>5505</v>
      </c>
      <c r="E291" s="85">
        <v>358795</v>
      </c>
      <c r="F291" s="86">
        <v>31950.5</v>
      </c>
      <c r="G291" s="87">
        <v>8.9049457000000007</v>
      </c>
    </row>
    <row r="292" spans="1:7" x14ac:dyDescent="0.25">
      <c r="A292" s="84" t="s">
        <v>588</v>
      </c>
      <c r="B292" s="84" t="s">
        <v>27</v>
      </c>
      <c r="C292" s="84" t="s">
        <v>283</v>
      </c>
      <c r="D292" s="85">
        <v>7982</v>
      </c>
      <c r="E292" s="85">
        <v>556369</v>
      </c>
      <c r="F292" s="86">
        <v>46189.4</v>
      </c>
      <c r="G292" s="87">
        <v>8.3019362999999995</v>
      </c>
    </row>
    <row r="293" spans="1:7" x14ac:dyDescent="0.25">
      <c r="A293" s="84" t="s">
        <v>589</v>
      </c>
      <c r="B293" s="84" t="s">
        <v>27</v>
      </c>
      <c r="C293" s="84" t="s">
        <v>283</v>
      </c>
      <c r="D293" s="85">
        <v>10964</v>
      </c>
      <c r="E293" s="85">
        <v>184749</v>
      </c>
      <c r="F293" s="86">
        <v>20182</v>
      </c>
      <c r="G293" s="87">
        <v>10.924010000000001</v>
      </c>
    </row>
    <row r="294" spans="1:7" x14ac:dyDescent="0.25">
      <c r="A294" s="84" t="s">
        <v>590</v>
      </c>
      <c r="B294" s="84" t="s">
        <v>27</v>
      </c>
      <c r="C294" s="84" t="s">
        <v>283</v>
      </c>
      <c r="D294" s="85">
        <v>981</v>
      </c>
      <c r="E294" s="85">
        <v>23212</v>
      </c>
      <c r="F294" s="86">
        <v>2567</v>
      </c>
      <c r="G294" s="87">
        <v>11.058935</v>
      </c>
    </row>
    <row r="295" spans="1:7" x14ac:dyDescent="0.25">
      <c r="A295" s="84" t="s">
        <v>591</v>
      </c>
      <c r="B295" s="84" t="s">
        <v>27</v>
      </c>
      <c r="C295" s="84" t="s">
        <v>283</v>
      </c>
      <c r="D295" s="85">
        <v>8132</v>
      </c>
      <c r="E295" s="85">
        <v>315722</v>
      </c>
      <c r="F295" s="86">
        <v>31321.5</v>
      </c>
      <c r="G295" s="87">
        <v>9.9205947000000005</v>
      </c>
    </row>
    <row r="296" spans="1:7" x14ac:dyDescent="0.25">
      <c r="A296" s="84" t="s">
        <v>592</v>
      </c>
      <c r="B296" s="84" t="s">
        <v>27</v>
      </c>
      <c r="C296" s="84" t="s">
        <v>283</v>
      </c>
      <c r="D296" s="85">
        <v>12414</v>
      </c>
      <c r="E296" s="85">
        <v>423749</v>
      </c>
      <c r="F296" s="86">
        <v>37813.5</v>
      </c>
      <c r="G296" s="87">
        <v>8.9235609</v>
      </c>
    </row>
    <row r="297" spans="1:7" x14ac:dyDescent="0.25">
      <c r="A297" s="84" t="s">
        <v>593</v>
      </c>
      <c r="B297" s="84" t="s">
        <v>27</v>
      </c>
      <c r="C297" s="84" t="s">
        <v>283</v>
      </c>
      <c r="D297" s="85">
        <v>5739</v>
      </c>
      <c r="E297" s="85">
        <v>258624</v>
      </c>
      <c r="F297" s="86">
        <v>27977</v>
      </c>
      <c r="G297" s="87">
        <v>10.817634999999999</v>
      </c>
    </row>
    <row r="298" spans="1:7" x14ac:dyDescent="0.25">
      <c r="A298" s="84" t="s">
        <v>594</v>
      </c>
      <c r="B298" s="84" t="s">
        <v>27</v>
      </c>
      <c r="C298" s="84" t="s">
        <v>283</v>
      </c>
      <c r="D298" s="85">
        <v>16525</v>
      </c>
      <c r="E298" s="85">
        <v>384190</v>
      </c>
      <c r="F298" s="86">
        <v>47029.1</v>
      </c>
      <c r="G298" s="87">
        <v>12.241104999999999</v>
      </c>
    </row>
    <row r="299" spans="1:7" x14ac:dyDescent="0.25">
      <c r="A299" s="84" t="s">
        <v>2374</v>
      </c>
      <c r="B299" s="84" t="s">
        <v>27</v>
      </c>
      <c r="C299" s="84" t="s">
        <v>283</v>
      </c>
      <c r="D299" s="85">
        <v>15727</v>
      </c>
      <c r="E299" s="85">
        <v>393356</v>
      </c>
      <c r="F299" s="86">
        <v>48055</v>
      </c>
      <c r="G299" s="87">
        <v>12.216669</v>
      </c>
    </row>
    <row r="300" spans="1:7" x14ac:dyDescent="0.25">
      <c r="A300" s="84" t="s">
        <v>597</v>
      </c>
      <c r="B300" s="84" t="s">
        <v>27</v>
      </c>
      <c r="C300" s="84" t="s">
        <v>283</v>
      </c>
      <c r="D300" s="85">
        <v>13453</v>
      </c>
      <c r="E300" s="85">
        <v>517963</v>
      </c>
      <c r="F300" s="86">
        <v>44513</v>
      </c>
      <c r="G300" s="87">
        <v>8.5938570999999992</v>
      </c>
    </row>
    <row r="301" spans="1:7" x14ac:dyDescent="0.25">
      <c r="A301" s="84" t="s">
        <v>598</v>
      </c>
      <c r="B301" s="84" t="s">
        <v>27</v>
      </c>
      <c r="C301" s="84" t="s">
        <v>283</v>
      </c>
      <c r="D301" s="85">
        <v>11997</v>
      </c>
      <c r="E301" s="85">
        <v>297430</v>
      </c>
      <c r="F301" s="86">
        <v>32864</v>
      </c>
      <c r="G301" s="87">
        <v>11.049322999999999</v>
      </c>
    </row>
    <row r="302" spans="1:7" x14ac:dyDescent="0.25">
      <c r="A302" s="84" t="s">
        <v>599</v>
      </c>
      <c r="B302" s="84" t="s">
        <v>27</v>
      </c>
      <c r="C302" s="84" t="s">
        <v>283</v>
      </c>
      <c r="D302" s="85">
        <v>42076</v>
      </c>
      <c r="E302" s="85">
        <v>968373</v>
      </c>
      <c r="F302" s="86">
        <v>110680</v>
      </c>
      <c r="G302" s="87">
        <v>11.42948</v>
      </c>
    </row>
    <row r="303" spans="1:7" x14ac:dyDescent="0.25">
      <c r="A303" s="84" t="s">
        <v>603</v>
      </c>
      <c r="B303" s="84" t="s">
        <v>27</v>
      </c>
      <c r="C303" s="84" t="s">
        <v>283</v>
      </c>
      <c r="D303" s="85">
        <v>2414</v>
      </c>
      <c r="E303" s="85">
        <v>693425</v>
      </c>
      <c r="F303" s="86">
        <v>23051.3</v>
      </c>
      <c r="G303" s="87">
        <v>3.3242672</v>
      </c>
    </row>
    <row r="304" spans="1:7" x14ac:dyDescent="0.25">
      <c r="A304" s="84" t="s">
        <v>605</v>
      </c>
      <c r="B304" s="84" t="s">
        <v>27</v>
      </c>
      <c r="C304" s="84" t="s">
        <v>283</v>
      </c>
      <c r="D304" s="85">
        <v>15990</v>
      </c>
      <c r="E304" s="85">
        <v>469400</v>
      </c>
      <c r="F304" s="86">
        <v>53023.9</v>
      </c>
      <c r="G304" s="87">
        <v>11.296101</v>
      </c>
    </row>
    <row r="305" spans="1:7" x14ac:dyDescent="0.25">
      <c r="A305" s="84" t="s">
        <v>607</v>
      </c>
      <c r="B305" s="84" t="s">
        <v>27</v>
      </c>
      <c r="C305" s="84" t="s">
        <v>281</v>
      </c>
      <c r="D305" s="85">
        <v>21127</v>
      </c>
      <c r="E305" s="85">
        <v>507092</v>
      </c>
      <c r="F305" s="86">
        <v>59854</v>
      </c>
      <c r="G305" s="87">
        <v>11.803381</v>
      </c>
    </row>
    <row r="306" spans="1:7" x14ac:dyDescent="0.25">
      <c r="A306" s="84" t="s">
        <v>608</v>
      </c>
      <c r="B306" s="84" t="s">
        <v>27</v>
      </c>
      <c r="C306" s="84" t="s">
        <v>281</v>
      </c>
      <c r="D306" s="85">
        <v>214156</v>
      </c>
      <c r="E306" s="85">
        <v>3880652</v>
      </c>
      <c r="F306" s="86">
        <v>421554.3</v>
      </c>
      <c r="G306" s="87">
        <v>10.862976</v>
      </c>
    </row>
    <row r="307" spans="1:7" x14ac:dyDescent="0.25">
      <c r="A307" s="84" t="s">
        <v>609</v>
      </c>
      <c r="B307" s="84" t="s">
        <v>27</v>
      </c>
      <c r="C307" s="84" t="s">
        <v>281</v>
      </c>
      <c r="D307" s="85">
        <v>68792</v>
      </c>
      <c r="E307" s="85">
        <v>1251259</v>
      </c>
      <c r="F307" s="86">
        <v>126442.1</v>
      </c>
      <c r="G307" s="87">
        <v>10.10519</v>
      </c>
    </row>
    <row r="308" spans="1:7" x14ac:dyDescent="0.25">
      <c r="A308" s="84" t="s">
        <v>610</v>
      </c>
      <c r="B308" s="84" t="s">
        <v>27</v>
      </c>
      <c r="C308" s="84" t="s">
        <v>281</v>
      </c>
      <c r="D308" s="85">
        <v>83323</v>
      </c>
      <c r="E308" s="85">
        <v>1555184</v>
      </c>
      <c r="F308" s="86">
        <v>167666.9</v>
      </c>
      <c r="G308" s="87">
        <v>10.781162</v>
      </c>
    </row>
    <row r="309" spans="1:7" x14ac:dyDescent="0.25">
      <c r="A309" s="84" t="s">
        <v>611</v>
      </c>
      <c r="B309" s="84" t="s">
        <v>27</v>
      </c>
      <c r="C309" s="84" t="s">
        <v>385</v>
      </c>
      <c r="D309" s="85">
        <v>11995</v>
      </c>
      <c r="E309" s="85">
        <v>397652</v>
      </c>
      <c r="F309" s="86">
        <v>41615.599999999999</v>
      </c>
      <c r="G309" s="87">
        <v>10.465331000000001</v>
      </c>
    </row>
    <row r="310" spans="1:7" x14ac:dyDescent="0.25">
      <c r="A310" s="84" t="s">
        <v>612</v>
      </c>
      <c r="B310" s="84" t="s">
        <v>27</v>
      </c>
      <c r="C310" s="84" t="s">
        <v>283</v>
      </c>
      <c r="D310" s="85">
        <v>16832</v>
      </c>
      <c r="E310" s="85">
        <v>1812787</v>
      </c>
      <c r="F310" s="86">
        <v>113230</v>
      </c>
      <c r="G310" s="87">
        <v>6.2461833999999996</v>
      </c>
    </row>
    <row r="311" spans="1:7" x14ac:dyDescent="0.25">
      <c r="A311" s="84" t="s">
        <v>332</v>
      </c>
      <c r="B311" s="84" t="s">
        <v>27</v>
      </c>
      <c r="C311" s="84" t="s">
        <v>281</v>
      </c>
      <c r="D311" s="85">
        <v>34959</v>
      </c>
      <c r="E311" s="85">
        <v>674130</v>
      </c>
      <c r="F311" s="86">
        <v>87997.5</v>
      </c>
      <c r="G311" s="87">
        <v>13.053490999999999</v>
      </c>
    </row>
    <row r="312" spans="1:7" x14ac:dyDescent="0.25">
      <c r="A312" s="84" t="s">
        <v>613</v>
      </c>
      <c r="B312" s="84" t="s">
        <v>27</v>
      </c>
      <c r="C312" s="84" t="s">
        <v>281</v>
      </c>
      <c r="D312" s="85">
        <v>23824</v>
      </c>
      <c r="E312" s="85">
        <v>393075</v>
      </c>
      <c r="F312" s="86">
        <v>41003.4</v>
      </c>
      <c r="G312" s="87">
        <v>10.431444000000001</v>
      </c>
    </row>
    <row r="313" spans="1:7" x14ac:dyDescent="0.25">
      <c r="A313" s="84" t="s">
        <v>615</v>
      </c>
      <c r="B313" s="84" t="s">
        <v>27</v>
      </c>
      <c r="C313" s="84" t="s">
        <v>281</v>
      </c>
      <c r="D313" s="85">
        <v>89509</v>
      </c>
      <c r="E313" s="85">
        <v>1808495</v>
      </c>
      <c r="F313" s="86">
        <v>212294.1</v>
      </c>
      <c r="G313" s="87">
        <v>11.738716</v>
      </c>
    </row>
    <row r="314" spans="1:7" x14ac:dyDescent="0.25">
      <c r="A314" s="84" t="s">
        <v>617</v>
      </c>
      <c r="B314" s="84" t="s">
        <v>27</v>
      </c>
      <c r="C314" s="84" t="s">
        <v>278</v>
      </c>
      <c r="D314" s="85">
        <v>2614431</v>
      </c>
      <c r="E314" s="85">
        <v>80814387</v>
      </c>
      <c r="F314" s="86">
        <v>7610499.7999999998</v>
      </c>
      <c r="G314" s="87">
        <v>9.4172586000000003</v>
      </c>
    </row>
    <row r="315" spans="1:7" x14ac:dyDescent="0.25">
      <c r="A315" s="84" t="s">
        <v>618</v>
      </c>
      <c r="B315" s="84" t="s">
        <v>27</v>
      </c>
      <c r="C315" s="84" t="s">
        <v>281</v>
      </c>
      <c r="D315" s="85">
        <v>19898</v>
      </c>
      <c r="E315" s="85">
        <v>303065</v>
      </c>
      <c r="F315" s="86">
        <v>41034</v>
      </c>
      <c r="G315" s="87">
        <v>13.539669999999999</v>
      </c>
    </row>
    <row r="316" spans="1:7" x14ac:dyDescent="0.25">
      <c r="A316" s="84" t="s">
        <v>619</v>
      </c>
      <c r="B316" s="84" t="s">
        <v>27</v>
      </c>
      <c r="C316" s="84" t="s">
        <v>281</v>
      </c>
      <c r="D316" s="85">
        <v>138200</v>
      </c>
      <c r="E316" s="85">
        <v>2778290</v>
      </c>
      <c r="F316" s="86">
        <v>281386</v>
      </c>
      <c r="G316" s="87">
        <v>10.128028</v>
      </c>
    </row>
    <row r="317" spans="1:7" x14ac:dyDescent="0.25">
      <c r="A317" s="84" t="s">
        <v>620</v>
      </c>
      <c r="B317" s="84" t="s">
        <v>27</v>
      </c>
      <c r="C317" s="84" t="s">
        <v>281</v>
      </c>
      <c r="D317" s="85">
        <v>35287</v>
      </c>
      <c r="E317" s="85">
        <v>506453</v>
      </c>
      <c r="F317" s="86">
        <v>64767.9</v>
      </c>
      <c r="G317" s="87">
        <v>12.788531000000001</v>
      </c>
    </row>
    <row r="318" spans="1:7" x14ac:dyDescent="0.25">
      <c r="A318" s="84" t="s">
        <v>621</v>
      </c>
      <c r="B318" s="84" t="s">
        <v>27</v>
      </c>
      <c r="C318" s="84" t="s">
        <v>281</v>
      </c>
      <c r="D318" s="85">
        <v>37243</v>
      </c>
      <c r="E318" s="85">
        <v>579120</v>
      </c>
      <c r="F318" s="86">
        <v>69152</v>
      </c>
      <c r="G318" s="87">
        <v>11.940875999999999</v>
      </c>
    </row>
    <row r="319" spans="1:7" x14ac:dyDescent="0.25">
      <c r="A319" s="84" t="s">
        <v>622</v>
      </c>
      <c r="B319" s="84" t="s">
        <v>27</v>
      </c>
      <c r="C319" s="84" t="s">
        <v>281</v>
      </c>
      <c r="D319" s="85">
        <v>407</v>
      </c>
      <c r="E319" s="85">
        <v>3468</v>
      </c>
      <c r="F319" s="86">
        <v>550</v>
      </c>
      <c r="G319" s="87">
        <v>15.859285</v>
      </c>
    </row>
    <row r="320" spans="1:7" x14ac:dyDescent="0.25">
      <c r="A320" s="84" t="s">
        <v>623</v>
      </c>
      <c r="B320" s="84" t="s">
        <v>27</v>
      </c>
      <c r="C320" s="84" t="s">
        <v>281</v>
      </c>
      <c r="D320" s="85">
        <v>12539</v>
      </c>
      <c r="E320" s="85">
        <v>197393</v>
      </c>
      <c r="F320" s="86">
        <v>26869</v>
      </c>
      <c r="G320" s="87">
        <v>13.611931999999999</v>
      </c>
    </row>
    <row r="321" spans="1:7" x14ac:dyDescent="0.25">
      <c r="A321" s="84" t="s">
        <v>624</v>
      </c>
      <c r="B321" s="84" t="s">
        <v>27</v>
      </c>
      <c r="C321" s="84" t="s">
        <v>281</v>
      </c>
      <c r="D321" s="85">
        <v>237817</v>
      </c>
      <c r="E321" s="85">
        <v>5339689</v>
      </c>
      <c r="F321" s="86">
        <v>578260.30000000005</v>
      </c>
      <c r="G321" s="87">
        <v>10.829475</v>
      </c>
    </row>
    <row r="322" spans="1:7" x14ac:dyDescent="0.25">
      <c r="A322" s="84" t="s">
        <v>625</v>
      </c>
      <c r="B322" s="84" t="s">
        <v>27</v>
      </c>
      <c r="C322" s="84" t="s">
        <v>281</v>
      </c>
      <c r="D322" s="85">
        <v>34926</v>
      </c>
      <c r="E322" s="85">
        <v>579344</v>
      </c>
      <c r="F322" s="86">
        <v>68921</v>
      </c>
      <c r="G322" s="87">
        <v>11.896386</v>
      </c>
    </row>
    <row r="323" spans="1:7" x14ac:dyDescent="0.25">
      <c r="A323" s="84" t="s">
        <v>401</v>
      </c>
      <c r="B323" s="84" t="s">
        <v>27</v>
      </c>
      <c r="C323" s="84" t="s">
        <v>392</v>
      </c>
      <c r="D323" s="85">
        <v>2</v>
      </c>
      <c r="E323" s="85">
        <v>1398</v>
      </c>
      <c r="F323" s="86">
        <v>181.8</v>
      </c>
      <c r="G323" s="87">
        <v>13.004292</v>
      </c>
    </row>
    <row r="324" spans="1:7" x14ac:dyDescent="0.25">
      <c r="A324" s="84" t="s">
        <v>628</v>
      </c>
      <c r="B324" s="84" t="s">
        <v>27</v>
      </c>
      <c r="C324" s="84" t="s">
        <v>281</v>
      </c>
      <c r="D324" s="85">
        <v>25163</v>
      </c>
      <c r="E324" s="85">
        <v>436503</v>
      </c>
      <c r="F324" s="86">
        <v>60888.3</v>
      </c>
      <c r="G324" s="87">
        <v>13.949114</v>
      </c>
    </row>
    <row r="325" spans="1:7" x14ac:dyDescent="0.25">
      <c r="A325" s="84" t="s">
        <v>629</v>
      </c>
      <c r="B325" s="84" t="s">
        <v>27</v>
      </c>
      <c r="C325" s="84" t="s">
        <v>283</v>
      </c>
      <c r="D325" s="85">
        <v>10367</v>
      </c>
      <c r="E325" s="85">
        <v>305923</v>
      </c>
      <c r="F325" s="86">
        <v>34079</v>
      </c>
      <c r="G325" s="87">
        <v>11.139730999999999</v>
      </c>
    </row>
    <row r="326" spans="1:7" x14ac:dyDescent="0.25">
      <c r="A326" s="84" t="s">
        <v>630</v>
      </c>
      <c r="B326" s="84" t="s">
        <v>27</v>
      </c>
      <c r="C326" s="84" t="s">
        <v>281</v>
      </c>
      <c r="D326" s="85">
        <v>102229</v>
      </c>
      <c r="E326" s="85">
        <v>2293510</v>
      </c>
      <c r="F326" s="86">
        <v>225125</v>
      </c>
      <c r="G326" s="87">
        <v>9.8157408999999998</v>
      </c>
    </row>
    <row r="327" spans="1:7" x14ac:dyDescent="0.25">
      <c r="A327" s="84" t="s">
        <v>632</v>
      </c>
      <c r="B327" s="84" t="s">
        <v>27</v>
      </c>
      <c r="C327" s="84" t="s">
        <v>281</v>
      </c>
      <c r="D327" s="85">
        <v>12890</v>
      </c>
      <c r="E327" s="85">
        <v>257378</v>
      </c>
      <c r="F327" s="86">
        <v>29468.2</v>
      </c>
      <c r="G327" s="87">
        <v>11.449386000000001</v>
      </c>
    </row>
    <row r="328" spans="1:7" x14ac:dyDescent="0.25">
      <c r="A328" s="84" t="s">
        <v>565</v>
      </c>
      <c r="B328" s="84" t="s">
        <v>27</v>
      </c>
      <c r="C328" s="84" t="s">
        <v>281</v>
      </c>
      <c r="D328" s="85">
        <v>27288</v>
      </c>
      <c r="E328" s="85">
        <v>433682</v>
      </c>
      <c r="F328" s="86">
        <v>52262.7</v>
      </c>
      <c r="G328" s="87">
        <v>12.050927</v>
      </c>
    </row>
    <row r="329" spans="1:7" x14ac:dyDescent="0.25">
      <c r="A329" s="84" t="s">
        <v>633</v>
      </c>
      <c r="B329" s="84" t="s">
        <v>27</v>
      </c>
      <c r="C329" s="84" t="s">
        <v>281</v>
      </c>
      <c r="D329" s="85">
        <v>17405</v>
      </c>
      <c r="E329" s="85">
        <v>283832</v>
      </c>
      <c r="F329" s="86">
        <v>37129</v>
      </c>
      <c r="G329" s="87">
        <v>13.081329999999999</v>
      </c>
    </row>
    <row r="330" spans="1:7" x14ac:dyDescent="0.25">
      <c r="A330" s="84" t="s">
        <v>634</v>
      </c>
      <c r="B330" s="84" t="s">
        <v>27</v>
      </c>
      <c r="C330" s="84" t="s">
        <v>281</v>
      </c>
      <c r="D330" s="85">
        <v>18762</v>
      </c>
      <c r="E330" s="85">
        <v>269210</v>
      </c>
      <c r="F330" s="86">
        <v>34780.5</v>
      </c>
      <c r="G330" s="87">
        <v>12.919468</v>
      </c>
    </row>
    <row r="331" spans="1:7" x14ac:dyDescent="0.25">
      <c r="A331" s="84" t="s">
        <v>635</v>
      </c>
      <c r="B331" s="84" t="s">
        <v>27</v>
      </c>
      <c r="C331" s="84" t="s">
        <v>281</v>
      </c>
      <c r="D331" s="85">
        <v>56822</v>
      </c>
      <c r="E331" s="85">
        <v>1096270</v>
      </c>
      <c r="F331" s="86">
        <v>109259.5</v>
      </c>
      <c r="G331" s="87">
        <v>9.9664771999999999</v>
      </c>
    </row>
    <row r="332" spans="1:7" x14ac:dyDescent="0.25">
      <c r="A332" s="84" t="s">
        <v>636</v>
      </c>
      <c r="B332" s="84" t="s">
        <v>27</v>
      </c>
      <c r="C332" s="84" t="s">
        <v>281</v>
      </c>
      <c r="D332" s="85">
        <v>188447</v>
      </c>
      <c r="E332" s="85">
        <v>3504212</v>
      </c>
      <c r="F332" s="86">
        <v>382712</v>
      </c>
      <c r="G332" s="87">
        <v>10.921485000000001</v>
      </c>
    </row>
    <row r="333" spans="1:7" x14ac:dyDescent="0.25">
      <c r="A333" s="84" t="s">
        <v>638</v>
      </c>
      <c r="B333" s="84" t="s">
        <v>27</v>
      </c>
      <c r="C333" s="84" t="s">
        <v>281</v>
      </c>
      <c r="D333" s="85">
        <v>102518</v>
      </c>
      <c r="E333" s="85">
        <v>1920371</v>
      </c>
      <c r="F333" s="86">
        <v>185189</v>
      </c>
      <c r="G333" s="87">
        <v>9.6433970000000002</v>
      </c>
    </row>
    <row r="334" spans="1:7" x14ac:dyDescent="0.25">
      <c r="A334" s="84" t="s">
        <v>639</v>
      </c>
      <c r="B334" s="84" t="s">
        <v>27</v>
      </c>
      <c r="C334" s="84" t="s">
        <v>281</v>
      </c>
      <c r="D334" s="85">
        <v>19958</v>
      </c>
      <c r="E334" s="85">
        <v>335978</v>
      </c>
      <c r="F334" s="86">
        <v>41977</v>
      </c>
      <c r="G334" s="87">
        <v>12.493973</v>
      </c>
    </row>
    <row r="335" spans="1:7" x14ac:dyDescent="0.25">
      <c r="A335" s="84" t="s">
        <v>640</v>
      </c>
      <c r="B335" s="84" t="s">
        <v>27</v>
      </c>
      <c r="C335" s="84" t="s">
        <v>281</v>
      </c>
      <c r="D335" s="85">
        <v>20707</v>
      </c>
      <c r="E335" s="85">
        <v>348838</v>
      </c>
      <c r="F335" s="86">
        <v>47251.199999999997</v>
      </c>
      <c r="G335" s="87">
        <v>13.545313</v>
      </c>
    </row>
    <row r="336" spans="1:7" x14ac:dyDescent="0.25">
      <c r="A336" s="84" t="s">
        <v>416</v>
      </c>
      <c r="B336" s="84" t="s">
        <v>27</v>
      </c>
      <c r="C336" s="84" t="s">
        <v>392</v>
      </c>
      <c r="D336" s="85">
        <v>5</v>
      </c>
      <c r="E336" s="85">
        <v>5847</v>
      </c>
      <c r="F336" s="86">
        <v>731.4</v>
      </c>
      <c r="G336" s="87">
        <v>12.508979</v>
      </c>
    </row>
    <row r="337" spans="1:7" x14ac:dyDescent="0.25">
      <c r="A337" s="84" t="s">
        <v>641</v>
      </c>
      <c r="B337" s="84" t="s">
        <v>27</v>
      </c>
      <c r="C337" s="84" t="s">
        <v>281</v>
      </c>
      <c r="D337" s="85">
        <v>14993</v>
      </c>
      <c r="E337" s="85">
        <v>220178</v>
      </c>
      <c r="F337" s="86">
        <v>32795</v>
      </c>
      <c r="G337" s="87">
        <v>14.894767</v>
      </c>
    </row>
    <row r="338" spans="1:7" x14ac:dyDescent="0.25">
      <c r="A338" s="84" t="s">
        <v>2375</v>
      </c>
      <c r="B338" s="84" t="s">
        <v>27</v>
      </c>
      <c r="C338" s="84" t="s">
        <v>281</v>
      </c>
      <c r="D338" s="85">
        <v>22206</v>
      </c>
      <c r="E338" s="85">
        <v>378921</v>
      </c>
      <c r="F338" s="86">
        <v>45155.3</v>
      </c>
      <c r="G338" s="87">
        <v>11.916810999999999</v>
      </c>
    </row>
    <row r="339" spans="1:7" x14ac:dyDescent="0.25">
      <c r="A339" s="84" t="s">
        <v>643</v>
      </c>
      <c r="B339" s="84" t="s">
        <v>27</v>
      </c>
      <c r="C339" s="84" t="s">
        <v>281</v>
      </c>
      <c r="D339" s="85">
        <v>15181</v>
      </c>
      <c r="E339" s="85">
        <v>224131</v>
      </c>
      <c r="F339" s="86">
        <v>28049</v>
      </c>
      <c r="G339" s="87">
        <v>12.514556000000001</v>
      </c>
    </row>
    <row r="340" spans="1:7" x14ac:dyDescent="0.25">
      <c r="A340" s="84" t="s">
        <v>645</v>
      </c>
      <c r="B340" s="84" t="s">
        <v>27</v>
      </c>
      <c r="C340" s="84" t="s">
        <v>281</v>
      </c>
      <c r="D340" s="85">
        <v>132341</v>
      </c>
      <c r="E340" s="85">
        <v>2572342</v>
      </c>
      <c r="F340" s="86">
        <v>288543.5</v>
      </c>
      <c r="G340" s="87">
        <v>11.217152</v>
      </c>
    </row>
    <row r="341" spans="1:7" x14ac:dyDescent="0.25">
      <c r="A341" s="84" t="s">
        <v>646</v>
      </c>
      <c r="B341" s="84" t="s">
        <v>27</v>
      </c>
      <c r="C341" s="84" t="s">
        <v>281</v>
      </c>
      <c r="D341" s="85">
        <v>15744</v>
      </c>
      <c r="E341" s="85">
        <v>343198</v>
      </c>
      <c r="F341" s="86">
        <v>35648</v>
      </c>
      <c r="G341" s="87">
        <v>10.387007000000001</v>
      </c>
    </row>
    <row r="342" spans="1:7" x14ac:dyDescent="0.25">
      <c r="A342" s="84" t="s">
        <v>400</v>
      </c>
      <c r="B342" s="84" t="s">
        <v>29</v>
      </c>
      <c r="C342" s="84" t="s">
        <v>392</v>
      </c>
      <c r="D342" s="85">
        <v>22</v>
      </c>
      <c r="E342" s="85">
        <v>163</v>
      </c>
      <c r="F342" s="86">
        <v>45.7</v>
      </c>
      <c r="G342" s="87">
        <v>28.036809999999999</v>
      </c>
    </row>
    <row r="343" spans="1:7" x14ac:dyDescent="0.25">
      <c r="A343" s="84" t="s">
        <v>647</v>
      </c>
      <c r="B343" s="84" t="s">
        <v>29</v>
      </c>
      <c r="C343" s="84" t="s">
        <v>278</v>
      </c>
      <c r="D343" s="85">
        <v>87357</v>
      </c>
      <c r="E343" s="85">
        <v>978428</v>
      </c>
      <c r="F343" s="86">
        <v>329194.7</v>
      </c>
      <c r="G343" s="87">
        <v>33.645265999999999</v>
      </c>
    </row>
    <row r="344" spans="1:7" x14ac:dyDescent="0.25">
      <c r="A344" s="84" t="s">
        <v>648</v>
      </c>
      <c r="B344" s="84" t="s">
        <v>29</v>
      </c>
      <c r="C344" s="84" t="s">
        <v>278</v>
      </c>
      <c r="D344" s="85">
        <v>307378</v>
      </c>
      <c r="E344" s="85">
        <v>6183094</v>
      </c>
      <c r="F344" s="86">
        <v>1592463.2</v>
      </c>
      <c r="G344" s="87">
        <v>25.755119000000001</v>
      </c>
    </row>
    <row r="345" spans="1:7" x14ac:dyDescent="0.25">
      <c r="A345" s="84" t="s">
        <v>649</v>
      </c>
      <c r="B345" s="84" t="s">
        <v>29</v>
      </c>
      <c r="C345" s="84" t="s">
        <v>281</v>
      </c>
      <c r="D345" s="85">
        <v>34495</v>
      </c>
      <c r="E345" s="85">
        <v>415291</v>
      </c>
      <c r="F345" s="86">
        <v>135958.1</v>
      </c>
      <c r="G345" s="87">
        <v>32.738031999999997</v>
      </c>
    </row>
    <row r="346" spans="1:7" x14ac:dyDescent="0.25">
      <c r="A346" s="84" t="s">
        <v>401</v>
      </c>
      <c r="B346" s="84" t="s">
        <v>29</v>
      </c>
      <c r="C346" s="84" t="s">
        <v>392</v>
      </c>
      <c r="D346" s="85">
        <v>9</v>
      </c>
      <c r="E346" s="85">
        <v>2567</v>
      </c>
      <c r="F346" s="86">
        <v>520.79999999999995</v>
      </c>
      <c r="G346" s="87">
        <v>20.288274000000001</v>
      </c>
    </row>
    <row r="347" spans="1:7" x14ac:dyDescent="0.25">
      <c r="A347" s="84" t="s">
        <v>650</v>
      </c>
      <c r="B347" s="84" t="s">
        <v>29</v>
      </c>
      <c r="C347" s="84" t="s">
        <v>278</v>
      </c>
      <c r="D347" s="85">
        <v>73304</v>
      </c>
      <c r="E347" s="85">
        <v>958689</v>
      </c>
      <c r="F347" s="86">
        <v>317871.59999999998</v>
      </c>
      <c r="G347" s="87">
        <v>33.156905000000002</v>
      </c>
    </row>
    <row r="348" spans="1:7" x14ac:dyDescent="0.25">
      <c r="A348" s="84" t="s">
        <v>408</v>
      </c>
      <c r="B348" s="84" t="s">
        <v>29</v>
      </c>
      <c r="C348" s="84" t="s">
        <v>392</v>
      </c>
      <c r="D348" s="85">
        <v>5067</v>
      </c>
      <c r="E348" s="85">
        <v>64405</v>
      </c>
      <c r="F348" s="86">
        <v>8183</v>
      </c>
      <c r="G348" s="87">
        <v>12.705534999999999</v>
      </c>
    </row>
    <row r="349" spans="1:7" x14ac:dyDescent="0.25">
      <c r="A349" s="84" t="s">
        <v>409</v>
      </c>
      <c r="B349" s="84" t="s">
        <v>29</v>
      </c>
      <c r="C349" s="84" t="s">
        <v>392</v>
      </c>
      <c r="D349" s="85">
        <v>199</v>
      </c>
      <c r="E349" s="85">
        <v>2126</v>
      </c>
      <c r="F349" s="86">
        <v>422</v>
      </c>
      <c r="G349" s="87">
        <v>19.849482999999999</v>
      </c>
    </row>
    <row r="350" spans="1:7" x14ac:dyDescent="0.25">
      <c r="A350" s="84" t="s">
        <v>413</v>
      </c>
      <c r="B350" s="84" t="s">
        <v>29</v>
      </c>
      <c r="C350" s="84" t="s">
        <v>392</v>
      </c>
      <c r="D350" s="85">
        <v>1156</v>
      </c>
      <c r="E350" s="85">
        <v>11881</v>
      </c>
      <c r="F350" s="86">
        <v>2531.5</v>
      </c>
      <c r="G350" s="87">
        <v>21.307129</v>
      </c>
    </row>
    <row r="351" spans="1:7" x14ac:dyDescent="0.25">
      <c r="A351" s="84" t="s">
        <v>414</v>
      </c>
      <c r="B351" s="84" t="s">
        <v>29</v>
      </c>
      <c r="C351" s="84" t="s">
        <v>392</v>
      </c>
      <c r="D351" s="85">
        <v>658</v>
      </c>
      <c r="E351" s="85">
        <v>6596</v>
      </c>
      <c r="F351" s="86">
        <v>1552.5</v>
      </c>
      <c r="G351" s="87">
        <v>23.536992000000001</v>
      </c>
    </row>
    <row r="352" spans="1:7" x14ac:dyDescent="0.25">
      <c r="A352" s="84" t="s">
        <v>415</v>
      </c>
      <c r="B352" s="84" t="s">
        <v>29</v>
      </c>
      <c r="C352" s="84" t="s">
        <v>392</v>
      </c>
      <c r="D352" s="85">
        <v>7827</v>
      </c>
      <c r="E352" s="85">
        <v>66866</v>
      </c>
      <c r="F352" s="86">
        <v>16414.3</v>
      </c>
      <c r="G352" s="87">
        <v>24.548051000000001</v>
      </c>
    </row>
    <row r="353" spans="1:7" x14ac:dyDescent="0.25">
      <c r="A353" s="84" t="s">
        <v>416</v>
      </c>
      <c r="B353" s="84" t="s">
        <v>29</v>
      </c>
      <c r="C353" s="84" t="s">
        <v>392</v>
      </c>
      <c r="D353" s="85">
        <v>6</v>
      </c>
      <c r="E353" s="85">
        <v>2102</v>
      </c>
      <c r="F353" s="86">
        <v>500.1</v>
      </c>
      <c r="G353" s="87">
        <v>23.791626999999998</v>
      </c>
    </row>
    <row r="354" spans="1:7" x14ac:dyDescent="0.25">
      <c r="A354" s="84" t="s">
        <v>421</v>
      </c>
      <c r="B354" s="84" t="s">
        <v>29</v>
      </c>
      <c r="C354" s="84" t="s">
        <v>392</v>
      </c>
      <c r="D354" s="85">
        <v>4871</v>
      </c>
      <c r="E354" s="85">
        <v>31311</v>
      </c>
      <c r="F354" s="86">
        <v>7466.3</v>
      </c>
      <c r="G354" s="87">
        <v>23.845613</v>
      </c>
    </row>
    <row r="355" spans="1:7" x14ac:dyDescent="0.25">
      <c r="A355" s="84" t="s">
        <v>651</v>
      </c>
      <c r="B355" s="84" t="s">
        <v>40</v>
      </c>
      <c r="C355" s="84" t="s">
        <v>281</v>
      </c>
      <c r="D355" s="85">
        <v>8935</v>
      </c>
      <c r="E355" s="85">
        <v>420007</v>
      </c>
      <c r="F355" s="86">
        <v>36281.699999999997</v>
      </c>
      <c r="G355" s="87">
        <v>8.6383559999999999</v>
      </c>
    </row>
    <row r="356" spans="1:7" x14ac:dyDescent="0.25">
      <c r="A356" s="84" t="s">
        <v>653</v>
      </c>
      <c r="B356" s="84" t="s">
        <v>40</v>
      </c>
      <c r="C356" s="84" t="s">
        <v>278</v>
      </c>
      <c r="D356" s="85">
        <v>890</v>
      </c>
      <c r="E356" s="85">
        <v>85371</v>
      </c>
      <c r="F356" s="86">
        <v>7352</v>
      </c>
      <c r="G356" s="87">
        <v>8.6118237000000004</v>
      </c>
    </row>
    <row r="357" spans="1:7" x14ac:dyDescent="0.25">
      <c r="A357" s="84" t="s">
        <v>656</v>
      </c>
      <c r="B357" s="84" t="s">
        <v>40</v>
      </c>
      <c r="C357" s="84" t="s">
        <v>283</v>
      </c>
      <c r="D357" s="85">
        <v>11524</v>
      </c>
      <c r="E357" s="85">
        <v>840939</v>
      </c>
      <c r="F357" s="86">
        <v>58920.2</v>
      </c>
      <c r="G357" s="87">
        <v>7.0064773000000002</v>
      </c>
    </row>
    <row r="358" spans="1:7" x14ac:dyDescent="0.25">
      <c r="A358" s="84" t="s">
        <v>657</v>
      </c>
      <c r="B358" s="84" t="s">
        <v>40</v>
      </c>
      <c r="C358" s="84" t="s">
        <v>281</v>
      </c>
      <c r="D358" s="85">
        <v>5062</v>
      </c>
      <c r="E358" s="85">
        <v>220488</v>
      </c>
      <c r="F358" s="86">
        <v>23776</v>
      </c>
      <c r="G358" s="87">
        <v>10.783353</v>
      </c>
    </row>
    <row r="359" spans="1:7" x14ac:dyDescent="0.25">
      <c r="A359" s="84" t="s">
        <v>659</v>
      </c>
      <c r="B359" s="84" t="s">
        <v>40</v>
      </c>
      <c r="C359" s="84" t="s">
        <v>283</v>
      </c>
      <c r="D359" s="85">
        <v>19630</v>
      </c>
      <c r="E359" s="85">
        <v>466894</v>
      </c>
      <c r="F359" s="86">
        <v>36459.699999999997</v>
      </c>
      <c r="G359" s="87">
        <v>7.8089887999999998</v>
      </c>
    </row>
    <row r="360" spans="1:7" x14ac:dyDescent="0.25">
      <c r="A360" s="84" t="s">
        <v>662</v>
      </c>
      <c r="B360" s="84" t="s">
        <v>40</v>
      </c>
      <c r="C360" s="84" t="s">
        <v>283</v>
      </c>
      <c r="D360" s="85">
        <v>27399</v>
      </c>
      <c r="E360" s="85">
        <v>618595</v>
      </c>
      <c r="F360" s="86">
        <v>55830.8</v>
      </c>
      <c r="G360" s="87">
        <v>9.0254204999999992</v>
      </c>
    </row>
    <row r="361" spans="1:7" x14ac:dyDescent="0.25">
      <c r="A361" s="84" t="s">
        <v>670</v>
      </c>
      <c r="B361" s="84" t="s">
        <v>40</v>
      </c>
      <c r="C361" s="84" t="s">
        <v>283</v>
      </c>
      <c r="D361" s="85">
        <v>3149</v>
      </c>
      <c r="E361" s="85">
        <v>77204</v>
      </c>
      <c r="F361" s="86">
        <v>8267.9</v>
      </c>
      <c r="G361" s="87">
        <v>10.709160000000001</v>
      </c>
    </row>
    <row r="362" spans="1:7" x14ac:dyDescent="0.25">
      <c r="A362" s="84" t="s">
        <v>676</v>
      </c>
      <c r="B362" s="84" t="s">
        <v>40</v>
      </c>
      <c r="C362" s="84" t="s">
        <v>283</v>
      </c>
      <c r="D362" s="85">
        <v>3392</v>
      </c>
      <c r="E362" s="85">
        <v>67677</v>
      </c>
      <c r="F362" s="86">
        <v>7455.1</v>
      </c>
      <c r="G362" s="87">
        <v>11.015707000000001</v>
      </c>
    </row>
    <row r="363" spans="1:7" x14ac:dyDescent="0.25">
      <c r="A363" s="84" t="s">
        <v>685</v>
      </c>
      <c r="B363" s="84" t="s">
        <v>40</v>
      </c>
      <c r="C363" s="84" t="s">
        <v>283</v>
      </c>
      <c r="D363" s="85">
        <v>591</v>
      </c>
      <c r="E363" s="85">
        <v>7110</v>
      </c>
      <c r="F363" s="86">
        <v>999.6</v>
      </c>
      <c r="G363" s="87">
        <v>14.059072</v>
      </c>
    </row>
    <row r="364" spans="1:7" x14ac:dyDescent="0.25">
      <c r="A364" s="84" t="s">
        <v>700</v>
      </c>
      <c r="B364" s="84" t="s">
        <v>40</v>
      </c>
      <c r="C364" s="84" t="s">
        <v>281</v>
      </c>
      <c r="D364" s="85">
        <v>6907</v>
      </c>
      <c r="E364" s="85">
        <v>179283</v>
      </c>
      <c r="F364" s="86">
        <v>19283.900000000001</v>
      </c>
      <c r="G364" s="87">
        <v>10.756123000000001</v>
      </c>
    </row>
    <row r="365" spans="1:7" x14ac:dyDescent="0.25">
      <c r="A365" s="84" t="s">
        <v>701</v>
      </c>
      <c r="B365" s="84" t="s">
        <v>40</v>
      </c>
      <c r="C365" s="84" t="s">
        <v>281</v>
      </c>
      <c r="D365" s="85">
        <v>8987</v>
      </c>
      <c r="E365" s="85">
        <v>205477</v>
      </c>
      <c r="F365" s="86">
        <v>21385</v>
      </c>
      <c r="G365" s="87">
        <v>10.407491</v>
      </c>
    </row>
    <row r="366" spans="1:7" x14ac:dyDescent="0.25">
      <c r="A366" s="84" t="s">
        <v>702</v>
      </c>
      <c r="B366" s="84" t="s">
        <v>40</v>
      </c>
      <c r="C366" s="84" t="s">
        <v>281</v>
      </c>
      <c r="D366" s="85">
        <v>23781</v>
      </c>
      <c r="E366" s="85">
        <v>545184</v>
      </c>
      <c r="F366" s="86">
        <v>57415.4</v>
      </c>
      <c r="G366" s="87">
        <v>10.53138</v>
      </c>
    </row>
    <row r="367" spans="1:7" x14ac:dyDescent="0.25">
      <c r="A367" s="84" t="s">
        <v>706</v>
      </c>
      <c r="B367" s="84" t="s">
        <v>40</v>
      </c>
      <c r="C367" s="84" t="s">
        <v>281</v>
      </c>
      <c r="D367" s="85">
        <v>61</v>
      </c>
      <c r="E367" s="85">
        <v>1138</v>
      </c>
      <c r="F367" s="86">
        <v>118</v>
      </c>
      <c r="G367" s="87">
        <v>10.369069</v>
      </c>
    </row>
    <row r="368" spans="1:7" x14ac:dyDescent="0.25">
      <c r="A368" s="84" t="s">
        <v>2376</v>
      </c>
      <c r="B368" s="84" t="s">
        <v>40</v>
      </c>
      <c r="C368" s="84" t="s">
        <v>281</v>
      </c>
      <c r="D368" s="85">
        <v>6</v>
      </c>
      <c r="E368" s="85">
        <v>75</v>
      </c>
      <c r="F368" s="86">
        <v>10.9</v>
      </c>
      <c r="G368" s="87">
        <v>14.533333000000001</v>
      </c>
    </row>
    <row r="369" spans="1:7" x14ac:dyDescent="0.25">
      <c r="A369" s="84" t="s">
        <v>715</v>
      </c>
      <c r="B369" s="84" t="s">
        <v>40</v>
      </c>
      <c r="C369" s="84" t="s">
        <v>281</v>
      </c>
      <c r="D369" s="85">
        <v>5253</v>
      </c>
      <c r="E369" s="85">
        <v>294621</v>
      </c>
      <c r="F369" s="86">
        <v>26828.7</v>
      </c>
      <c r="G369" s="87">
        <v>9.1061736999999994</v>
      </c>
    </row>
    <row r="370" spans="1:7" x14ac:dyDescent="0.25">
      <c r="A370" s="84" t="s">
        <v>717</v>
      </c>
      <c r="B370" s="84" t="s">
        <v>40</v>
      </c>
      <c r="C370" s="84" t="s">
        <v>278</v>
      </c>
      <c r="D370" s="85">
        <v>494552</v>
      </c>
      <c r="E370" s="85">
        <v>13864405</v>
      </c>
      <c r="F370" s="86">
        <v>1576372</v>
      </c>
      <c r="G370" s="87">
        <v>11.369922000000001</v>
      </c>
    </row>
    <row r="371" spans="1:7" x14ac:dyDescent="0.25">
      <c r="A371" s="84" t="s">
        <v>718</v>
      </c>
      <c r="B371" s="84" t="s">
        <v>40</v>
      </c>
      <c r="C371" s="84" t="s">
        <v>281</v>
      </c>
      <c r="D371" s="85">
        <v>12902</v>
      </c>
      <c r="E371" s="85">
        <v>535596</v>
      </c>
      <c r="F371" s="86">
        <v>53997.3</v>
      </c>
      <c r="G371" s="87">
        <v>10.081721999999999</v>
      </c>
    </row>
    <row r="372" spans="1:7" x14ac:dyDescent="0.25">
      <c r="A372" s="84" t="s">
        <v>719</v>
      </c>
      <c r="B372" s="84" t="s">
        <v>40</v>
      </c>
      <c r="C372" s="84" t="s">
        <v>281</v>
      </c>
      <c r="D372" s="85">
        <v>31029</v>
      </c>
      <c r="E372" s="85">
        <v>499393</v>
      </c>
      <c r="F372" s="86">
        <v>53549</v>
      </c>
      <c r="G372" s="87">
        <v>10.722818</v>
      </c>
    </row>
    <row r="373" spans="1:7" x14ac:dyDescent="0.25">
      <c r="A373" s="84" t="s">
        <v>721</v>
      </c>
      <c r="B373" s="84" t="s">
        <v>40</v>
      </c>
      <c r="C373" s="84" t="s">
        <v>281</v>
      </c>
      <c r="D373" s="85">
        <v>16487</v>
      </c>
      <c r="E373" s="85">
        <v>289962</v>
      </c>
      <c r="F373" s="86">
        <v>32354.400000000001</v>
      </c>
      <c r="G373" s="87">
        <v>11.158151999999999</v>
      </c>
    </row>
    <row r="374" spans="1:7" x14ac:dyDescent="0.25">
      <c r="A374" s="84" t="s">
        <v>722</v>
      </c>
      <c r="B374" s="84" t="s">
        <v>40</v>
      </c>
      <c r="C374" s="84" t="s">
        <v>281</v>
      </c>
      <c r="D374" s="85">
        <v>7078</v>
      </c>
      <c r="E374" s="85">
        <v>214474</v>
      </c>
      <c r="F374" s="86">
        <v>25589.4</v>
      </c>
      <c r="G374" s="87">
        <v>11.931236</v>
      </c>
    </row>
    <row r="375" spans="1:7" x14ac:dyDescent="0.25">
      <c r="A375" s="84" t="s">
        <v>723</v>
      </c>
      <c r="B375" s="84" t="s">
        <v>40</v>
      </c>
      <c r="C375" s="84" t="s">
        <v>278</v>
      </c>
      <c r="D375" s="85">
        <v>704560</v>
      </c>
      <c r="E375" s="85">
        <v>24424675</v>
      </c>
      <c r="F375" s="86">
        <v>1757305</v>
      </c>
      <c r="G375" s="87">
        <v>7.1947938000000002</v>
      </c>
    </row>
    <row r="376" spans="1:7" x14ac:dyDescent="0.25">
      <c r="A376" s="84" t="s">
        <v>724</v>
      </c>
      <c r="B376" s="84" t="s">
        <v>40</v>
      </c>
      <c r="C376" s="84" t="s">
        <v>281</v>
      </c>
      <c r="D376" s="85">
        <v>11996</v>
      </c>
      <c r="E376" s="85">
        <v>460756</v>
      </c>
      <c r="F376" s="86">
        <v>45788</v>
      </c>
      <c r="G376" s="87">
        <v>9.9375807999999992</v>
      </c>
    </row>
    <row r="377" spans="1:7" x14ac:dyDescent="0.25">
      <c r="A377" s="84" t="s">
        <v>727</v>
      </c>
      <c r="B377" s="84" t="s">
        <v>40</v>
      </c>
      <c r="C377" s="84" t="s">
        <v>281</v>
      </c>
      <c r="D377" s="85">
        <v>10155</v>
      </c>
      <c r="E377" s="85">
        <v>655341</v>
      </c>
      <c r="F377" s="86">
        <v>52036.3</v>
      </c>
      <c r="G377" s="87">
        <v>7.9403395000000003</v>
      </c>
    </row>
    <row r="378" spans="1:7" x14ac:dyDescent="0.25">
      <c r="A378" s="84" t="s">
        <v>731</v>
      </c>
      <c r="B378" s="84" t="s">
        <v>40</v>
      </c>
      <c r="C378" s="84" t="s">
        <v>281</v>
      </c>
      <c r="D378" s="85">
        <v>4311</v>
      </c>
      <c r="E378" s="85">
        <v>340336</v>
      </c>
      <c r="F378" s="86">
        <v>31415.9</v>
      </c>
      <c r="G378" s="87">
        <v>9.2308482999999999</v>
      </c>
    </row>
    <row r="379" spans="1:7" x14ac:dyDescent="0.25">
      <c r="A379" s="84" t="s">
        <v>742</v>
      </c>
      <c r="B379" s="84" t="s">
        <v>32</v>
      </c>
      <c r="C379" s="84" t="s">
        <v>278</v>
      </c>
      <c r="D379" s="85">
        <v>137010</v>
      </c>
      <c r="E379" s="85">
        <v>3412403</v>
      </c>
      <c r="F379" s="86">
        <v>267855</v>
      </c>
      <c r="G379" s="87">
        <v>7.8494539000000003</v>
      </c>
    </row>
    <row r="380" spans="1:7" x14ac:dyDescent="0.25">
      <c r="A380" s="84" t="s">
        <v>744</v>
      </c>
      <c r="B380" s="84" t="s">
        <v>32</v>
      </c>
      <c r="C380" s="84" t="s">
        <v>283</v>
      </c>
      <c r="D380" s="85">
        <v>29174</v>
      </c>
      <c r="E380" s="85">
        <v>705735</v>
      </c>
      <c r="F380" s="86">
        <v>49895.7</v>
      </c>
      <c r="G380" s="87">
        <v>7.0700333999999998</v>
      </c>
    </row>
    <row r="381" spans="1:7" x14ac:dyDescent="0.25">
      <c r="A381" s="84" t="s">
        <v>747</v>
      </c>
      <c r="B381" s="84" t="s">
        <v>32</v>
      </c>
      <c r="C381" s="84" t="s">
        <v>281</v>
      </c>
      <c r="D381" s="85">
        <v>15581</v>
      </c>
      <c r="E381" s="85">
        <v>276152</v>
      </c>
      <c r="F381" s="86">
        <v>26055</v>
      </c>
      <c r="G381" s="87">
        <v>9.4350213000000007</v>
      </c>
    </row>
    <row r="382" spans="1:7" x14ac:dyDescent="0.25">
      <c r="A382" s="84" t="s">
        <v>748</v>
      </c>
      <c r="B382" s="84" t="s">
        <v>32</v>
      </c>
      <c r="C382" s="84" t="s">
        <v>278</v>
      </c>
      <c r="D382" s="85">
        <v>560394</v>
      </c>
      <c r="E382" s="85">
        <v>14160175</v>
      </c>
      <c r="F382" s="86">
        <v>1128710.5</v>
      </c>
      <c r="G382" s="87">
        <v>7.9710207999999998</v>
      </c>
    </row>
    <row r="383" spans="1:7" x14ac:dyDescent="0.25">
      <c r="A383" s="84" t="s">
        <v>749</v>
      </c>
      <c r="B383" s="84" t="s">
        <v>32</v>
      </c>
      <c r="C383" s="84" t="s">
        <v>281</v>
      </c>
      <c r="D383" s="85">
        <v>2001</v>
      </c>
      <c r="E383" s="85">
        <v>34714</v>
      </c>
      <c r="F383" s="86">
        <v>2955.5</v>
      </c>
      <c r="G383" s="87">
        <v>8.5138560999999999</v>
      </c>
    </row>
    <row r="384" spans="1:7" x14ac:dyDescent="0.25">
      <c r="A384" s="84" t="s">
        <v>2377</v>
      </c>
      <c r="B384" s="84" t="s">
        <v>32</v>
      </c>
      <c r="C384" s="84" t="s">
        <v>281</v>
      </c>
      <c r="D384" s="85">
        <v>28034</v>
      </c>
      <c r="E384" s="85">
        <v>495044</v>
      </c>
      <c r="F384" s="86">
        <v>47536</v>
      </c>
      <c r="G384" s="87">
        <v>9.6023788000000003</v>
      </c>
    </row>
    <row r="385" spans="1:7" x14ac:dyDescent="0.25">
      <c r="A385" s="84" t="s">
        <v>751</v>
      </c>
      <c r="B385" s="84" t="s">
        <v>32</v>
      </c>
      <c r="C385" s="84" t="s">
        <v>281</v>
      </c>
      <c r="D385" s="85">
        <v>1805</v>
      </c>
      <c r="E385" s="85">
        <v>71672</v>
      </c>
      <c r="F385" s="86">
        <v>4065</v>
      </c>
      <c r="G385" s="87">
        <v>5.6716708999999996</v>
      </c>
    </row>
    <row r="386" spans="1:7" x14ac:dyDescent="0.25">
      <c r="A386" s="84" t="s">
        <v>752</v>
      </c>
      <c r="B386" s="84" t="s">
        <v>32</v>
      </c>
      <c r="C386" s="84" t="s">
        <v>281</v>
      </c>
      <c r="D386" s="85">
        <v>60</v>
      </c>
      <c r="E386" s="85">
        <v>1332</v>
      </c>
      <c r="F386" s="86">
        <v>128.4</v>
      </c>
      <c r="G386" s="87">
        <v>9.6396396000000006</v>
      </c>
    </row>
    <row r="387" spans="1:7" x14ac:dyDescent="0.25">
      <c r="A387" s="84" t="s">
        <v>753</v>
      </c>
      <c r="B387" s="84" t="s">
        <v>32</v>
      </c>
      <c r="C387" s="84" t="s">
        <v>281</v>
      </c>
      <c r="D387" s="85">
        <v>17323</v>
      </c>
      <c r="E387" s="85">
        <v>269904</v>
      </c>
      <c r="F387" s="86">
        <v>29253</v>
      </c>
      <c r="G387" s="87">
        <v>10.838298</v>
      </c>
    </row>
    <row r="388" spans="1:7" x14ac:dyDescent="0.25">
      <c r="A388" s="84" t="s">
        <v>457</v>
      </c>
      <c r="B388" s="84" t="s">
        <v>32</v>
      </c>
      <c r="C388" s="84" t="s">
        <v>278</v>
      </c>
      <c r="D388" s="85">
        <v>83421</v>
      </c>
      <c r="E388" s="85">
        <v>3534206</v>
      </c>
      <c r="F388" s="86">
        <v>287075.3</v>
      </c>
      <c r="G388" s="87">
        <v>8.1227664999999991</v>
      </c>
    </row>
    <row r="389" spans="1:7" x14ac:dyDescent="0.25">
      <c r="A389" s="84" t="s">
        <v>2378</v>
      </c>
      <c r="B389" s="84" t="s">
        <v>32</v>
      </c>
      <c r="C389" s="84" t="s">
        <v>281</v>
      </c>
      <c r="D389" s="85">
        <v>2650</v>
      </c>
      <c r="E389" s="85">
        <v>234357</v>
      </c>
      <c r="F389" s="86">
        <v>13284</v>
      </c>
      <c r="G389" s="87">
        <v>5.6682753000000003</v>
      </c>
    </row>
    <row r="390" spans="1:7" x14ac:dyDescent="0.25">
      <c r="A390" s="84" t="s">
        <v>755</v>
      </c>
      <c r="B390" s="84" t="s">
        <v>32</v>
      </c>
      <c r="C390" s="84" t="s">
        <v>281</v>
      </c>
      <c r="D390" s="85">
        <v>2841</v>
      </c>
      <c r="E390" s="85">
        <v>97418</v>
      </c>
      <c r="F390" s="86">
        <v>7066</v>
      </c>
      <c r="G390" s="87">
        <v>7.2532797000000002</v>
      </c>
    </row>
    <row r="391" spans="1:7" x14ac:dyDescent="0.25">
      <c r="A391" s="84" t="s">
        <v>756</v>
      </c>
      <c r="B391" s="84" t="s">
        <v>32</v>
      </c>
      <c r="C391" s="84" t="s">
        <v>281</v>
      </c>
      <c r="D391" s="85">
        <v>7059</v>
      </c>
      <c r="E391" s="85">
        <v>294682</v>
      </c>
      <c r="F391" s="86">
        <v>17697</v>
      </c>
      <c r="G391" s="87">
        <v>6.0054566999999999</v>
      </c>
    </row>
    <row r="392" spans="1:7" x14ac:dyDescent="0.25">
      <c r="A392" s="84" t="s">
        <v>759</v>
      </c>
      <c r="B392" s="84" t="s">
        <v>35</v>
      </c>
      <c r="C392" s="84" t="s">
        <v>278</v>
      </c>
      <c r="D392" s="85">
        <v>525887</v>
      </c>
      <c r="E392" s="85">
        <v>7824543</v>
      </c>
      <c r="F392" s="86">
        <v>720542.4</v>
      </c>
      <c r="G392" s="87">
        <v>9.2087474</v>
      </c>
    </row>
    <row r="393" spans="1:7" x14ac:dyDescent="0.25">
      <c r="A393" s="84" t="s">
        <v>760</v>
      </c>
      <c r="B393" s="84" t="s">
        <v>35</v>
      </c>
      <c r="C393" s="84" t="s">
        <v>283</v>
      </c>
      <c r="D393" s="85">
        <v>11111</v>
      </c>
      <c r="E393" s="85">
        <v>406824</v>
      </c>
      <c r="F393" s="86">
        <v>45052</v>
      </c>
      <c r="G393" s="87">
        <v>11.074076</v>
      </c>
    </row>
    <row r="394" spans="1:7" x14ac:dyDescent="0.25">
      <c r="A394" s="84" t="s">
        <v>762</v>
      </c>
      <c r="B394" s="84" t="s">
        <v>35</v>
      </c>
      <c r="C394" s="84" t="s">
        <v>283</v>
      </c>
      <c r="D394" s="85">
        <v>10329</v>
      </c>
      <c r="E394" s="85">
        <v>361622</v>
      </c>
      <c r="F394" s="86">
        <v>34756</v>
      </c>
      <c r="G394" s="87">
        <v>9.6111409000000005</v>
      </c>
    </row>
    <row r="395" spans="1:7" x14ac:dyDescent="0.25">
      <c r="A395" s="84" t="s">
        <v>764</v>
      </c>
      <c r="B395" s="84" t="s">
        <v>35</v>
      </c>
      <c r="C395" s="84" t="s">
        <v>283</v>
      </c>
      <c r="D395" s="85">
        <v>60958</v>
      </c>
      <c r="E395" s="85">
        <v>1257854</v>
      </c>
      <c r="F395" s="86">
        <v>152508.29999999999</v>
      </c>
      <c r="G395" s="87">
        <v>12.124483</v>
      </c>
    </row>
    <row r="396" spans="1:7" x14ac:dyDescent="0.25">
      <c r="A396" s="84" t="s">
        <v>765</v>
      </c>
      <c r="B396" s="84" t="s">
        <v>35</v>
      </c>
      <c r="C396" s="84" t="s">
        <v>283</v>
      </c>
      <c r="D396" s="85">
        <v>5892</v>
      </c>
      <c r="E396" s="85">
        <v>233630</v>
      </c>
      <c r="F396" s="86">
        <v>25749</v>
      </c>
      <c r="G396" s="87">
        <v>11.021273000000001</v>
      </c>
    </row>
    <row r="397" spans="1:7" x14ac:dyDescent="0.25">
      <c r="A397" s="84" t="s">
        <v>767</v>
      </c>
      <c r="B397" s="84" t="s">
        <v>35</v>
      </c>
      <c r="C397" s="84" t="s">
        <v>283</v>
      </c>
      <c r="D397" s="85">
        <v>71448</v>
      </c>
      <c r="E397" s="85">
        <v>1594158</v>
      </c>
      <c r="F397" s="86">
        <v>201454.9</v>
      </c>
      <c r="G397" s="87">
        <v>12.637072</v>
      </c>
    </row>
    <row r="398" spans="1:7" x14ac:dyDescent="0.25">
      <c r="A398" s="84" t="s">
        <v>768</v>
      </c>
      <c r="B398" s="84" t="s">
        <v>35</v>
      </c>
      <c r="C398" s="84" t="s">
        <v>283</v>
      </c>
      <c r="D398" s="85">
        <v>16048</v>
      </c>
      <c r="E398" s="85">
        <v>484546</v>
      </c>
      <c r="F398" s="86">
        <v>58858.3</v>
      </c>
      <c r="G398" s="87">
        <v>12.147103</v>
      </c>
    </row>
    <row r="399" spans="1:7" x14ac:dyDescent="0.25">
      <c r="A399" s="84" t="s">
        <v>770</v>
      </c>
      <c r="B399" s="84" t="s">
        <v>35</v>
      </c>
      <c r="C399" s="84" t="s">
        <v>281</v>
      </c>
      <c r="D399" s="85">
        <v>9570</v>
      </c>
      <c r="E399" s="85">
        <v>199663</v>
      </c>
      <c r="F399" s="86">
        <v>26709</v>
      </c>
      <c r="G399" s="87">
        <v>13.377039999999999</v>
      </c>
    </row>
    <row r="400" spans="1:7" x14ac:dyDescent="0.25">
      <c r="A400" s="84" t="s">
        <v>771</v>
      </c>
      <c r="B400" s="84" t="s">
        <v>35</v>
      </c>
      <c r="C400" s="84" t="s">
        <v>278</v>
      </c>
      <c r="D400" s="85">
        <v>2852357</v>
      </c>
      <c r="E400" s="85">
        <v>27950626</v>
      </c>
      <c r="F400" s="86">
        <v>3388892.2</v>
      </c>
      <c r="G400" s="87">
        <v>12.124566</v>
      </c>
    </row>
    <row r="401" spans="1:7" x14ac:dyDescent="0.25">
      <c r="A401" s="84" t="s">
        <v>772</v>
      </c>
      <c r="B401" s="84" t="s">
        <v>35</v>
      </c>
      <c r="C401" s="84" t="s">
        <v>281</v>
      </c>
      <c r="D401" s="85">
        <v>36395</v>
      </c>
      <c r="E401" s="85">
        <v>629129</v>
      </c>
      <c r="F401" s="86">
        <v>77335.899999999994</v>
      </c>
      <c r="G401" s="87">
        <v>12.292535000000001</v>
      </c>
    </row>
    <row r="402" spans="1:7" x14ac:dyDescent="0.25">
      <c r="A402" s="84" t="s">
        <v>773</v>
      </c>
      <c r="B402" s="84" t="s">
        <v>35</v>
      </c>
      <c r="C402" s="84" t="s">
        <v>281</v>
      </c>
      <c r="D402" s="85">
        <v>13520</v>
      </c>
      <c r="E402" s="85">
        <v>240148</v>
      </c>
      <c r="F402" s="86">
        <v>33192</v>
      </c>
      <c r="G402" s="87">
        <v>13.821477</v>
      </c>
    </row>
    <row r="403" spans="1:7" x14ac:dyDescent="0.25">
      <c r="A403" s="84" t="s">
        <v>774</v>
      </c>
      <c r="B403" s="84" t="s">
        <v>35</v>
      </c>
      <c r="C403" s="84" t="s">
        <v>281</v>
      </c>
      <c r="D403" s="85">
        <v>15387</v>
      </c>
      <c r="E403" s="85">
        <v>311730</v>
      </c>
      <c r="F403" s="86">
        <v>40113.800000000003</v>
      </c>
      <c r="G403" s="87">
        <v>12.868123000000001</v>
      </c>
    </row>
    <row r="404" spans="1:7" x14ac:dyDescent="0.25">
      <c r="A404" s="84" t="s">
        <v>776</v>
      </c>
      <c r="B404" s="84" t="s">
        <v>35</v>
      </c>
      <c r="C404" s="84" t="s">
        <v>281</v>
      </c>
      <c r="D404" s="85">
        <v>20528</v>
      </c>
      <c r="E404" s="85">
        <v>335951</v>
      </c>
      <c r="F404" s="86">
        <v>46718.400000000001</v>
      </c>
      <c r="G404" s="87">
        <v>13.906314</v>
      </c>
    </row>
    <row r="405" spans="1:7" x14ac:dyDescent="0.25">
      <c r="A405" s="84" t="s">
        <v>778</v>
      </c>
      <c r="B405" s="84" t="s">
        <v>35</v>
      </c>
      <c r="C405" s="84" t="s">
        <v>281</v>
      </c>
      <c r="D405" s="85">
        <v>10940</v>
      </c>
      <c r="E405" s="85">
        <v>199542</v>
      </c>
      <c r="F405" s="86">
        <v>28628.1</v>
      </c>
      <c r="G405" s="87">
        <v>14.346904</v>
      </c>
    </row>
    <row r="406" spans="1:7" x14ac:dyDescent="0.25">
      <c r="A406" s="84" t="s">
        <v>723</v>
      </c>
      <c r="B406" s="84" t="s">
        <v>35</v>
      </c>
      <c r="C406" s="84" t="s">
        <v>278</v>
      </c>
      <c r="D406" s="85">
        <v>85367</v>
      </c>
      <c r="E406" s="85">
        <v>1847508</v>
      </c>
      <c r="F406" s="86">
        <v>132919.70000000001</v>
      </c>
      <c r="G406" s="87">
        <v>7.1945398999999997</v>
      </c>
    </row>
    <row r="407" spans="1:7" x14ac:dyDescent="0.25">
      <c r="A407" s="84" t="s">
        <v>780</v>
      </c>
      <c r="B407" s="84" t="s">
        <v>35</v>
      </c>
      <c r="C407" s="84" t="s">
        <v>278</v>
      </c>
      <c r="D407" s="85">
        <v>5263</v>
      </c>
      <c r="E407" s="85">
        <v>86220</v>
      </c>
      <c r="F407" s="86">
        <v>12344</v>
      </c>
      <c r="G407" s="87">
        <v>14.316864000000001</v>
      </c>
    </row>
    <row r="408" spans="1:7" x14ac:dyDescent="0.25">
      <c r="A408" s="84" t="s">
        <v>781</v>
      </c>
      <c r="B408" s="84" t="s">
        <v>35</v>
      </c>
      <c r="C408" s="84" t="s">
        <v>281</v>
      </c>
      <c r="D408" s="85">
        <v>20056</v>
      </c>
      <c r="E408" s="85">
        <v>350904</v>
      </c>
      <c r="F408" s="86">
        <v>39577</v>
      </c>
      <c r="G408" s="87">
        <v>11.278582999999999</v>
      </c>
    </row>
    <row r="409" spans="1:7" x14ac:dyDescent="0.25">
      <c r="A409" s="84" t="s">
        <v>782</v>
      </c>
      <c r="B409" s="84" t="s">
        <v>35</v>
      </c>
      <c r="C409" s="84" t="s">
        <v>283</v>
      </c>
      <c r="D409" s="85">
        <v>6899</v>
      </c>
      <c r="E409" s="85">
        <v>378366</v>
      </c>
      <c r="F409" s="86">
        <v>34624</v>
      </c>
      <c r="G409" s="87">
        <v>9.1509278999999992</v>
      </c>
    </row>
    <row r="410" spans="1:7" x14ac:dyDescent="0.25">
      <c r="A410" s="84" t="s">
        <v>783</v>
      </c>
      <c r="B410" s="84" t="s">
        <v>35</v>
      </c>
      <c r="C410" s="84" t="s">
        <v>281</v>
      </c>
      <c r="D410" s="85">
        <v>10312</v>
      </c>
      <c r="E410" s="85">
        <v>219767</v>
      </c>
      <c r="F410" s="86">
        <v>24451</v>
      </c>
      <c r="G410" s="87">
        <v>11.125874</v>
      </c>
    </row>
    <row r="411" spans="1:7" x14ac:dyDescent="0.25">
      <c r="A411" s="84" t="s">
        <v>785</v>
      </c>
      <c r="B411" s="84" t="s">
        <v>35</v>
      </c>
      <c r="C411" s="84" t="s">
        <v>281</v>
      </c>
      <c r="D411" s="85">
        <v>12</v>
      </c>
      <c r="E411" s="85">
        <v>218</v>
      </c>
      <c r="F411" s="86">
        <v>26.6</v>
      </c>
      <c r="G411" s="87">
        <v>12.201835000000001</v>
      </c>
    </row>
    <row r="412" spans="1:7" x14ac:dyDescent="0.25">
      <c r="A412" s="84" t="s">
        <v>786</v>
      </c>
      <c r="B412" s="84" t="s">
        <v>35</v>
      </c>
      <c r="C412" s="84" t="s">
        <v>281</v>
      </c>
      <c r="D412" s="85">
        <v>9892</v>
      </c>
      <c r="E412" s="85">
        <v>241955</v>
      </c>
      <c r="F412" s="86">
        <v>33247.300000000003</v>
      </c>
      <c r="G412" s="87">
        <v>13.741109</v>
      </c>
    </row>
    <row r="413" spans="1:7" x14ac:dyDescent="0.25">
      <c r="A413" s="84" t="s">
        <v>408</v>
      </c>
      <c r="B413" s="84" t="s">
        <v>35</v>
      </c>
      <c r="C413" s="84" t="s">
        <v>392</v>
      </c>
      <c r="D413" s="85">
        <v>3</v>
      </c>
      <c r="E413" s="85">
        <v>23</v>
      </c>
      <c r="F413" s="86">
        <v>1.9</v>
      </c>
      <c r="G413" s="87">
        <v>8.2608695999999995</v>
      </c>
    </row>
    <row r="414" spans="1:7" x14ac:dyDescent="0.25">
      <c r="A414" s="84" t="s">
        <v>787</v>
      </c>
      <c r="B414" s="84" t="s">
        <v>35</v>
      </c>
      <c r="C414" s="84" t="s">
        <v>281</v>
      </c>
      <c r="D414" s="85">
        <v>24559</v>
      </c>
      <c r="E414" s="85">
        <v>739951</v>
      </c>
      <c r="F414" s="86">
        <v>89863</v>
      </c>
      <c r="G414" s="87">
        <v>12.144453</v>
      </c>
    </row>
    <row r="415" spans="1:7" x14ac:dyDescent="0.25">
      <c r="A415" s="84" t="s">
        <v>789</v>
      </c>
      <c r="B415" s="84" t="s">
        <v>35</v>
      </c>
      <c r="C415" s="84" t="s">
        <v>281</v>
      </c>
      <c r="D415" s="85">
        <v>23618</v>
      </c>
      <c r="E415" s="85">
        <v>430071</v>
      </c>
      <c r="F415" s="86">
        <v>58130.9</v>
      </c>
      <c r="G415" s="87">
        <v>13.516582</v>
      </c>
    </row>
    <row r="416" spans="1:7" x14ac:dyDescent="0.25">
      <c r="A416" s="84" t="s">
        <v>414</v>
      </c>
      <c r="B416" s="84" t="s">
        <v>35</v>
      </c>
      <c r="C416" s="84" t="s">
        <v>392</v>
      </c>
      <c r="D416" s="85">
        <v>83</v>
      </c>
      <c r="E416" s="85">
        <v>587</v>
      </c>
      <c r="F416" s="86">
        <v>93.8</v>
      </c>
      <c r="G416" s="87">
        <v>15.979557</v>
      </c>
    </row>
    <row r="417" spans="1:7" x14ac:dyDescent="0.25">
      <c r="A417" s="84" t="s">
        <v>415</v>
      </c>
      <c r="B417" s="84" t="s">
        <v>35</v>
      </c>
      <c r="C417" s="84" t="s">
        <v>392</v>
      </c>
      <c r="D417" s="85">
        <v>5338</v>
      </c>
      <c r="E417" s="85">
        <v>37556</v>
      </c>
      <c r="F417" s="86">
        <v>4928.6000000000004</v>
      </c>
      <c r="G417" s="87">
        <v>13.123336</v>
      </c>
    </row>
    <row r="418" spans="1:7" x14ac:dyDescent="0.25">
      <c r="A418" s="84" t="s">
        <v>2379</v>
      </c>
      <c r="B418" s="84" t="s">
        <v>35</v>
      </c>
      <c r="C418" s="84" t="s">
        <v>281</v>
      </c>
      <c r="D418" s="85">
        <v>16374</v>
      </c>
      <c r="E418" s="85">
        <v>374910</v>
      </c>
      <c r="F418" s="86">
        <v>46569.5</v>
      </c>
      <c r="G418" s="87">
        <v>12.421514</v>
      </c>
    </row>
    <row r="419" spans="1:7" x14ac:dyDescent="0.25">
      <c r="A419" s="84" t="s">
        <v>421</v>
      </c>
      <c r="B419" s="84" t="s">
        <v>35</v>
      </c>
      <c r="C419" s="84" t="s">
        <v>392</v>
      </c>
      <c r="D419" s="85">
        <v>1649</v>
      </c>
      <c r="E419" s="85">
        <v>12118</v>
      </c>
      <c r="F419" s="86">
        <v>1101.3</v>
      </c>
      <c r="G419" s="87">
        <v>9.0881334000000003</v>
      </c>
    </row>
    <row r="420" spans="1:7" x14ac:dyDescent="0.25">
      <c r="A420" s="84" t="s">
        <v>792</v>
      </c>
      <c r="B420" s="84" t="s">
        <v>35</v>
      </c>
      <c r="C420" s="84" t="s">
        <v>281</v>
      </c>
      <c r="D420" s="85">
        <v>13627</v>
      </c>
      <c r="E420" s="85">
        <v>333735</v>
      </c>
      <c r="F420" s="86">
        <v>39327</v>
      </c>
      <c r="G420" s="87">
        <v>11.783899999999999</v>
      </c>
    </row>
    <row r="421" spans="1:7" x14ac:dyDescent="0.25">
      <c r="A421" s="84" t="s">
        <v>793</v>
      </c>
      <c r="B421" s="84" t="s">
        <v>37</v>
      </c>
      <c r="C421" s="84" t="s">
        <v>278</v>
      </c>
      <c r="D421" s="85">
        <v>1</v>
      </c>
      <c r="E421" s="85">
        <v>3204302</v>
      </c>
      <c r="F421" s="86">
        <v>144014.1</v>
      </c>
      <c r="G421" s="87">
        <v>4.4943985</v>
      </c>
    </row>
    <row r="422" spans="1:7" x14ac:dyDescent="0.25">
      <c r="A422" s="84" t="s">
        <v>794</v>
      </c>
      <c r="B422" s="84" t="s">
        <v>37</v>
      </c>
      <c r="C422" s="84" t="s">
        <v>281</v>
      </c>
      <c r="D422" s="85">
        <v>11753</v>
      </c>
      <c r="E422" s="85">
        <v>388400</v>
      </c>
      <c r="F422" s="86">
        <v>43821.3</v>
      </c>
      <c r="G422" s="87">
        <v>11.282518</v>
      </c>
    </row>
    <row r="423" spans="1:7" x14ac:dyDescent="0.25">
      <c r="A423" s="84" t="s">
        <v>795</v>
      </c>
      <c r="B423" s="84" t="s">
        <v>37</v>
      </c>
      <c r="C423" s="84" t="s">
        <v>281</v>
      </c>
      <c r="D423" s="85">
        <v>15489</v>
      </c>
      <c r="E423" s="85">
        <v>417840</v>
      </c>
      <c r="F423" s="86">
        <v>52112</v>
      </c>
      <c r="G423" s="87">
        <v>12.47176</v>
      </c>
    </row>
    <row r="424" spans="1:7" x14ac:dyDescent="0.25">
      <c r="A424" s="84" t="s">
        <v>797</v>
      </c>
      <c r="B424" s="84" t="s">
        <v>37</v>
      </c>
      <c r="C424" s="84" t="s">
        <v>281</v>
      </c>
      <c r="D424" s="85">
        <v>14770</v>
      </c>
      <c r="E424" s="85">
        <v>383726</v>
      </c>
      <c r="F424" s="86">
        <v>44365</v>
      </c>
      <c r="G424" s="87">
        <v>11.561635000000001</v>
      </c>
    </row>
    <row r="425" spans="1:7" x14ac:dyDescent="0.25">
      <c r="A425" s="84" t="s">
        <v>798</v>
      </c>
      <c r="B425" s="84" t="s">
        <v>37</v>
      </c>
      <c r="C425" s="84" t="s">
        <v>283</v>
      </c>
      <c r="D425" s="85">
        <v>33413</v>
      </c>
      <c r="E425" s="85">
        <v>834696</v>
      </c>
      <c r="F425" s="86">
        <v>81987.7</v>
      </c>
      <c r="G425" s="87">
        <v>9.8224622999999998</v>
      </c>
    </row>
    <row r="426" spans="1:7" x14ac:dyDescent="0.25">
      <c r="A426" s="84" t="s">
        <v>799</v>
      </c>
      <c r="B426" s="84" t="s">
        <v>37</v>
      </c>
      <c r="C426" s="84" t="s">
        <v>283</v>
      </c>
      <c r="D426" s="85">
        <v>7674</v>
      </c>
      <c r="E426" s="85">
        <v>400677</v>
      </c>
      <c r="F426" s="86">
        <v>38401.4</v>
      </c>
      <c r="G426" s="87">
        <v>9.5841288999999996</v>
      </c>
    </row>
    <row r="427" spans="1:7" x14ac:dyDescent="0.25">
      <c r="A427" s="84" t="s">
        <v>800</v>
      </c>
      <c r="B427" s="84" t="s">
        <v>37</v>
      </c>
      <c r="C427" s="84" t="s">
        <v>283</v>
      </c>
      <c r="D427" s="85">
        <v>5910</v>
      </c>
      <c r="E427" s="85">
        <v>226949</v>
      </c>
      <c r="F427" s="86">
        <v>20173</v>
      </c>
      <c r="G427" s="87">
        <v>8.8887812000000004</v>
      </c>
    </row>
    <row r="428" spans="1:7" x14ac:dyDescent="0.25">
      <c r="A428" s="84" t="s">
        <v>802</v>
      </c>
      <c r="B428" s="84" t="s">
        <v>37</v>
      </c>
      <c r="C428" s="84" t="s">
        <v>283</v>
      </c>
      <c r="D428" s="85">
        <v>9371</v>
      </c>
      <c r="E428" s="85">
        <v>349641</v>
      </c>
      <c r="F428" s="86">
        <v>29450</v>
      </c>
      <c r="G428" s="87">
        <v>8.4229251999999999</v>
      </c>
    </row>
    <row r="429" spans="1:7" x14ac:dyDescent="0.25">
      <c r="A429" s="84" t="s">
        <v>804</v>
      </c>
      <c r="B429" s="84" t="s">
        <v>37</v>
      </c>
      <c r="C429" s="84" t="s">
        <v>283</v>
      </c>
      <c r="D429" s="85">
        <v>11295</v>
      </c>
      <c r="E429" s="85">
        <v>335915</v>
      </c>
      <c r="F429" s="86">
        <v>31298</v>
      </c>
      <c r="G429" s="87">
        <v>9.3172379999999997</v>
      </c>
    </row>
    <row r="430" spans="1:7" x14ac:dyDescent="0.25">
      <c r="A430" s="84" t="s">
        <v>805</v>
      </c>
      <c r="B430" s="84" t="s">
        <v>37</v>
      </c>
      <c r="C430" s="84" t="s">
        <v>283</v>
      </c>
      <c r="D430" s="85">
        <v>7542</v>
      </c>
      <c r="E430" s="85">
        <v>278652</v>
      </c>
      <c r="F430" s="86">
        <v>26020.2</v>
      </c>
      <c r="G430" s="87">
        <v>9.3378838000000002</v>
      </c>
    </row>
    <row r="431" spans="1:7" x14ac:dyDescent="0.25">
      <c r="A431" s="84" t="s">
        <v>806</v>
      </c>
      <c r="B431" s="84" t="s">
        <v>37</v>
      </c>
      <c r="C431" s="84" t="s">
        <v>283</v>
      </c>
      <c r="D431" s="85">
        <v>8818</v>
      </c>
      <c r="E431" s="85">
        <v>226195</v>
      </c>
      <c r="F431" s="86">
        <v>22195.4</v>
      </c>
      <c r="G431" s="87">
        <v>9.8125069000000007</v>
      </c>
    </row>
    <row r="432" spans="1:7" x14ac:dyDescent="0.25">
      <c r="A432" s="84" t="s">
        <v>807</v>
      </c>
      <c r="B432" s="84" t="s">
        <v>37</v>
      </c>
      <c r="C432" s="84" t="s">
        <v>283</v>
      </c>
      <c r="D432" s="85">
        <v>12622</v>
      </c>
      <c r="E432" s="85">
        <v>398525</v>
      </c>
      <c r="F432" s="86">
        <v>35370</v>
      </c>
      <c r="G432" s="87">
        <v>8.8752274</v>
      </c>
    </row>
    <row r="433" spans="1:7" x14ac:dyDescent="0.25">
      <c r="A433" s="84" t="s">
        <v>808</v>
      </c>
      <c r="B433" s="84" t="s">
        <v>37</v>
      </c>
      <c r="C433" s="84" t="s">
        <v>283</v>
      </c>
      <c r="D433" s="85">
        <v>27774</v>
      </c>
      <c r="E433" s="85">
        <v>536541</v>
      </c>
      <c r="F433" s="86">
        <v>58784.6</v>
      </c>
      <c r="G433" s="87">
        <v>10.956218</v>
      </c>
    </row>
    <row r="434" spans="1:7" x14ac:dyDescent="0.25">
      <c r="A434" s="84" t="s">
        <v>809</v>
      </c>
      <c r="B434" s="84" t="s">
        <v>37</v>
      </c>
      <c r="C434" s="84" t="s">
        <v>283</v>
      </c>
      <c r="D434" s="85">
        <v>10604</v>
      </c>
      <c r="E434" s="85">
        <v>224783</v>
      </c>
      <c r="F434" s="86">
        <v>22269</v>
      </c>
      <c r="G434" s="87">
        <v>9.9068880000000004</v>
      </c>
    </row>
    <row r="435" spans="1:7" x14ac:dyDescent="0.25">
      <c r="A435" s="84" t="s">
        <v>811</v>
      </c>
      <c r="B435" s="84" t="s">
        <v>37</v>
      </c>
      <c r="C435" s="84" t="s">
        <v>283</v>
      </c>
      <c r="D435" s="85">
        <v>21076</v>
      </c>
      <c r="E435" s="85">
        <v>866288</v>
      </c>
      <c r="F435" s="86">
        <v>77516.2</v>
      </c>
      <c r="G435" s="87">
        <v>8.9480865000000005</v>
      </c>
    </row>
    <row r="436" spans="1:7" x14ac:dyDescent="0.25">
      <c r="A436" s="84" t="s">
        <v>815</v>
      </c>
      <c r="B436" s="84" t="s">
        <v>37</v>
      </c>
      <c r="C436" s="84" t="s">
        <v>281</v>
      </c>
      <c r="D436" s="85">
        <v>25527</v>
      </c>
      <c r="E436" s="85">
        <v>476075</v>
      </c>
      <c r="F436" s="86">
        <v>58184.3</v>
      </c>
      <c r="G436" s="87">
        <v>12.221667</v>
      </c>
    </row>
    <row r="437" spans="1:7" x14ac:dyDescent="0.25">
      <c r="A437" s="84" t="s">
        <v>816</v>
      </c>
      <c r="B437" s="84" t="s">
        <v>37</v>
      </c>
      <c r="C437" s="84" t="s">
        <v>283</v>
      </c>
      <c r="D437" s="85">
        <v>9919</v>
      </c>
      <c r="E437" s="85">
        <v>373026</v>
      </c>
      <c r="F437" s="86">
        <v>33550.699999999997</v>
      </c>
      <c r="G437" s="87">
        <v>8.9941987999999995</v>
      </c>
    </row>
    <row r="438" spans="1:7" x14ac:dyDescent="0.25">
      <c r="A438" s="84" t="s">
        <v>817</v>
      </c>
      <c r="B438" s="84" t="s">
        <v>37</v>
      </c>
      <c r="C438" s="84" t="s">
        <v>281</v>
      </c>
      <c r="D438" s="85">
        <v>8287</v>
      </c>
      <c r="E438" s="85">
        <v>404690</v>
      </c>
      <c r="F438" s="86">
        <v>34756</v>
      </c>
      <c r="G438" s="87">
        <v>8.5883021999999993</v>
      </c>
    </row>
    <row r="439" spans="1:7" x14ac:dyDescent="0.25">
      <c r="A439" s="84" t="s">
        <v>818</v>
      </c>
      <c r="B439" s="84" t="s">
        <v>37</v>
      </c>
      <c r="C439" s="84" t="s">
        <v>281</v>
      </c>
      <c r="D439" s="85">
        <v>8096</v>
      </c>
      <c r="E439" s="85">
        <v>343370</v>
      </c>
      <c r="F439" s="86">
        <v>33701.599999999999</v>
      </c>
      <c r="G439" s="87">
        <v>9.8149517999999993</v>
      </c>
    </row>
    <row r="440" spans="1:7" x14ac:dyDescent="0.25">
      <c r="A440" s="84" t="s">
        <v>819</v>
      </c>
      <c r="B440" s="84" t="s">
        <v>37</v>
      </c>
      <c r="C440" s="84" t="s">
        <v>281</v>
      </c>
      <c r="D440" s="85">
        <v>13972</v>
      </c>
      <c r="E440" s="85">
        <v>280288</v>
      </c>
      <c r="F440" s="86">
        <v>31203</v>
      </c>
      <c r="G440" s="87">
        <v>11.132478000000001</v>
      </c>
    </row>
    <row r="441" spans="1:7" x14ac:dyDescent="0.25">
      <c r="A441" s="84" t="s">
        <v>820</v>
      </c>
      <c r="B441" s="84" t="s">
        <v>37</v>
      </c>
      <c r="C441" s="84" t="s">
        <v>278</v>
      </c>
      <c r="D441" s="85">
        <v>852004</v>
      </c>
      <c r="E441" s="85">
        <v>26322902</v>
      </c>
      <c r="F441" s="86">
        <v>2479080</v>
      </c>
      <c r="G441" s="87">
        <v>9.4179586000000004</v>
      </c>
    </row>
    <row r="442" spans="1:7" x14ac:dyDescent="0.25">
      <c r="A442" s="84" t="s">
        <v>821</v>
      </c>
      <c r="B442" s="84" t="s">
        <v>37</v>
      </c>
      <c r="C442" s="84" t="s">
        <v>281</v>
      </c>
      <c r="D442" s="85">
        <v>23626</v>
      </c>
      <c r="E442" s="85">
        <v>494989</v>
      </c>
      <c r="F442" s="86">
        <v>55907.4</v>
      </c>
      <c r="G442" s="87">
        <v>11.294675</v>
      </c>
    </row>
    <row r="443" spans="1:7" x14ac:dyDescent="0.25">
      <c r="A443" s="84" t="s">
        <v>822</v>
      </c>
      <c r="B443" s="84" t="s">
        <v>37</v>
      </c>
      <c r="C443" s="84" t="s">
        <v>281</v>
      </c>
      <c r="D443" s="85">
        <v>17832</v>
      </c>
      <c r="E443" s="85">
        <v>627350</v>
      </c>
      <c r="F443" s="86">
        <v>66906</v>
      </c>
      <c r="G443" s="87">
        <v>10.664859999999999</v>
      </c>
    </row>
    <row r="444" spans="1:7" x14ac:dyDescent="0.25">
      <c r="A444" s="84" t="s">
        <v>823</v>
      </c>
      <c r="B444" s="84" t="s">
        <v>37</v>
      </c>
      <c r="C444" s="84" t="s">
        <v>281</v>
      </c>
      <c r="D444" s="85">
        <v>34289</v>
      </c>
      <c r="E444" s="85">
        <v>771175</v>
      </c>
      <c r="F444" s="86">
        <v>87030.7</v>
      </c>
      <c r="G444" s="87">
        <v>11.285467000000001</v>
      </c>
    </row>
    <row r="445" spans="1:7" x14ac:dyDescent="0.25">
      <c r="A445" s="84" t="s">
        <v>825</v>
      </c>
      <c r="B445" s="84" t="s">
        <v>37</v>
      </c>
      <c r="C445" s="84" t="s">
        <v>278</v>
      </c>
      <c r="D445" s="85">
        <v>470992</v>
      </c>
      <c r="E445" s="85">
        <v>14520575</v>
      </c>
      <c r="F445" s="86">
        <v>1501014</v>
      </c>
      <c r="G445" s="87">
        <v>10.337153000000001</v>
      </c>
    </row>
    <row r="446" spans="1:7" x14ac:dyDescent="0.25">
      <c r="A446" s="84" t="s">
        <v>826</v>
      </c>
      <c r="B446" s="84" t="s">
        <v>37</v>
      </c>
      <c r="C446" s="84" t="s">
        <v>278</v>
      </c>
      <c r="D446" s="85">
        <v>509910</v>
      </c>
      <c r="E446" s="85">
        <v>12693227</v>
      </c>
      <c r="F446" s="86">
        <v>1299930</v>
      </c>
      <c r="G446" s="87">
        <v>10.241130999999999</v>
      </c>
    </row>
    <row r="447" spans="1:7" x14ac:dyDescent="0.25">
      <c r="A447" s="84" t="s">
        <v>827</v>
      </c>
      <c r="B447" s="84" t="s">
        <v>37</v>
      </c>
      <c r="C447" s="84" t="s">
        <v>281</v>
      </c>
      <c r="D447" s="85">
        <v>24792</v>
      </c>
      <c r="E447" s="85">
        <v>455443</v>
      </c>
      <c r="F447" s="86">
        <v>56416</v>
      </c>
      <c r="G447" s="87">
        <v>12.387060999999999</v>
      </c>
    </row>
    <row r="448" spans="1:7" x14ac:dyDescent="0.25">
      <c r="A448" s="84" t="s">
        <v>828</v>
      </c>
      <c r="B448" s="84" t="s">
        <v>37</v>
      </c>
      <c r="C448" s="84" t="s">
        <v>281</v>
      </c>
      <c r="D448" s="85">
        <v>8262</v>
      </c>
      <c r="E448" s="85">
        <v>250771</v>
      </c>
      <c r="F448" s="86">
        <v>26936.1</v>
      </c>
      <c r="G448" s="87">
        <v>10.741313999999999</v>
      </c>
    </row>
    <row r="449" spans="1:7" x14ac:dyDescent="0.25">
      <c r="A449" s="84" t="s">
        <v>830</v>
      </c>
      <c r="B449" s="84" t="s">
        <v>37</v>
      </c>
      <c r="C449" s="84" t="s">
        <v>281</v>
      </c>
      <c r="D449" s="85">
        <v>28396</v>
      </c>
      <c r="E449" s="85">
        <v>519244</v>
      </c>
      <c r="F449" s="86">
        <v>59926.2</v>
      </c>
      <c r="G449" s="87">
        <v>11.541048</v>
      </c>
    </row>
    <row r="450" spans="1:7" x14ac:dyDescent="0.25">
      <c r="A450" s="84" t="s">
        <v>831</v>
      </c>
      <c r="B450" s="84" t="s">
        <v>37</v>
      </c>
      <c r="C450" s="84" t="s">
        <v>281</v>
      </c>
      <c r="D450" s="85">
        <v>21167</v>
      </c>
      <c r="E450" s="85">
        <v>291669</v>
      </c>
      <c r="F450" s="86">
        <v>36626.699999999997</v>
      </c>
      <c r="G450" s="87">
        <v>12.557625</v>
      </c>
    </row>
    <row r="451" spans="1:7" x14ac:dyDescent="0.25">
      <c r="A451" s="84" t="s">
        <v>832</v>
      </c>
      <c r="B451" s="84" t="s">
        <v>37</v>
      </c>
      <c r="C451" s="84" t="s">
        <v>281</v>
      </c>
      <c r="D451" s="85">
        <v>18493</v>
      </c>
      <c r="E451" s="85">
        <v>456720</v>
      </c>
      <c r="F451" s="86">
        <v>47156.2</v>
      </c>
      <c r="G451" s="87">
        <v>10.324968999999999</v>
      </c>
    </row>
    <row r="452" spans="1:7" x14ac:dyDescent="0.25">
      <c r="A452" s="84" t="s">
        <v>837</v>
      </c>
      <c r="B452" s="84" t="s">
        <v>37</v>
      </c>
      <c r="C452" s="84" t="s">
        <v>281</v>
      </c>
      <c r="D452" s="85">
        <v>356</v>
      </c>
      <c r="E452" s="85">
        <v>5325</v>
      </c>
      <c r="F452" s="86">
        <v>806.3</v>
      </c>
      <c r="G452" s="87">
        <v>15.141783999999999</v>
      </c>
    </row>
    <row r="453" spans="1:7" x14ac:dyDescent="0.25">
      <c r="A453" s="84" t="s">
        <v>838</v>
      </c>
      <c r="B453" s="84" t="s">
        <v>37</v>
      </c>
      <c r="C453" s="84" t="s">
        <v>281</v>
      </c>
      <c r="D453" s="85">
        <v>16353</v>
      </c>
      <c r="E453" s="85">
        <v>290865</v>
      </c>
      <c r="F453" s="86">
        <v>38422</v>
      </c>
      <c r="G453" s="87">
        <v>13.209565</v>
      </c>
    </row>
    <row r="454" spans="1:7" x14ac:dyDescent="0.25">
      <c r="A454" s="84" t="s">
        <v>839</v>
      </c>
      <c r="B454" s="84" t="s">
        <v>37</v>
      </c>
      <c r="C454" s="84" t="s">
        <v>281</v>
      </c>
      <c r="D454" s="85">
        <v>11457</v>
      </c>
      <c r="E454" s="85">
        <v>204947</v>
      </c>
      <c r="F454" s="86">
        <v>24077.4</v>
      </c>
      <c r="G454" s="87">
        <v>11.74811</v>
      </c>
    </row>
    <row r="455" spans="1:7" x14ac:dyDescent="0.25">
      <c r="A455" s="84" t="s">
        <v>840</v>
      </c>
      <c r="B455" s="84" t="s">
        <v>37</v>
      </c>
      <c r="C455" s="84" t="s">
        <v>281</v>
      </c>
      <c r="D455" s="85">
        <v>31978</v>
      </c>
      <c r="E455" s="85">
        <v>1717202</v>
      </c>
      <c r="F455" s="86">
        <v>107304.6</v>
      </c>
      <c r="G455" s="87">
        <v>6.2488047</v>
      </c>
    </row>
    <row r="456" spans="1:7" x14ac:dyDescent="0.25">
      <c r="A456" s="84" t="s">
        <v>841</v>
      </c>
      <c r="B456" s="84" t="s">
        <v>37</v>
      </c>
      <c r="C456" s="84" t="s">
        <v>278</v>
      </c>
      <c r="D456" s="85">
        <v>479184</v>
      </c>
      <c r="E456" s="85">
        <v>14620306</v>
      </c>
      <c r="F456" s="86">
        <v>1439067.2</v>
      </c>
      <c r="G456" s="87">
        <v>9.8429348999999995</v>
      </c>
    </row>
    <row r="457" spans="1:7" x14ac:dyDescent="0.25">
      <c r="A457" s="84" t="s">
        <v>844</v>
      </c>
      <c r="B457" s="84" t="s">
        <v>37</v>
      </c>
      <c r="C457" s="84" t="s">
        <v>281</v>
      </c>
      <c r="D457" s="85">
        <v>3665</v>
      </c>
      <c r="E457" s="85">
        <v>98676</v>
      </c>
      <c r="F457" s="86">
        <v>11154.4</v>
      </c>
      <c r="G457" s="87">
        <v>11.304066000000001</v>
      </c>
    </row>
    <row r="458" spans="1:7" x14ac:dyDescent="0.25">
      <c r="A458" s="84" t="s">
        <v>845</v>
      </c>
      <c r="B458" s="84" t="s">
        <v>37</v>
      </c>
      <c r="C458" s="84" t="s">
        <v>281</v>
      </c>
      <c r="D458" s="85">
        <v>14661</v>
      </c>
      <c r="E458" s="85">
        <v>398804</v>
      </c>
      <c r="F458" s="86">
        <v>46186</v>
      </c>
      <c r="G458" s="87">
        <v>11.581128</v>
      </c>
    </row>
    <row r="459" spans="1:7" x14ac:dyDescent="0.25">
      <c r="A459" s="84" t="s">
        <v>846</v>
      </c>
      <c r="B459" s="84" t="s">
        <v>37</v>
      </c>
      <c r="C459" s="84" t="s">
        <v>281</v>
      </c>
      <c r="D459" s="85">
        <v>34155</v>
      </c>
      <c r="E459" s="85">
        <v>559777</v>
      </c>
      <c r="F459" s="86">
        <v>79953</v>
      </c>
      <c r="G459" s="87">
        <v>14.283009</v>
      </c>
    </row>
    <row r="460" spans="1:7" x14ac:dyDescent="0.25">
      <c r="A460" s="84" t="s">
        <v>847</v>
      </c>
      <c r="B460" s="84" t="s">
        <v>37</v>
      </c>
      <c r="C460" s="84" t="s">
        <v>281</v>
      </c>
      <c r="D460" s="85">
        <v>27495</v>
      </c>
      <c r="E460" s="85">
        <v>508533</v>
      </c>
      <c r="F460" s="86">
        <v>65848</v>
      </c>
      <c r="G460" s="87">
        <v>12.948619000000001</v>
      </c>
    </row>
    <row r="461" spans="1:7" x14ac:dyDescent="0.25">
      <c r="A461" s="84" t="s">
        <v>848</v>
      </c>
      <c r="B461" s="84" t="s">
        <v>37</v>
      </c>
      <c r="C461" s="84" t="s">
        <v>278</v>
      </c>
      <c r="D461" s="85">
        <v>148707</v>
      </c>
      <c r="E461" s="85">
        <v>4495185</v>
      </c>
      <c r="F461" s="86">
        <v>522215.5</v>
      </c>
      <c r="G461" s="87">
        <v>11.617219</v>
      </c>
    </row>
    <row r="462" spans="1:7" x14ac:dyDescent="0.25">
      <c r="A462" s="84" t="s">
        <v>849</v>
      </c>
      <c r="B462" s="84" t="s">
        <v>37</v>
      </c>
      <c r="C462" s="84" t="s">
        <v>281</v>
      </c>
      <c r="D462" s="85">
        <v>9362</v>
      </c>
      <c r="E462" s="85">
        <v>412723</v>
      </c>
      <c r="F462" s="86">
        <v>33820</v>
      </c>
      <c r="G462" s="87">
        <v>8.1943579999999994</v>
      </c>
    </row>
    <row r="463" spans="1:7" x14ac:dyDescent="0.25">
      <c r="A463" s="84" t="s">
        <v>414</v>
      </c>
      <c r="B463" s="84" t="s">
        <v>37</v>
      </c>
      <c r="C463" s="84" t="s">
        <v>392</v>
      </c>
      <c r="D463" s="85">
        <v>2</v>
      </c>
      <c r="E463" s="85">
        <v>20</v>
      </c>
      <c r="F463" s="86">
        <v>4.0999999999999996</v>
      </c>
      <c r="G463" s="87">
        <v>20.5</v>
      </c>
    </row>
    <row r="464" spans="1:7" x14ac:dyDescent="0.25">
      <c r="A464" s="84" t="s">
        <v>851</v>
      </c>
      <c r="B464" s="84" t="s">
        <v>37</v>
      </c>
      <c r="C464" s="84" t="s">
        <v>281</v>
      </c>
      <c r="D464" s="85">
        <v>28392</v>
      </c>
      <c r="E464" s="85">
        <v>516992</v>
      </c>
      <c r="F464" s="86">
        <v>65620.399999999994</v>
      </c>
      <c r="G464" s="87">
        <v>12.692729999999999</v>
      </c>
    </row>
    <row r="465" spans="1:7" x14ac:dyDescent="0.25">
      <c r="A465" s="84" t="s">
        <v>853</v>
      </c>
      <c r="B465" s="84" t="s">
        <v>37</v>
      </c>
      <c r="C465" s="84" t="s">
        <v>281</v>
      </c>
      <c r="D465" s="85">
        <v>19250</v>
      </c>
      <c r="E465" s="85">
        <v>316653</v>
      </c>
      <c r="F465" s="86">
        <v>43796</v>
      </c>
      <c r="G465" s="87">
        <v>13.830913000000001</v>
      </c>
    </row>
    <row r="466" spans="1:7" x14ac:dyDescent="0.25">
      <c r="A466" s="84" t="s">
        <v>854</v>
      </c>
      <c r="B466" s="84" t="s">
        <v>37</v>
      </c>
      <c r="C466" s="84" t="s">
        <v>281</v>
      </c>
      <c r="D466" s="85">
        <v>17052</v>
      </c>
      <c r="E466" s="85">
        <v>587855</v>
      </c>
      <c r="F466" s="86">
        <v>62291.8</v>
      </c>
      <c r="G466" s="87">
        <v>10.596456999999999</v>
      </c>
    </row>
    <row r="467" spans="1:7" x14ac:dyDescent="0.25">
      <c r="A467" s="84" t="s">
        <v>855</v>
      </c>
      <c r="B467" s="84" t="s">
        <v>37</v>
      </c>
      <c r="C467" s="84" t="s">
        <v>281</v>
      </c>
      <c r="D467" s="85">
        <v>12002</v>
      </c>
      <c r="E467" s="85">
        <v>228642</v>
      </c>
      <c r="F467" s="86">
        <v>28662</v>
      </c>
      <c r="G467" s="87">
        <v>12.535755</v>
      </c>
    </row>
    <row r="468" spans="1:7" x14ac:dyDescent="0.25">
      <c r="A468" s="84" t="s">
        <v>856</v>
      </c>
      <c r="B468" s="84" t="s">
        <v>42</v>
      </c>
      <c r="C468" s="84" t="s">
        <v>281</v>
      </c>
      <c r="D468" s="85">
        <v>926</v>
      </c>
      <c r="E468" s="85">
        <v>18778</v>
      </c>
      <c r="F468" s="86">
        <v>1928</v>
      </c>
      <c r="G468" s="87">
        <v>10.267334</v>
      </c>
    </row>
    <row r="469" spans="1:7" x14ac:dyDescent="0.25">
      <c r="A469" s="84" t="s">
        <v>861</v>
      </c>
      <c r="B469" s="84" t="s">
        <v>42</v>
      </c>
      <c r="C469" s="84" t="s">
        <v>281</v>
      </c>
      <c r="D469" s="85">
        <v>5847</v>
      </c>
      <c r="E469" s="85">
        <v>183519</v>
      </c>
      <c r="F469" s="86">
        <v>21465.5</v>
      </c>
      <c r="G469" s="87">
        <v>11.696609</v>
      </c>
    </row>
    <row r="470" spans="1:7" x14ac:dyDescent="0.25">
      <c r="A470" s="84" t="s">
        <v>867</v>
      </c>
      <c r="B470" s="84" t="s">
        <v>42</v>
      </c>
      <c r="C470" s="84" t="s">
        <v>283</v>
      </c>
      <c r="D470" s="85">
        <v>5610</v>
      </c>
      <c r="E470" s="85">
        <v>279862</v>
      </c>
      <c r="F470" s="86">
        <v>18436</v>
      </c>
      <c r="G470" s="87">
        <v>6.5875323999999997</v>
      </c>
    </row>
    <row r="471" spans="1:7" x14ac:dyDescent="0.25">
      <c r="A471" s="84" t="s">
        <v>869</v>
      </c>
      <c r="B471" s="84" t="s">
        <v>42</v>
      </c>
      <c r="C471" s="84" t="s">
        <v>283</v>
      </c>
      <c r="D471" s="85">
        <v>5964</v>
      </c>
      <c r="E471" s="85">
        <v>768171</v>
      </c>
      <c r="F471" s="86">
        <v>46654.1</v>
      </c>
      <c r="G471" s="87">
        <v>6.0734003000000003</v>
      </c>
    </row>
    <row r="472" spans="1:7" x14ac:dyDescent="0.25">
      <c r="A472" s="84" t="s">
        <v>872</v>
      </c>
      <c r="B472" s="84" t="s">
        <v>42</v>
      </c>
      <c r="C472" s="84" t="s">
        <v>283</v>
      </c>
      <c r="D472" s="85">
        <v>11573</v>
      </c>
      <c r="E472" s="85">
        <v>303821</v>
      </c>
      <c r="F472" s="86">
        <v>28400</v>
      </c>
      <c r="G472" s="87">
        <v>9.3476093000000002</v>
      </c>
    </row>
    <row r="473" spans="1:7" x14ac:dyDescent="0.25">
      <c r="A473" s="84" t="s">
        <v>880</v>
      </c>
      <c r="B473" s="84" t="s">
        <v>42</v>
      </c>
      <c r="C473" s="84" t="s">
        <v>283</v>
      </c>
      <c r="D473" s="85">
        <v>66249</v>
      </c>
      <c r="E473" s="85">
        <v>2065050</v>
      </c>
      <c r="F473" s="86">
        <v>226824</v>
      </c>
      <c r="G473" s="87">
        <v>10.983947000000001</v>
      </c>
    </row>
    <row r="474" spans="1:7" x14ac:dyDescent="0.25">
      <c r="A474" s="84" t="s">
        <v>883</v>
      </c>
      <c r="B474" s="84" t="s">
        <v>42</v>
      </c>
      <c r="C474" s="84" t="s">
        <v>283</v>
      </c>
      <c r="D474" s="85">
        <v>8804</v>
      </c>
      <c r="E474" s="85">
        <v>983113</v>
      </c>
      <c r="F474" s="86">
        <v>53717.3</v>
      </c>
      <c r="G474" s="87">
        <v>5.4640006000000003</v>
      </c>
    </row>
    <row r="475" spans="1:7" x14ac:dyDescent="0.25">
      <c r="A475" s="84" t="s">
        <v>896</v>
      </c>
      <c r="B475" s="84" t="s">
        <v>42</v>
      </c>
      <c r="C475" s="84" t="s">
        <v>283</v>
      </c>
      <c r="D475" s="85">
        <v>7102</v>
      </c>
      <c r="E475" s="85">
        <v>284756</v>
      </c>
      <c r="F475" s="86">
        <v>23475</v>
      </c>
      <c r="G475" s="87">
        <v>8.2439</v>
      </c>
    </row>
    <row r="476" spans="1:7" x14ac:dyDescent="0.25">
      <c r="A476" s="84" t="s">
        <v>369</v>
      </c>
      <c r="B476" s="84" t="s">
        <v>42</v>
      </c>
      <c r="C476" s="84" t="s">
        <v>278</v>
      </c>
      <c r="D476" s="85">
        <v>9670</v>
      </c>
      <c r="E476" s="85">
        <v>217299</v>
      </c>
      <c r="F476" s="86">
        <v>24927.8</v>
      </c>
      <c r="G476" s="87">
        <v>11.471659000000001</v>
      </c>
    </row>
    <row r="477" spans="1:7" x14ac:dyDescent="0.25">
      <c r="A477" s="84" t="s">
        <v>2380</v>
      </c>
      <c r="B477" s="84" t="s">
        <v>42</v>
      </c>
      <c r="C477" s="84" t="s">
        <v>278</v>
      </c>
      <c r="D477" s="85">
        <v>385961</v>
      </c>
      <c r="E477" s="85">
        <v>9467474</v>
      </c>
      <c r="F477" s="86">
        <v>989892.5</v>
      </c>
      <c r="G477" s="87">
        <v>10.455719</v>
      </c>
    </row>
    <row r="478" spans="1:7" x14ac:dyDescent="0.25">
      <c r="A478" s="84" t="s">
        <v>2381</v>
      </c>
      <c r="B478" s="84" t="s">
        <v>42</v>
      </c>
      <c r="C478" s="84" t="s">
        <v>278</v>
      </c>
      <c r="D478" s="85">
        <v>334500</v>
      </c>
      <c r="E478" s="85">
        <v>9181326</v>
      </c>
      <c r="F478" s="86">
        <v>901137.4</v>
      </c>
      <c r="G478" s="87">
        <v>9.8148938000000001</v>
      </c>
    </row>
    <row r="479" spans="1:7" x14ac:dyDescent="0.25">
      <c r="A479" s="84" t="s">
        <v>2382</v>
      </c>
      <c r="B479" s="84" t="s">
        <v>42</v>
      </c>
      <c r="C479" s="84" t="s">
        <v>278</v>
      </c>
      <c r="D479" s="85">
        <v>265631</v>
      </c>
      <c r="E479" s="85">
        <v>6170121</v>
      </c>
      <c r="F479" s="86">
        <v>711575.6</v>
      </c>
      <c r="G479" s="87">
        <v>11.532603999999999</v>
      </c>
    </row>
    <row r="480" spans="1:7" x14ac:dyDescent="0.25">
      <c r="A480" s="84" t="s">
        <v>899</v>
      </c>
      <c r="B480" s="84" t="s">
        <v>42</v>
      </c>
      <c r="C480" s="84" t="s">
        <v>281</v>
      </c>
      <c r="D480" s="85">
        <v>18451</v>
      </c>
      <c r="E480" s="85">
        <v>270021</v>
      </c>
      <c r="F480" s="86">
        <v>37520</v>
      </c>
      <c r="G480" s="87">
        <v>13.895216</v>
      </c>
    </row>
    <row r="481" spans="1:7" x14ac:dyDescent="0.25">
      <c r="A481" s="84" t="s">
        <v>905</v>
      </c>
      <c r="B481" s="84" t="s">
        <v>42</v>
      </c>
      <c r="C481" s="84" t="s">
        <v>281</v>
      </c>
      <c r="D481" s="85">
        <v>49931</v>
      </c>
      <c r="E481" s="85">
        <v>1392109</v>
      </c>
      <c r="F481" s="86">
        <v>142654.29999999999</v>
      </c>
      <c r="G481" s="87">
        <v>10.247351</v>
      </c>
    </row>
    <row r="482" spans="1:7" x14ac:dyDescent="0.25">
      <c r="A482" s="84" t="s">
        <v>908</v>
      </c>
      <c r="B482" s="84" t="s">
        <v>42</v>
      </c>
      <c r="C482" s="84" t="s">
        <v>281</v>
      </c>
      <c r="D482" s="85">
        <v>16562</v>
      </c>
      <c r="E482" s="85">
        <v>848290</v>
      </c>
      <c r="F482" s="86">
        <v>67175</v>
      </c>
      <c r="G482" s="87">
        <v>7.9188720999999997</v>
      </c>
    </row>
    <row r="483" spans="1:7" x14ac:dyDescent="0.25">
      <c r="A483" s="84" t="s">
        <v>909</v>
      </c>
      <c r="B483" s="84" t="s">
        <v>42</v>
      </c>
      <c r="C483" s="84" t="s">
        <v>281</v>
      </c>
      <c r="D483" s="85">
        <v>24586</v>
      </c>
      <c r="E483" s="85">
        <v>490121</v>
      </c>
      <c r="F483" s="86">
        <v>54120.3</v>
      </c>
      <c r="G483" s="87">
        <v>11.042232</v>
      </c>
    </row>
    <row r="484" spans="1:7" x14ac:dyDescent="0.25">
      <c r="A484" s="84" t="s">
        <v>913</v>
      </c>
      <c r="B484" s="84" t="s">
        <v>42</v>
      </c>
      <c r="C484" s="84" t="s">
        <v>281</v>
      </c>
      <c r="D484" s="85">
        <v>16926</v>
      </c>
      <c r="E484" s="85">
        <v>763871</v>
      </c>
      <c r="F484" s="86">
        <v>65075</v>
      </c>
      <c r="G484" s="87">
        <v>8.5191085999999991</v>
      </c>
    </row>
    <row r="485" spans="1:7" x14ac:dyDescent="0.25">
      <c r="A485" s="84" t="s">
        <v>2370</v>
      </c>
      <c r="B485" s="84" t="s">
        <v>42</v>
      </c>
      <c r="C485" s="84" t="s">
        <v>281</v>
      </c>
      <c r="D485" s="85">
        <v>1475</v>
      </c>
      <c r="E485" s="85">
        <v>20621</v>
      </c>
      <c r="F485" s="86">
        <v>2796.6</v>
      </c>
      <c r="G485" s="87">
        <v>13.561902999999999</v>
      </c>
    </row>
    <row r="486" spans="1:7" x14ac:dyDescent="0.25">
      <c r="A486" s="84" t="s">
        <v>916</v>
      </c>
      <c r="B486" s="84" t="s">
        <v>42</v>
      </c>
      <c r="C486" s="84" t="s">
        <v>281</v>
      </c>
      <c r="D486" s="85">
        <v>19854</v>
      </c>
      <c r="E486" s="85">
        <v>708014</v>
      </c>
      <c r="F486" s="86">
        <v>66344</v>
      </c>
      <c r="G486" s="87">
        <v>9.3704362000000003</v>
      </c>
    </row>
    <row r="487" spans="1:7" x14ac:dyDescent="0.25">
      <c r="A487" s="84" t="s">
        <v>422</v>
      </c>
      <c r="B487" s="84" t="s">
        <v>42</v>
      </c>
      <c r="C487" s="84" t="s">
        <v>351</v>
      </c>
      <c r="D487" s="85">
        <v>1</v>
      </c>
      <c r="E487" s="85">
        <v>263</v>
      </c>
      <c r="F487" s="86">
        <v>0.7</v>
      </c>
      <c r="G487" s="87">
        <v>0.2661597</v>
      </c>
    </row>
    <row r="488" spans="1:7" x14ac:dyDescent="0.25">
      <c r="A488" s="84" t="s">
        <v>918</v>
      </c>
      <c r="B488" s="84" t="s">
        <v>42</v>
      </c>
      <c r="C488" s="84" t="s">
        <v>281</v>
      </c>
      <c r="D488" s="85">
        <v>12248</v>
      </c>
      <c r="E488" s="85">
        <v>312773</v>
      </c>
      <c r="F488" s="86">
        <v>31830</v>
      </c>
      <c r="G488" s="87">
        <v>10.17671</v>
      </c>
    </row>
    <row r="489" spans="1:7" x14ac:dyDescent="0.25">
      <c r="A489" s="84" t="s">
        <v>507</v>
      </c>
      <c r="B489" s="84" t="s">
        <v>42</v>
      </c>
      <c r="C489" s="84" t="s">
        <v>281</v>
      </c>
      <c r="D489" s="85">
        <v>32713</v>
      </c>
      <c r="E489" s="85">
        <v>776946</v>
      </c>
      <c r="F489" s="86">
        <v>84682.3</v>
      </c>
      <c r="G489" s="87">
        <v>10.899380000000001</v>
      </c>
    </row>
    <row r="490" spans="1:7" x14ac:dyDescent="0.25">
      <c r="A490" s="84" t="s">
        <v>920</v>
      </c>
      <c r="B490" s="84" t="s">
        <v>45</v>
      </c>
      <c r="C490" s="84" t="s">
        <v>281</v>
      </c>
      <c r="D490" s="85">
        <v>12789</v>
      </c>
      <c r="E490" s="85">
        <v>209322</v>
      </c>
      <c r="F490" s="86">
        <v>22362</v>
      </c>
      <c r="G490" s="87">
        <v>10.683062</v>
      </c>
    </row>
    <row r="491" spans="1:7" x14ac:dyDescent="0.25">
      <c r="A491" s="84" t="s">
        <v>921</v>
      </c>
      <c r="B491" s="84" t="s">
        <v>45</v>
      </c>
      <c r="C491" s="84" t="s">
        <v>281</v>
      </c>
      <c r="D491" s="85">
        <v>59889</v>
      </c>
      <c r="E491" s="85">
        <v>1268519</v>
      </c>
      <c r="F491" s="86">
        <v>115900</v>
      </c>
      <c r="G491" s="87">
        <v>9.1366388999999995</v>
      </c>
    </row>
    <row r="492" spans="1:7" x14ac:dyDescent="0.25">
      <c r="A492" s="84" t="s">
        <v>922</v>
      </c>
      <c r="B492" s="84" t="s">
        <v>45</v>
      </c>
      <c r="C492" s="84" t="s">
        <v>283</v>
      </c>
      <c r="D492" s="85">
        <v>4676</v>
      </c>
      <c r="E492" s="85">
        <v>172317</v>
      </c>
      <c r="F492" s="86">
        <v>13504</v>
      </c>
      <c r="G492" s="87">
        <v>7.8367195000000001</v>
      </c>
    </row>
    <row r="493" spans="1:7" x14ac:dyDescent="0.25">
      <c r="A493" s="84" t="s">
        <v>923</v>
      </c>
      <c r="B493" s="84" t="s">
        <v>45</v>
      </c>
      <c r="C493" s="84" t="s">
        <v>283</v>
      </c>
      <c r="D493" s="85">
        <v>2539</v>
      </c>
      <c r="E493" s="85">
        <v>64733</v>
      </c>
      <c r="F493" s="86">
        <v>7198</v>
      </c>
      <c r="G493" s="87">
        <v>11.119522</v>
      </c>
    </row>
    <row r="494" spans="1:7" x14ac:dyDescent="0.25">
      <c r="A494" s="84" t="s">
        <v>924</v>
      </c>
      <c r="B494" s="84" t="s">
        <v>45</v>
      </c>
      <c r="C494" s="84" t="s">
        <v>283</v>
      </c>
      <c r="D494" s="85">
        <v>5294</v>
      </c>
      <c r="E494" s="85">
        <v>117515</v>
      </c>
      <c r="F494" s="86">
        <v>9792.4</v>
      </c>
      <c r="G494" s="87">
        <v>8.3328936999999996</v>
      </c>
    </row>
    <row r="495" spans="1:7" x14ac:dyDescent="0.25">
      <c r="A495" s="84" t="s">
        <v>925</v>
      </c>
      <c r="B495" s="84" t="s">
        <v>45</v>
      </c>
      <c r="C495" s="84" t="s">
        <v>283</v>
      </c>
      <c r="D495" s="85">
        <v>30994</v>
      </c>
      <c r="E495" s="85">
        <v>815113</v>
      </c>
      <c r="F495" s="86">
        <v>76592</v>
      </c>
      <c r="G495" s="87">
        <v>9.3964885999999996</v>
      </c>
    </row>
    <row r="496" spans="1:7" x14ac:dyDescent="0.25">
      <c r="A496" s="84" t="s">
        <v>926</v>
      </c>
      <c r="B496" s="84" t="s">
        <v>45</v>
      </c>
      <c r="C496" s="84" t="s">
        <v>283</v>
      </c>
      <c r="D496" s="85">
        <v>21052</v>
      </c>
      <c r="E496" s="85">
        <v>615321</v>
      </c>
      <c r="F496" s="86">
        <v>59044</v>
      </c>
      <c r="G496" s="87">
        <v>9.5956419000000004</v>
      </c>
    </row>
    <row r="497" spans="1:7" x14ac:dyDescent="0.25">
      <c r="A497" s="84" t="s">
        <v>927</v>
      </c>
      <c r="B497" s="84" t="s">
        <v>45</v>
      </c>
      <c r="C497" s="84" t="s">
        <v>283</v>
      </c>
      <c r="D497" s="85">
        <v>5340</v>
      </c>
      <c r="E497" s="85">
        <v>149689</v>
      </c>
      <c r="F497" s="86">
        <v>14019</v>
      </c>
      <c r="G497" s="87">
        <v>9.3654176000000007</v>
      </c>
    </row>
    <row r="498" spans="1:7" x14ac:dyDescent="0.25">
      <c r="A498" s="84" t="s">
        <v>928</v>
      </c>
      <c r="B498" s="84" t="s">
        <v>45</v>
      </c>
      <c r="C498" s="84" t="s">
        <v>283</v>
      </c>
      <c r="D498" s="85">
        <v>1632</v>
      </c>
      <c r="E498" s="85">
        <v>47974</v>
      </c>
      <c r="F498" s="86">
        <v>4852</v>
      </c>
      <c r="G498" s="87">
        <v>10.113811999999999</v>
      </c>
    </row>
    <row r="499" spans="1:7" x14ac:dyDescent="0.25">
      <c r="A499" s="84" t="s">
        <v>929</v>
      </c>
      <c r="B499" s="84" t="s">
        <v>45</v>
      </c>
      <c r="C499" s="84" t="s">
        <v>283</v>
      </c>
      <c r="D499" s="85">
        <v>7429</v>
      </c>
      <c r="E499" s="85">
        <v>224218</v>
      </c>
      <c r="F499" s="86">
        <v>24570</v>
      </c>
      <c r="G499" s="87">
        <v>10.958085000000001</v>
      </c>
    </row>
    <row r="500" spans="1:7" x14ac:dyDescent="0.25">
      <c r="A500" s="84" t="s">
        <v>930</v>
      </c>
      <c r="B500" s="84" t="s">
        <v>45</v>
      </c>
      <c r="C500" s="84" t="s">
        <v>283</v>
      </c>
      <c r="D500" s="85">
        <v>1092</v>
      </c>
      <c r="E500" s="85">
        <v>16405</v>
      </c>
      <c r="F500" s="86">
        <v>2237</v>
      </c>
      <c r="G500" s="87">
        <v>13.636087</v>
      </c>
    </row>
    <row r="501" spans="1:7" x14ac:dyDescent="0.25">
      <c r="A501" s="84" t="s">
        <v>931</v>
      </c>
      <c r="B501" s="84" t="s">
        <v>45</v>
      </c>
      <c r="C501" s="84" t="s">
        <v>283</v>
      </c>
      <c r="D501" s="85">
        <v>12990</v>
      </c>
      <c r="E501" s="85">
        <v>296775</v>
      </c>
      <c r="F501" s="86">
        <v>29263</v>
      </c>
      <c r="G501" s="87">
        <v>9.8603319000000003</v>
      </c>
    </row>
    <row r="502" spans="1:7" x14ac:dyDescent="0.25">
      <c r="A502" s="84" t="s">
        <v>932</v>
      </c>
      <c r="B502" s="84" t="s">
        <v>45</v>
      </c>
      <c r="C502" s="84" t="s">
        <v>283</v>
      </c>
      <c r="D502" s="85">
        <v>2156</v>
      </c>
      <c r="E502" s="85">
        <v>28242</v>
      </c>
      <c r="F502" s="86">
        <v>3026</v>
      </c>
      <c r="G502" s="87">
        <v>10.714539</v>
      </c>
    </row>
    <row r="503" spans="1:7" x14ac:dyDescent="0.25">
      <c r="A503" s="84" t="s">
        <v>933</v>
      </c>
      <c r="B503" s="84" t="s">
        <v>45</v>
      </c>
      <c r="C503" s="84" t="s">
        <v>283</v>
      </c>
      <c r="D503" s="85">
        <v>5426</v>
      </c>
      <c r="E503" s="85">
        <v>131060</v>
      </c>
      <c r="F503" s="86">
        <v>14506</v>
      </c>
      <c r="G503" s="87">
        <v>11.068213</v>
      </c>
    </row>
    <row r="504" spans="1:7" x14ac:dyDescent="0.25">
      <c r="A504" s="84" t="s">
        <v>934</v>
      </c>
      <c r="B504" s="84" t="s">
        <v>45</v>
      </c>
      <c r="C504" s="84" t="s">
        <v>283</v>
      </c>
      <c r="D504" s="85">
        <v>7935</v>
      </c>
      <c r="E504" s="85">
        <v>245921</v>
      </c>
      <c r="F504" s="86">
        <v>23872</v>
      </c>
      <c r="G504" s="87">
        <v>9.7071824000000007</v>
      </c>
    </row>
    <row r="505" spans="1:7" x14ac:dyDescent="0.25">
      <c r="A505" s="84" t="s">
        <v>936</v>
      </c>
      <c r="B505" s="84" t="s">
        <v>45</v>
      </c>
      <c r="C505" s="84" t="s">
        <v>283</v>
      </c>
      <c r="D505" s="85">
        <v>26505</v>
      </c>
      <c r="E505" s="85">
        <v>757542</v>
      </c>
      <c r="F505" s="86">
        <v>91979</v>
      </c>
      <c r="G505" s="87">
        <v>12.141769</v>
      </c>
    </row>
    <row r="506" spans="1:7" x14ac:dyDescent="0.25">
      <c r="A506" s="84" t="s">
        <v>937</v>
      </c>
      <c r="B506" s="84" t="s">
        <v>45</v>
      </c>
      <c r="C506" s="84" t="s">
        <v>283</v>
      </c>
      <c r="D506" s="85">
        <v>22649</v>
      </c>
      <c r="E506" s="85">
        <v>528380</v>
      </c>
      <c r="F506" s="86">
        <v>70456.2</v>
      </c>
      <c r="G506" s="87">
        <v>13.334381</v>
      </c>
    </row>
    <row r="507" spans="1:7" x14ac:dyDescent="0.25">
      <c r="A507" s="84" t="s">
        <v>939</v>
      </c>
      <c r="B507" s="84" t="s">
        <v>45</v>
      </c>
      <c r="C507" s="84" t="s">
        <v>283</v>
      </c>
      <c r="D507" s="85">
        <v>4249</v>
      </c>
      <c r="E507" s="85">
        <v>113959</v>
      </c>
      <c r="F507" s="86">
        <v>10987</v>
      </c>
      <c r="G507" s="87">
        <v>9.6411867000000004</v>
      </c>
    </row>
    <row r="508" spans="1:7" x14ac:dyDescent="0.25">
      <c r="A508" s="84" t="s">
        <v>940</v>
      </c>
      <c r="B508" s="84" t="s">
        <v>45</v>
      </c>
      <c r="C508" s="84" t="s">
        <v>281</v>
      </c>
      <c r="D508" s="85">
        <v>27201</v>
      </c>
      <c r="E508" s="85">
        <v>414722</v>
      </c>
      <c r="F508" s="86">
        <v>44578</v>
      </c>
      <c r="G508" s="87">
        <v>10.748887</v>
      </c>
    </row>
    <row r="509" spans="1:7" x14ac:dyDescent="0.25">
      <c r="A509" s="84" t="s">
        <v>941</v>
      </c>
      <c r="B509" s="84" t="s">
        <v>45</v>
      </c>
      <c r="C509" s="84" t="s">
        <v>281</v>
      </c>
      <c r="D509" s="85">
        <v>23763</v>
      </c>
      <c r="E509" s="85">
        <v>401755</v>
      </c>
      <c r="F509" s="86">
        <v>38908</v>
      </c>
      <c r="G509" s="87">
        <v>9.6845092000000008</v>
      </c>
    </row>
    <row r="510" spans="1:7" x14ac:dyDescent="0.25">
      <c r="A510" s="84" t="s">
        <v>2383</v>
      </c>
      <c r="B510" s="84" t="s">
        <v>45</v>
      </c>
      <c r="C510" s="84" t="s">
        <v>278</v>
      </c>
      <c r="D510" s="85">
        <v>145957</v>
      </c>
      <c r="E510" s="85">
        <v>3850451</v>
      </c>
      <c r="F510" s="86">
        <v>332239.59999999998</v>
      </c>
      <c r="G510" s="87">
        <v>8.6285892000000004</v>
      </c>
    </row>
    <row r="511" spans="1:7" x14ac:dyDescent="0.25">
      <c r="A511" s="84" t="s">
        <v>943</v>
      </c>
      <c r="B511" s="84" t="s">
        <v>45</v>
      </c>
      <c r="C511" s="84" t="s">
        <v>281</v>
      </c>
      <c r="D511" s="85">
        <v>25970</v>
      </c>
      <c r="E511" s="85">
        <v>471667</v>
      </c>
      <c r="F511" s="86">
        <v>45615</v>
      </c>
      <c r="G511" s="87">
        <v>9.6710179000000007</v>
      </c>
    </row>
    <row r="512" spans="1:7" x14ac:dyDescent="0.25">
      <c r="A512" s="84" t="s">
        <v>944</v>
      </c>
      <c r="B512" s="84" t="s">
        <v>45</v>
      </c>
      <c r="C512" s="84" t="s">
        <v>281</v>
      </c>
      <c r="D512" s="85">
        <v>25157</v>
      </c>
      <c r="E512" s="85">
        <v>988189</v>
      </c>
      <c r="F512" s="86">
        <v>65942</v>
      </c>
      <c r="G512" s="87">
        <v>6.6730150000000004</v>
      </c>
    </row>
    <row r="513" spans="1:7" x14ac:dyDescent="0.25">
      <c r="A513" s="84" t="s">
        <v>1813</v>
      </c>
      <c r="B513" s="84" t="s">
        <v>45</v>
      </c>
      <c r="C513" s="84" t="s">
        <v>281</v>
      </c>
      <c r="D513" s="85">
        <v>3419</v>
      </c>
      <c r="E513" s="85">
        <v>67410</v>
      </c>
      <c r="F513" s="86">
        <v>7319</v>
      </c>
      <c r="G513" s="87">
        <v>10.85744</v>
      </c>
    </row>
    <row r="514" spans="1:7" x14ac:dyDescent="0.25">
      <c r="A514" s="84" t="s">
        <v>945</v>
      </c>
      <c r="B514" s="84" t="s">
        <v>45</v>
      </c>
      <c r="C514" s="84" t="s">
        <v>281</v>
      </c>
      <c r="D514" s="85">
        <v>15349</v>
      </c>
      <c r="E514" s="85">
        <v>240323</v>
      </c>
      <c r="F514" s="86">
        <v>29719</v>
      </c>
      <c r="G514" s="87">
        <v>12.366274000000001</v>
      </c>
    </row>
    <row r="515" spans="1:7" x14ac:dyDescent="0.25">
      <c r="A515" s="84" t="s">
        <v>946</v>
      </c>
      <c r="B515" s="84" t="s">
        <v>45</v>
      </c>
      <c r="C515" s="84" t="s">
        <v>283</v>
      </c>
      <c r="D515" s="85">
        <v>12000</v>
      </c>
      <c r="E515" s="85">
        <v>533876</v>
      </c>
      <c r="F515" s="86">
        <v>36815</v>
      </c>
      <c r="G515" s="87">
        <v>6.8957959999999998</v>
      </c>
    </row>
    <row r="516" spans="1:7" x14ac:dyDescent="0.25">
      <c r="A516" s="84" t="s">
        <v>948</v>
      </c>
      <c r="B516" s="84" t="s">
        <v>45</v>
      </c>
      <c r="C516" s="84" t="s">
        <v>281</v>
      </c>
      <c r="D516" s="85">
        <v>27091</v>
      </c>
      <c r="E516" s="85">
        <v>456353</v>
      </c>
      <c r="F516" s="86">
        <v>48425</v>
      </c>
      <c r="G516" s="87">
        <v>10.611302999999999</v>
      </c>
    </row>
    <row r="517" spans="1:7" x14ac:dyDescent="0.25">
      <c r="A517" s="84" t="s">
        <v>949</v>
      </c>
      <c r="B517" s="84" t="s">
        <v>45</v>
      </c>
      <c r="C517" s="84" t="s">
        <v>281</v>
      </c>
      <c r="D517" s="85">
        <v>51904</v>
      </c>
      <c r="E517" s="85">
        <v>872602</v>
      </c>
      <c r="F517" s="86">
        <v>94262.3</v>
      </c>
      <c r="G517" s="87">
        <v>10.802439</v>
      </c>
    </row>
    <row r="518" spans="1:7" x14ac:dyDescent="0.25">
      <c r="A518" s="84" t="s">
        <v>950</v>
      </c>
      <c r="B518" s="84" t="s">
        <v>45</v>
      </c>
      <c r="C518" s="84" t="s">
        <v>281</v>
      </c>
      <c r="D518" s="85">
        <v>30199</v>
      </c>
      <c r="E518" s="85">
        <v>575139</v>
      </c>
      <c r="F518" s="86">
        <v>64264.1</v>
      </c>
      <c r="G518" s="87">
        <v>11.173664</v>
      </c>
    </row>
    <row r="519" spans="1:7" x14ac:dyDescent="0.25">
      <c r="A519" s="84" t="s">
        <v>951</v>
      </c>
      <c r="B519" s="84" t="s">
        <v>45</v>
      </c>
      <c r="C519" s="84" t="s">
        <v>281</v>
      </c>
      <c r="D519" s="85">
        <v>58309</v>
      </c>
      <c r="E519" s="85">
        <v>8254577</v>
      </c>
      <c r="F519" s="86">
        <v>356795</v>
      </c>
      <c r="G519" s="87">
        <v>4.3223899000000001</v>
      </c>
    </row>
    <row r="520" spans="1:7" x14ac:dyDescent="0.25">
      <c r="A520" s="84" t="s">
        <v>952</v>
      </c>
      <c r="B520" s="84" t="s">
        <v>45</v>
      </c>
      <c r="C520" s="84" t="s">
        <v>278</v>
      </c>
      <c r="D520" s="85">
        <v>165763</v>
      </c>
      <c r="E520" s="85">
        <v>5116478</v>
      </c>
      <c r="F520" s="86">
        <v>501279</v>
      </c>
      <c r="G520" s="87">
        <v>9.797345</v>
      </c>
    </row>
    <row r="521" spans="1:7" x14ac:dyDescent="0.25">
      <c r="A521" s="84" t="s">
        <v>953</v>
      </c>
      <c r="B521" s="84" t="s">
        <v>45</v>
      </c>
      <c r="C521" s="84" t="s">
        <v>278</v>
      </c>
      <c r="D521" s="85">
        <v>533117</v>
      </c>
      <c r="E521" s="85">
        <v>16807541</v>
      </c>
      <c r="F521" s="86">
        <v>1536018</v>
      </c>
      <c r="G521" s="87">
        <v>9.1388621000000008</v>
      </c>
    </row>
    <row r="522" spans="1:7" x14ac:dyDescent="0.25">
      <c r="A522" s="84" t="s">
        <v>954</v>
      </c>
      <c r="B522" s="84" t="s">
        <v>45</v>
      </c>
      <c r="C522" s="84" t="s">
        <v>281</v>
      </c>
      <c r="D522" s="85">
        <v>17397</v>
      </c>
      <c r="E522" s="85">
        <v>237899</v>
      </c>
      <c r="F522" s="86">
        <v>26181</v>
      </c>
      <c r="G522" s="87">
        <v>11.005089999999999</v>
      </c>
    </row>
    <row r="523" spans="1:7" x14ac:dyDescent="0.25">
      <c r="A523" s="84" t="s">
        <v>955</v>
      </c>
      <c r="B523" s="84" t="s">
        <v>45</v>
      </c>
      <c r="C523" s="84" t="s">
        <v>278</v>
      </c>
      <c r="D523" s="85">
        <v>421842</v>
      </c>
      <c r="E523" s="85">
        <v>11008049</v>
      </c>
      <c r="F523" s="86">
        <v>1093999.7</v>
      </c>
      <c r="G523" s="87">
        <v>9.9381798000000003</v>
      </c>
    </row>
    <row r="524" spans="1:7" x14ac:dyDescent="0.25">
      <c r="A524" s="84" t="s">
        <v>956</v>
      </c>
      <c r="B524" s="84" t="s">
        <v>45</v>
      </c>
      <c r="C524" s="84" t="s">
        <v>283</v>
      </c>
      <c r="D524" s="85">
        <v>8356</v>
      </c>
      <c r="E524" s="85">
        <v>241249</v>
      </c>
      <c r="F524" s="86">
        <v>24258</v>
      </c>
      <c r="G524" s="87">
        <v>10.055171</v>
      </c>
    </row>
    <row r="525" spans="1:7" x14ac:dyDescent="0.25">
      <c r="A525" s="84" t="s">
        <v>957</v>
      </c>
      <c r="B525" s="84" t="s">
        <v>45</v>
      </c>
      <c r="C525" s="84" t="s">
        <v>281</v>
      </c>
      <c r="D525" s="85">
        <v>30178</v>
      </c>
      <c r="E525" s="85">
        <v>431674</v>
      </c>
      <c r="F525" s="86">
        <v>51575</v>
      </c>
      <c r="G525" s="87">
        <v>11.947673</v>
      </c>
    </row>
    <row r="526" spans="1:7" x14ac:dyDescent="0.25">
      <c r="A526" s="84" t="s">
        <v>958</v>
      </c>
      <c r="B526" s="84" t="s">
        <v>45</v>
      </c>
      <c r="C526" s="84" t="s">
        <v>281</v>
      </c>
      <c r="D526" s="85">
        <v>35939</v>
      </c>
      <c r="E526" s="85">
        <v>705265</v>
      </c>
      <c r="F526" s="86">
        <v>66889</v>
      </c>
      <c r="G526" s="87">
        <v>9.4842364000000003</v>
      </c>
    </row>
    <row r="527" spans="1:7" x14ac:dyDescent="0.25">
      <c r="A527" s="84" t="s">
        <v>959</v>
      </c>
      <c r="B527" s="84" t="s">
        <v>45</v>
      </c>
      <c r="C527" s="84" t="s">
        <v>281</v>
      </c>
      <c r="D527" s="85">
        <v>63141</v>
      </c>
      <c r="E527" s="85">
        <v>2307841</v>
      </c>
      <c r="F527" s="86">
        <v>158700</v>
      </c>
      <c r="G527" s="87">
        <v>6.8765568999999998</v>
      </c>
    </row>
    <row r="528" spans="1:7" x14ac:dyDescent="0.25">
      <c r="A528" s="84" t="s">
        <v>960</v>
      </c>
      <c r="B528" s="84" t="s">
        <v>45</v>
      </c>
      <c r="C528" s="84" t="s">
        <v>281</v>
      </c>
      <c r="D528" s="85">
        <v>44827</v>
      </c>
      <c r="E528" s="85">
        <v>1154699</v>
      </c>
      <c r="F528" s="86">
        <v>119931</v>
      </c>
      <c r="G528" s="87">
        <v>10.386343</v>
      </c>
    </row>
    <row r="529" spans="1:7" x14ac:dyDescent="0.25">
      <c r="A529" s="84" t="s">
        <v>961</v>
      </c>
      <c r="B529" s="84" t="s">
        <v>45</v>
      </c>
      <c r="C529" s="84" t="s">
        <v>281</v>
      </c>
      <c r="D529" s="85">
        <v>53975</v>
      </c>
      <c r="E529" s="85">
        <v>1183288</v>
      </c>
      <c r="F529" s="86">
        <v>97406</v>
      </c>
      <c r="G529" s="87">
        <v>8.2318083000000009</v>
      </c>
    </row>
    <row r="530" spans="1:7" x14ac:dyDescent="0.25">
      <c r="A530" s="84" t="s">
        <v>962</v>
      </c>
      <c r="B530" s="84" t="s">
        <v>45</v>
      </c>
      <c r="C530" s="84" t="s">
        <v>281</v>
      </c>
      <c r="D530" s="85">
        <v>16931</v>
      </c>
      <c r="E530" s="85">
        <v>474097</v>
      </c>
      <c r="F530" s="86">
        <v>41797</v>
      </c>
      <c r="G530" s="87">
        <v>8.8161283000000008</v>
      </c>
    </row>
    <row r="531" spans="1:7" x14ac:dyDescent="0.25">
      <c r="A531" s="84" t="s">
        <v>2384</v>
      </c>
      <c r="B531" s="84" t="s">
        <v>45</v>
      </c>
      <c r="C531" s="84" t="s">
        <v>281</v>
      </c>
      <c r="D531" s="85">
        <v>68586</v>
      </c>
      <c r="E531" s="85">
        <v>1214163</v>
      </c>
      <c r="F531" s="86">
        <v>115614</v>
      </c>
      <c r="G531" s="87">
        <v>9.5221152</v>
      </c>
    </row>
    <row r="532" spans="1:7" x14ac:dyDescent="0.25">
      <c r="A532" s="84" t="s">
        <v>964</v>
      </c>
      <c r="B532" s="84" t="s">
        <v>45</v>
      </c>
      <c r="C532" s="84" t="s">
        <v>281</v>
      </c>
      <c r="D532" s="85">
        <v>27070</v>
      </c>
      <c r="E532" s="85">
        <v>547771</v>
      </c>
      <c r="F532" s="86">
        <v>43280</v>
      </c>
      <c r="G532" s="87">
        <v>7.9011120000000004</v>
      </c>
    </row>
    <row r="533" spans="1:7" x14ac:dyDescent="0.25">
      <c r="A533" s="84" t="s">
        <v>350</v>
      </c>
      <c r="B533" s="84" t="s">
        <v>45</v>
      </c>
      <c r="C533" s="84" t="s">
        <v>351</v>
      </c>
      <c r="D533" s="85">
        <v>17</v>
      </c>
      <c r="E533" s="85">
        <v>3368149</v>
      </c>
      <c r="F533" s="86">
        <v>137373.4</v>
      </c>
      <c r="G533" s="87">
        <v>4.0786021999999997</v>
      </c>
    </row>
    <row r="534" spans="1:7" x14ac:dyDescent="0.25">
      <c r="A534" s="84" t="s">
        <v>2385</v>
      </c>
      <c r="B534" s="84" t="s">
        <v>45</v>
      </c>
      <c r="C534" s="84" t="s">
        <v>281</v>
      </c>
      <c r="D534" s="85">
        <v>25204</v>
      </c>
      <c r="E534" s="85">
        <v>599261</v>
      </c>
      <c r="F534" s="86">
        <v>59972</v>
      </c>
      <c r="G534" s="87">
        <v>10.007659</v>
      </c>
    </row>
    <row r="535" spans="1:7" x14ac:dyDescent="0.25">
      <c r="A535" s="84" t="s">
        <v>965</v>
      </c>
      <c r="B535" s="84" t="s">
        <v>45</v>
      </c>
      <c r="C535" s="84" t="s">
        <v>281</v>
      </c>
      <c r="D535" s="85">
        <v>69149</v>
      </c>
      <c r="E535" s="85">
        <v>2043603</v>
      </c>
      <c r="F535" s="86">
        <v>182433</v>
      </c>
      <c r="G535" s="87">
        <v>8.9270274000000001</v>
      </c>
    </row>
    <row r="536" spans="1:7" x14ac:dyDescent="0.25">
      <c r="A536" s="84" t="s">
        <v>966</v>
      </c>
      <c r="B536" s="84" t="s">
        <v>45</v>
      </c>
      <c r="C536" s="84" t="s">
        <v>281</v>
      </c>
      <c r="D536" s="85">
        <v>39090</v>
      </c>
      <c r="E536" s="85">
        <v>661973</v>
      </c>
      <c r="F536" s="86">
        <v>77426</v>
      </c>
      <c r="G536" s="87">
        <v>11.696247</v>
      </c>
    </row>
    <row r="537" spans="1:7" x14ac:dyDescent="0.25">
      <c r="A537" s="84" t="s">
        <v>967</v>
      </c>
      <c r="B537" s="84" t="s">
        <v>48</v>
      </c>
      <c r="C537" s="84" t="s">
        <v>281</v>
      </c>
      <c r="D537" s="85">
        <v>43461</v>
      </c>
      <c r="E537" s="85">
        <v>1268527</v>
      </c>
      <c r="F537" s="86">
        <v>104671</v>
      </c>
      <c r="G537" s="87">
        <v>8.2513813000000003</v>
      </c>
    </row>
    <row r="538" spans="1:7" x14ac:dyDescent="0.25">
      <c r="A538" s="84" t="s">
        <v>969</v>
      </c>
      <c r="B538" s="84" t="s">
        <v>48</v>
      </c>
      <c r="C538" s="84" t="s">
        <v>283</v>
      </c>
      <c r="D538" s="85">
        <v>23931</v>
      </c>
      <c r="E538" s="85">
        <v>645218</v>
      </c>
      <c r="F538" s="86">
        <v>59284</v>
      </c>
      <c r="G538" s="87">
        <v>9.1882123999999994</v>
      </c>
    </row>
    <row r="539" spans="1:7" x14ac:dyDescent="0.25">
      <c r="A539" s="84" t="s">
        <v>970</v>
      </c>
      <c r="B539" s="84" t="s">
        <v>48</v>
      </c>
      <c r="C539" s="84" t="s">
        <v>283</v>
      </c>
      <c r="D539" s="85">
        <v>69366</v>
      </c>
      <c r="E539" s="85">
        <v>1917039</v>
      </c>
      <c r="F539" s="86">
        <v>162996</v>
      </c>
      <c r="G539" s="87">
        <v>8.5024873999999997</v>
      </c>
    </row>
    <row r="540" spans="1:7" x14ac:dyDescent="0.25">
      <c r="A540" s="84" t="s">
        <v>972</v>
      </c>
      <c r="B540" s="84" t="s">
        <v>48</v>
      </c>
      <c r="C540" s="84" t="s">
        <v>283</v>
      </c>
      <c r="D540" s="85">
        <v>8600</v>
      </c>
      <c r="E540" s="85">
        <v>271848</v>
      </c>
      <c r="F540" s="86">
        <v>18942.900000000001</v>
      </c>
      <c r="G540" s="87">
        <v>6.9681955000000002</v>
      </c>
    </row>
    <row r="541" spans="1:7" x14ac:dyDescent="0.25">
      <c r="A541" s="84" t="s">
        <v>973</v>
      </c>
      <c r="B541" s="84" t="s">
        <v>48</v>
      </c>
      <c r="C541" s="84" t="s">
        <v>283</v>
      </c>
      <c r="D541" s="85">
        <v>10959</v>
      </c>
      <c r="E541" s="85">
        <v>246042</v>
      </c>
      <c r="F541" s="86">
        <v>10494</v>
      </c>
      <c r="G541" s="87">
        <v>4.2651254999999999</v>
      </c>
    </row>
    <row r="542" spans="1:7" x14ac:dyDescent="0.25">
      <c r="A542" s="84" t="s">
        <v>974</v>
      </c>
      <c r="B542" s="84" t="s">
        <v>48</v>
      </c>
      <c r="C542" s="84" t="s">
        <v>281</v>
      </c>
      <c r="D542" s="85">
        <v>23888</v>
      </c>
      <c r="E542" s="85">
        <v>598333</v>
      </c>
      <c r="F542" s="86">
        <v>51492.6</v>
      </c>
      <c r="G542" s="87">
        <v>8.6060104000000006</v>
      </c>
    </row>
    <row r="543" spans="1:7" x14ac:dyDescent="0.25">
      <c r="A543" s="84" t="s">
        <v>975</v>
      </c>
      <c r="B543" s="84" t="s">
        <v>48</v>
      </c>
      <c r="C543" s="84" t="s">
        <v>278</v>
      </c>
      <c r="D543" s="85">
        <v>290021</v>
      </c>
      <c r="E543" s="85">
        <v>8258863</v>
      </c>
      <c r="F543" s="86">
        <v>814673</v>
      </c>
      <c r="G543" s="87">
        <v>9.8642271000000008</v>
      </c>
    </row>
    <row r="544" spans="1:7" x14ac:dyDescent="0.25">
      <c r="A544" s="84" t="s">
        <v>976</v>
      </c>
      <c r="B544" s="84" t="s">
        <v>48</v>
      </c>
      <c r="C544" s="84" t="s">
        <v>281</v>
      </c>
      <c r="D544" s="85">
        <v>13747</v>
      </c>
      <c r="E544" s="85">
        <v>191576</v>
      </c>
      <c r="F544" s="86">
        <v>21164</v>
      </c>
      <c r="G544" s="87">
        <v>11.047313000000001</v>
      </c>
    </row>
    <row r="545" spans="1:7" x14ac:dyDescent="0.25">
      <c r="A545" s="84" t="s">
        <v>977</v>
      </c>
      <c r="B545" s="84" t="s">
        <v>48</v>
      </c>
      <c r="C545" s="84" t="s">
        <v>281</v>
      </c>
      <c r="D545" s="85">
        <v>113371</v>
      </c>
      <c r="E545" s="85">
        <v>2096928</v>
      </c>
      <c r="F545" s="86">
        <v>197125</v>
      </c>
      <c r="G545" s="87">
        <v>9.4006565999999996</v>
      </c>
    </row>
    <row r="546" spans="1:7" x14ac:dyDescent="0.25">
      <c r="A546" s="84" t="s">
        <v>978</v>
      </c>
      <c r="B546" s="84" t="s">
        <v>48</v>
      </c>
      <c r="C546" s="84" t="s">
        <v>278</v>
      </c>
      <c r="D546" s="85">
        <v>1098249</v>
      </c>
      <c r="E546" s="85">
        <v>53896350</v>
      </c>
      <c r="F546" s="86">
        <v>3515860.3</v>
      </c>
      <c r="G546" s="87">
        <v>6.5233736999999996</v>
      </c>
    </row>
    <row r="547" spans="1:7" x14ac:dyDescent="0.25">
      <c r="A547" s="84" t="s">
        <v>979</v>
      </c>
      <c r="B547" s="84" t="s">
        <v>48</v>
      </c>
      <c r="C547" s="84" t="s">
        <v>278</v>
      </c>
      <c r="D547" s="85">
        <v>206965</v>
      </c>
      <c r="E547" s="85">
        <v>5449556</v>
      </c>
      <c r="F547" s="86">
        <v>491129.3</v>
      </c>
      <c r="G547" s="87">
        <v>9.0122809999999998</v>
      </c>
    </row>
    <row r="548" spans="1:7" x14ac:dyDescent="0.25">
      <c r="A548" s="84" t="s">
        <v>980</v>
      </c>
      <c r="B548" s="84" t="s">
        <v>48</v>
      </c>
      <c r="C548" s="84" t="s">
        <v>281</v>
      </c>
      <c r="D548" s="85">
        <v>10185</v>
      </c>
      <c r="E548" s="85">
        <v>234564</v>
      </c>
      <c r="F548" s="86">
        <v>23052</v>
      </c>
      <c r="G548" s="87">
        <v>9.8275950000000005</v>
      </c>
    </row>
    <row r="549" spans="1:7" x14ac:dyDescent="0.25">
      <c r="A549" s="84" t="s">
        <v>982</v>
      </c>
      <c r="B549" s="84" t="s">
        <v>48</v>
      </c>
      <c r="C549" s="84" t="s">
        <v>281</v>
      </c>
      <c r="D549" s="85">
        <v>17345</v>
      </c>
      <c r="E549" s="85">
        <v>267038</v>
      </c>
      <c r="F549" s="86">
        <v>24157</v>
      </c>
      <c r="G549" s="87">
        <v>9.0462781000000003</v>
      </c>
    </row>
    <row r="550" spans="1:7" x14ac:dyDescent="0.25">
      <c r="A550" s="84" t="s">
        <v>983</v>
      </c>
      <c r="B550" s="84" t="s">
        <v>48</v>
      </c>
      <c r="C550" s="84" t="s">
        <v>281</v>
      </c>
      <c r="D550" s="85">
        <v>9342</v>
      </c>
      <c r="E550" s="85">
        <v>178532</v>
      </c>
      <c r="F550" s="86">
        <v>15198.8</v>
      </c>
      <c r="G550" s="87">
        <v>8.5132077000000006</v>
      </c>
    </row>
    <row r="551" spans="1:7" x14ac:dyDescent="0.25">
      <c r="A551" s="84" t="s">
        <v>984</v>
      </c>
      <c r="B551" s="84" t="s">
        <v>48</v>
      </c>
      <c r="C551" s="84" t="s">
        <v>281</v>
      </c>
      <c r="D551" s="85">
        <v>10468</v>
      </c>
      <c r="E551" s="85">
        <v>214077</v>
      </c>
      <c r="F551" s="86">
        <v>21920</v>
      </c>
      <c r="G551" s="87">
        <v>10.239305999999999</v>
      </c>
    </row>
    <row r="552" spans="1:7" x14ac:dyDescent="0.25">
      <c r="A552" s="84" t="s">
        <v>985</v>
      </c>
      <c r="B552" s="84" t="s">
        <v>48</v>
      </c>
      <c r="C552" s="84" t="s">
        <v>281</v>
      </c>
      <c r="D552" s="85">
        <v>21727</v>
      </c>
      <c r="E552" s="85">
        <v>511072</v>
      </c>
      <c r="F552" s="86">
        <v>47931</v>
      </c>
      <c r="G552" s="87">
        <v>9.3785220000000002</v>
      </c>
    </row>
    <row r="553" spans="1:7" x14ac:dyDescent="0.25">
      <c r="A553" s="84" t="s">
        <v>986</v>
      </c>
      <c r="B553" s="84" t="s">
        <v>48</v>
      </c>
      <c r="C553" s="84" t="s">
        <v>281</v>
      </c>
      <c r="D553" s="85">
        <v>111131</v>
      </c>
      <c r="E553" s="85">
        <v>2346754</v>
      </c>
      <c r="F553" s="86">
        <v>217062</v>
      </c>
      <c r="G553" s="87">
        <v>9.2494569000000002</v>
      </c>
    </row>
    <row r="554" spans="1:7" x14ac:dyDescent="0.25">
      <c r="A554" s="84" t="s">
        <v>382</v>
      </c>
      <c r="B554" s="84" t="s">
        <v>48</v>
      </c>
      <c r="C554" s="84" t="s">
        <v>278</v>
      </c>
      <c r="D554" s="85">
        <v>232814</v>
      </c>
      <c r="E554" s="85">
        <v>6075106</v>
      </c>
      <c r="F554" s="86">
        <v>583476.1</v>
      </c>
      <c r="G554" s="87">
        <v>9.6043772999999995</v>
      </c>
    </row>
    <row r="555" spans="1:7" x14ac:dyDescent="0.25">
      <c r="A555" s="84" t="s">
        <v>409</v>
      </c>
      <c r="B555" s="84" t="s">
        <v>48</v>
      </c>
      <c r="C555" s="84" t="s">
        <v>392</v>
      </c>
      <c r="D555" s="85">
        <v>66</v>
      </c>
      <c r="E555" s="85">
        <v>514</v>
      </c>
      <c r="F555" s="86">
        <v>38</v>
      </c>
      <c r="G555" s="87">
        <v>7.3929961000000004</v>
      </c>
    </row>
    <row r="556" spans="1:7" x14ac:dyDescent="0.25">
      <c r="A556" s="84" t="s">
        <v>414</v>
      </c>
      <c r="B556" s="84" t="s">
        <v>48</v>
      </c>
      <c r="C556" s="84" t="s">
        <v>392</v>
      </c>
      <c r="D556" s="85">
        <v>28</v>
      </c>
      <c r="E556" s="85">
        <v>167</v>
      </c>
      <c r="F556" s="86">
        <v>27.7</v>
      </c>
      <c r="G556" s="87">
        <v>16.586825999999999</v>
      </c>
    </row>
    <row r="557" spans="1:7" x14ac:dyDescent="0.25">
      <c r="A557" s="84" t="s">
        <v>987</v>
      </c>
      <c r="B557" s="84" t="s">
        <v>48</v>
      </c>
      <c r="C557" s="84" t="s">
        <v>283</v>
      </c>
      <c r="D557" s="85">
        <v>13935</v>
      </c>
      <c r="E557" s="85">
        <v>338204</v>
      </c>
      <c r="F557" s="86">
        <v>26019</v>
      </c>
      <c r="G557" s="87">
        <v>7.6932856999999997</v>
      </c>
    </row>
    <row r="558" spans="1:7" x14ac:dyDescent="0.25">
      <c r="A558" s="84" t="s">
        <v>988</v>
      </c>
      <c r="B558" s="84" t="s">
        <v>48</v>
      </c>
      <c r="C558" s="84" t="s">
        <v>385</v>
      </c>
      <c r="D558" s="85">
        <v>3</v>
      </c>
      <c r="E558" s="85">
        <v>2189098</v>
      </c>
      <c r="F558" s="86">
        <v>104679</v>
      </c>
      <c r="G558" s="87">
        <v>4.7818325000000002</v>
      </c>
    </row>
    <row r="559" spans="1:7" x14ac:dyDescent="0.25">
      <c r="A559" s="84" t="s">
        <v>989</v>
      </c>
      <c r="B559" s="84" t="s">
        <v>48</v>
      </c>
      <c r="C559" s="84" t="s">
        <v>281</v>
      </c>
      <c r="D559" s="85">
        <v>53392</v>
      </c>
      <c r="E559" s="85">
        <v>980282</v>
      </c>
      <c r="F559" s="86">
        <v>88934.5</v>
      </c>
      <c r="G559" s="87">
        <v>9.0723383999999996</v>
      </c>
    </row>
    <row r="560" spans="1:7" x14ac:dyDescent="0.25">
      <c r="A560" s="84" t="s">
        <v>424</v>
      </c>
      <c r="B560" s="84" t="s">
        <v>56</v>
      </c>
      <c r="C560" s="84" t="s">
        <v>392</v>
      </c>
      <c r="D560" s="85">
        <v>6</v>
      </c>
      <c r="E560" s="85">
        <v>881</v>
      </c>
      <c r="F560" s="86">
        <v>122.4</v>
      </c>
      <c r="G560" s="87">
        <v>13.893303</v>
      </c>
    </row>
    <row r="561" spans="1:7" x14ac:dyDescent="0.25">
      <c r="A561" s="84" t="s">
        <v>990</v>
      </c>
      <c r="B561" s="84" t="s">
        <v>56</v>
      </c>
      <c r="C561" s="84" t="s">
        <v>283</v>
      </c>
      <c r="D561" s="85">
        <v>26383</v>
      </c>
      <c r="E561" s="85">
        <v>441639</v>
      </c>
      <c r="F561" s="86">
        <v>54167.1</v>
      </c>
      <c r="G561" s="87">
        <v>12.265017</v>
      </c>
    </row>
    <row r="562" spans="1:7" x14ac:dyDescent="0.25">
      <c r="A562" s="84" t="s">
        <v>992</v>
      </c>
      <c r="B562" s="84" t="s">
        <v>56</v>
      </c>
      <c r="C562" s="84" t="s">
        <v>283</v>
      </c>
      <c r="D562" s="85">
        <v>17752</v>
      </c>
      <c r="E562" s="85">
        <v>356827</v>
      </c>
      <c r="F562" s="86">
        <v>44816</v>
      </c>
      <c r="G562" s="87">
        <v>12.559588</v>
      </c>
    </row>
    <row r="563" spans="1:7" x14ac:dyDescent="0.25">
      <c r="A563" s="84" t="s">
        <v>994</v>
      </c>
      <c r="B563" s="84" t="s">
        <v>56</v>
      </c>
      <c r="C563" s="84" t="s">
        <v>283</v>
      </c>
      <c r="D563" s="85">
        <v>16184</v>
      </c>
      <c r="E563" s="85">
        <v>315196</v>
      </c>
      <c r="F563" s="86">
        <v>56448</v>
      </c>
      <c r="G563" s="87">
        <v>17.908857000000001</v>
      </c>
    </row>
    <row r="564" spans="1:7" x14ac:dyDescent="0.25">
      <c r="A564" s="84" t="s">
        <v>995</v>
      </c>
      <c r="B564" s="84" t="s">
        <v>56</v>
      </c>
      <c r="C564" s="84" t="s">
        <v>283</v>
      </c>
      <c r="D564" s="85">
        <v>26575</v>
      </c>
      <c r="E564" s="85">
        <v>465760</v>
      </c>
      <c r="F564" s="86">
        <v>51990.400000000001</v>
      </c>
      <c r="G564" s="87">
        <v>11.162487</v>
      </c>
    </row>
    <row r="565" spans="1:7" x14ac:dyDescent="0.25">
      <c r="A565" s="84" t="s">
        <v>996</v>
      </c>
      <c r="B565" s="84" t="s">
        <v>56</v>
      </c>
      <c r="C565" s="84" t="s">
        <v>283</v>
      </c>
      <c r="D565" s="85">
        <v>38393</v>
      </c>
      <c r="E565" s="85">
        <v>636298</v>
      </c>
      <c r="F565" s="86">
        <v>95533</v>
      </c>
      <c r="G565" s="87">
        <v>15.013877000000001</v>
      </c>
    </row>
    <row r="566" spans="1:7" x14ac:dyDescent="0.25">
      <c r="A566" s="84" t="s">
        <v>997</v>
      </c>
      <c r="B566" s="84" t="s">
        <v>56</v>
      </c>
      <c r="C566" s="84" t="s">
        <v>283</v>
      </c>
      <c r="D566" s="85">
        <v>18129</v>
      </c>
      <c r="E566" s="85">
        <v>354594</v>
      </c>
      <c r="F566" s="86">
        <v>50884</v>
      </c>
      <c r="G566" s="87">
        <v>14.349933</v>
      </c>
    </row>
    <row r="567" spans="1:7" x14ac:dyDescent="0.25">
      <c r="A567" s="84" t="s">
        <v>391</v>
      </c>
      <c r="B567" s="84" t="s">
        <v>56</v>
      </c>
      <c r="C567" s="84" t="s">
        <v>392</v>
      </c>
      <c r="D567" s="85">
        <v>3</v>
      </c>
      <c r="E567" s="85">
        <v>3611</v>
      </c>
      <c r="F567" s="86">
        <v>405.2</v>
      </c>
      <c r="G567" s="87">
        <v>11.221268</v>
      </c>
    </row>
    <row r="568" spans="1:7" x14ac:dyDescent="0.25">
      <c r="A568" s="84" t="s">
        <v>2386</v>
      </c>
      <c r="B568" s="84" t="s">
        <v>56</v>
      </c>
      <c r="C568" s="84" t="s">
        <v>278</v>
      </c>
      <c r="D568" s="85">
        <v>21511</v>
      </c>
      <c r="E568" s="85">
        <v>162643</v>
      </c>
      <c r="F568" s="86">
        <v>38223.300000000003</v>
      </c>
      <c r="G568" s="87">
        <v>23.501349999999999</v>
      </c>
    </row>
    <row r="569" spans="1:7" x14ac:dyDescent="0.25">
      <c r="A569" s="84" t="s">
        <v>400</v>
      </c>
      <c r="B569" s="84" t="s">
        <v>56</v>
      </c>
      <c r="C569" s="84" t="s">
        <v>392</v>
      </c>
      <c r="D569" s="85">
        <v>76</v>
      </c>
      <c r="E569" s="85">
        <v>401</v>
      </c>
      <c r="F569" s="86">
        <v>60.1</v>
      </c>
      <c r="G569" s="87">
        <v>14.987531000000001</v>
      </c>
    </row>
    <row r="570" spans="1:7" x14ac:dyDescent="0.25">
      <c r="A570" s="84" t="s">
        <v>2365</v>
      </c>
      <c r="B570" s="84" t="s">
        <v>56</v>
      </c>
      <c r="C570" s="84" t="s">
        <v>392</v>
      </c>
      <c r="D570" s="85">
        <v>2</v>
      </c>
      <c r="E570" s="85">
        <v>15758</v>
      </c>
      <c r="F570" s="86">
        <v>1077.4000000000001</v>
      </c>
      <c r="G570" s="87">
        <v>6.8371620999999996</v>
      </c>
    </row>
    <row r="571" spans="1:7" x14ac:dyDescent="0.25">
      <c r="A571" s="84" t="s">
        <v>401</v>
      </c>
      <c r="B571" s="84" t="s">
        <v>56</v>
      </c>
      <c r="C571" s="84" t="s">
        <v>392</v>
      </c>
      <c r="D571" s="85">
        <v>8</v>
      </c>
      <c r="E571" s="85">
        <v>4375</v>
      </c>
      <c r="F571" s="86">
        <v>747.6</v>
      </c>
      <c r="G571" s="87">
        <v>17.088000000000001</v>
      </c>
    </row>
    <row r="572" spans="1:7" x14ac:dyDescent="0.25">
      <c r="A572" s="84" t="s">
        <v>999</v>
      </c>
      <c r="B572" s="84" t="s">
        <v>56</v>
      </c>
      <c r="C572" s="84" t="s">
        <v>278</v>
      </c>
      <c r="D572" s="85">
        <v>689702</v>
      </c>
      <c r="E572" s="85">
        <v>5694934</v>
      </c>
      <c r="F572" s="86">
        <v>1197599.3999999999</v>
      </c>
      <c r="G572" s="87">
        <v>21.029205999999999</v>
      </c>
    </row>
    <row r="573" spans="1:7" x14ac:dyDescent="0.25">
      <c r="A573" s="84" t="s">
        <v>1000</v>
      </c>
      <c r="B573" s="84" t="s">
        <v>56</v>
      </c>
      <c r="C573" s="84" t="s">
        <v>278</v>
      </c>
      <c r="D573" s="85">
        <v>669580</v>
      </c>
      <c r="E573" s="85">
        <v>5750221</v>
      </c>
      <c r="F573" s="86">
        <v>1213341</v>
      </c>
      <c r="G573" s="87">
        <v>21.100771999999999</v>
      </c>
    </row>
    <row r="574" spans="1:7" x14ac:dyDescent="0.25">
      <c r="A574" s="84" t="s">
        <v>1001</v>
      </c>
      <c r="B574" s="84" t="s">
        <v>56</v>
      </c>
      <c r="C574" s="84" t="s">
        <v>278</v>
      </c>
      <c r="D574" s="85">
        <v>2291</v>
      </c>
      <c r="E574" s="85">
        <v>23365</v>
      </c>
      <c r="F574" s="86">
        <v>5560.4</v>
      </c>
      <c r="G574" s="87">
        <v>23.797988</v>
      </c>
    </row>
    <row r="575" spans="1:7" x14ac:dyDescent="0.25">
      <c r="A575" s="84" t="s">
        <v>408</v>
      </c>
      <c r="B575" s="84" t="s">
        <v>56</v>
      </c>
      <c r="C575" s="84" t="s">
        <v>392</v>
      </c>
      <c r="D575" s="85">
        <v>19271</v>
      </c>
      <c r="E575" s="85">
        <v>114037</v>
      </c>
      <c r="F575" s="86">
        <v>17293.5</v>
      </c>
      <c r="G575" s="87">
        <v>15.164815000000001</v>
      </c>
    </row>
    <row r="576" spans="1:7" x14ac:dyDescent="0.25">
      <c r="A576" s="84" t="s">
        <v>409</v>
      </c>
      <c r="B576" s="84" t="s">
        <v>56</v>
      </c>
      <c r="C576" s="84" t="s">
        <v>392</v>
      </c>
      <c r="D576" s="85">
        <v>878</v>
      </c>
      <c r="E576" s="85">
        <v>4930</v>
      </c>
      <c r="F576" s="86">
        <v>867</v>
      </c>
      <c r="G576" s="87">
        <v>17.586207000000002</v>
      </c>
    </row>
    <row r="577" spans="1:7" x14ac:dyDescent="0.25">
      <c r="A577" s="84" t="s">
        <v>413</v>
      </c>
      <c r="B577" s="84" t="s">
        <v>56</v>
      </c>
      <c r="C577" s="84" t="s">
        <v>392</v>
      </c>
      <c r="D577" s="85">
        <v>842</v>
      </c>
      <c r="E577" s="85">
        <v>5313</v>
      </c>
      <c r="F577" s="86">
        <v>977.2</v>
      </c>
      <c r="G577" s="87">
        <v>18.392621999999999</v>
      </c>
    </row>
    <row r="578" spans="1:7" x14ac:dyDescent="0.25">
      <c r="A578" s="84" t="s">
        <v>414</v>
      </c>
      <c r="B578" s="84" t="s">
        <v>56</v>
      </c>
      <c r="C578" s="84" t="s">
        <v>392</v>
      </c>
      <c r="D578" s="85">
        <v>6569</v>
      </c>
      <c r="E578" s="85">
        <v>45807</v>
      </c>
      <c r="F578" s="86">
        <v>8352.4</v>
      </c>
      <c r="G578" s="87">
        <v>18.233893999999999</v>
      </c>
    </row>
    <row r="579" spans="1:7" x14ac:dyDescent="0.25">
      <c r="A579" s="84" t="s">
        <v>415</v>
      </c>
      <c r="B579" s="84" t="s">
        <v>56</v>
      </c>
      <c r="C579" s="84" t="s">
        <v>392</v>
      </c>
      <c r="D579" s="85">
        <v>16072</v>
      </c>
      <c r="E579" s="85">
        <v>96206</v>
      </c>
      <c r="F579" s="86">
        <v>15755.6</v>
      </c>
      <c r="G579" s="87">
        <v>16.376940999999999</v>
      </c>
    </row>
    <row r="580" spans="1:7" x14ac:dyDescent="0.25">
      <c r="A580" s="84" t="s">
        <v>416</v>
      </c>
      <c r="B580" s="84" t="s">
        <v>56</v>
      </c>
      <c r="C580" s="84" t="s">
        <v>392</v>
      </c>
      <c r="D580" s="85">
        <v>25</v>
      </c>
      <c r="E580" s="85">
        <v>17413</v>
      </c>
      <c r="F580" s="86">
        <v>2212.4</v>
      </c>
      <c r="G580" s="87">
        <v>12.705450000000001</v>
      </c>
    </row>
    <row r="581" spans="1:7" x14ac:dyDescent="0.25">
      <c r="A581" s="84" t="s">
        <v>1003</v>
      </c>
      <c r="B581" s="84" t="s">
        <v>56</v>
      </c>
      <c r="C581" s="84" t="s">
        <v>283</v>
      </c>
      <c r="D581" s="85">
        <v>16766</v>
      </c>
      <c r="E581" s="85">
        <v>312638</v>
      </c>
      <c r="F581" s="86">
        <v>46389</v>
      </c>
      <c r="G581" s="87">
        <v>14.837928</v>
      </c>
    </row>
    <row r="582" spans="1:7" x14ac:dyDescent="0.25">
      <c r="A582" s="84" t="s">
        <v>1005</v>
      </c>
      <c r="B582" s="84" t="s">
        <v>56</v>
      </c>
      <c r="C582" s="84" t="s">
        <v>283</v>
      </c>
      <c r="D582" s="85">
        <v>13347</v>
      </c>
      <c r="E582" s="85">
        <v>284979</v>
      </c>
      <c r="F582" s="86">
        <v>38620.6</v>
      </c>
      <c r="G582" s="87">
        <v>13.552085999999999</v>
      </c>
    </row>
    <row r="583" spans="1:7" x14ac:dyDescent="0.25">
      <c r="A583" s="84" t="s">
        <v>1006</v>
      </c>
      <c r="B583" s="84" t="s">
        <v>56</v>
      </c>
      <c r="C583" s="84" t="s">
        <v>283</v>
      </c>
      <c r="D583" s="85">
        <v>13341</v>
      </c>
      <c r="E583" s="85">
        <v>220294</v>
      </c>
      <c r="F583" s="86">
        <v>25374.9</v>
      </c>
      <c r="G583" s="87">
        <v>11.518651999999999</v>
      </c>
    </row>
    <row r="584" spans="1:7" x14ac:dyDescent="0.25">
      <c r="A584" s="84" t="s">
        <v>1008</v>
      </c>
      <c r="B584" s="84" t="s">
        <v>56</v>
      </c>
      <c r="C584" s="84" t="s">
        <v>283</v>
      </c>
      <c r="D584" s="85">
        <v>7496</v>
      </c>
      <c r="E584" s="85">
        <v>231892</v>
      </c>
      <c r="F584" s="86">
        <v>29310.5</v>
      </c>
      <c r="G584" s="87">
        <v>12.639720000000001</v>
      </c>
    </row>
    <row r="585" spans="1:7" x14ac:dyDescent="0.25">
      <c r="A585" s="84" t="s">
        <v>1009</v>
      </c>
      <c r="B585" s="84" t="s">
        <v>56</v>
      </c>
      <c r="C585" s="84" t="s">
        <v>283</v>
      </c>
      <c r="D585" s="85">
        <v>10362</v>
      </c>
      <c r="E585" s="85">
        <v>205578</v>
      </c>
      <c r="F585" s="86">
        <v>25590</v>
      </c>
      <c r="G585" s="87">
        <v>12.44783</v>
      </c>
    </row>
    <row r="586" spans="1:7" x14ac:dyDescent="0.25">
      <c r="A586" s="84" t="s">
        <v>1010</v>
      </c>
      <c r="B586" s="84" t="s">
        <v>56</v>
      </c>
      <c r="C586" s="84" t="s">
        <v>283</v>
      </c>
      <c r="D586" s="85">
        <v>17369</v>
      </c>
      <c r="E586" s="85">
        <v>276282</v>
      </c>
      <c r="F586" s="86">
        <v>38835</v>
      </c>
      <c r="G586" s="87">
        <v>14.056290000000001</v>
      </c>
    </row>
    <row r="587" spans="1:7" x14ac:dyDescent="0.25">
      <c r="A587" s="84" t="s">
        <v>1012</v>
      </c>
      <c r="B587" s="84" t="s">
        <v>56</v>
      </c>
      <c r="C587" s="84" t="s">
        <v>283</v>
      </c>
      <c r="D587" s="85">
        <v>13534</v>
      </c>
      <c r="E587" s="85">
        <v>209666</v>
      </c>
      <c r="F587" s="86">
        <v>31051</v>
      </c>
      <c r="G587" s="87">
        <v>14.809744999999999</v>
      </c>
    </row>
    <row r="588" spans="1:7" x14ac:dyDescent="0.25">
      <c r="A588" s="84" t="s">
        <v>1013</v>
      </c>
      <c r="B588" s="84" t="s">
        <v>56</v>
      </c>
      <c r="C588" s="84" t="s">
        <v>283</v>
      </c>
      <c r="D588" s="85">
        <v>29951</v>
      </c>
      <c r="E588" s="85">
        <v>647886</v>
      </c>
      <c r="F588" s="86">
        <v>84102</v>
      </c>
      <c r="G588" s="87">
        <v>12.980987000000001</v>
      </c>
    </row>
    <row r="589" spans="1:7" x14ac:dyDescent="0.25">
      <c r="A589" s="84" t="s">
        <v>1014</v>
      </c>
      <c r="B589" s="84" t="s">
        <v>56</v>
      </c>
      <c r="C589" s="84" t="s">
        <v>283</v>
      </c>
      <c r="D589" s="85">
        <v>16341</v>
      </c>
      <c r="E589" s="85">
        <v>277720</v>
      </c>
      <c r="F589" s="86">
        <v>32288</v>
      </c>
      <c r="G589" s="87">
        <v>11.626098000000001</v>
      </c>
    </row>
    <row r="590" spans="1:7" x14ac:dyDescent="0.25">
      <c r="A590" s="84" t="s">
        <v>1016</v>
      </c>
      <c r="B590" s="84" t="s">
        <v>56</v>
      </c>
      <c r="C590" s="84" t="s">
        <v>283</v>
      </c>
      <c r="D590" s="85">
        <v>3904</v>
      </c>
      <c r="E590" s="85">
        <v>62521</v>
      </c>
      <c r="F590" s="86">
        <v>9165</v>
      </c>
      <c r="G590" s="87">
        <v>14.659075</v>
      </c>
    </row>
    <row r="591" spans="1:7" x14ac:dyDescent="0.25">
      <c r="A591" s="84" t="s">
        <v>1018</v>
      </c>
      <c r="B591" s="84" t="s">
        <v>56</v>
      </c>
      <c r="C591" s="84" t="s">
        <v>283</v>
      </c>
      <c r="D591" s="85">
        <v>10141</v>
      </c>
      <c r="E591" s="85">
        <v>237361</v>
      </c>
      <c r="F591" s="86">
        <v>32807</v>
      </c>
      <c r="G591" s="87">
        <v>13.821562999999999</v>
      </c>
    </row>
    <row r="592" spans="1:7" x14ac:dyDescent="0.25">
      <c r="A592" s="84" t="s">
        <v>421</v>
      </c>
      <c r="B592" s="84" t="s">
        <v>56</v>
      </c>
      <c r="C592" s="84" t="s">
        <v>392</v>
      </c>
      <c r="D592" s="85">
        <v>20592</v>
      </c>
      <c r="E592" s="85">
        <v>115825</v>
      </c>
      <c r="F592" s="86">
        <v>16539.8</v>
      </c>
      <c r="G592" s="87">
        <v>14.279991000000001</v>
      </c>
    </row>
    <row r="593" spans="1:7" x14ac:dyDescent="0.25">
      <c r="A593" s="84" t="s">
        <v>1020</v>
      </c>
      <c r="B593" s="84" t="s">
        <v>53</v>
      </c>
      <c r="C593" s="84" t="s">
        <v>281</v>
      </c>
      <c r="D593" s="85">
        <v>313</v>
      </c>
      <c r="E593" s="85">
        <v>2619</v>
      </c>
      <c r="F593" s="86">
        <v>333</v>
      </c>
      <c r="G593" s="87">
        <v>12.714777</v>
      </c>
    </row>
    <row r="594" spans="1:7" x14ac:dyDescent="0.25">
      <c r="A594" s="84" t="s">
        <v>1021</v>
      </c>
      <c r="B594" s="84" t="s">
        <v>53</v>
      </c>
      <c r="C594" s="84" t="s">
        <v>278</v>
      </c>
      <c r="D594" s="85">
        <v>987982</v>
      </c>
      <c r="E594" s="85">
        <v>12382526</v>
      </c>
      <c r="F594" s="86">
        <v>1486227.6</v>
      </c>
      <c r="G594" s="87">
        <v>12.00262</v>
      </c>
    </row>
    <row r="595" spans="1:7" x14ac:dyDescent="0.25">
      <c r="A595" s="84" t="s">
        <v>2387</v>
      </c>
      <c r="B595" s="84" t="s">
        <v>53</v>
      </c>
      <c r="C595" s="84" t="s">
        <v>281</v>
      </c>
      <c r="D595" s="85">
        <v>55188</v>
      </c>
      <c r="E595" s="85">
        <v>979362</v>
      </c>
      <c r="F595" s="86">
        <v>133829.4</v>
      </c>
      <c r="G595" s="87">
        <v>13.664956999999999</v>
      </c>
    </row>
    <row r="596" spans="1:7" x14ac:dyDescent="0.25">
      <c r="A596" s="84" t="s">
        <v>391</v>
      </c>
      <c r="B596" s="84" t="s">
        <v>53</v>
      </c>
      <c r="C596" s="84" t="s">
        <v>392</v>
      </c>
      <c r="D596" s="85">
        <v>15</v>
      </c>
      <c r="E596" s="85">
        <v>14423</v>
      </c>
      <c r="F596" s="86">
        <v>1023.3</v>
      </c>
      <c r="G596" s="87">
        <v>7.0949178000000002</v>
      </c>
    </row>
    <row r="597" spans="1:7" x14ac:dyDescent="0.25">
      <c r="A597" s="84" t="s">
        <v>527</v>
      </c>
      <c r="B597" s="84" t="s">
        <v>53</v>
      </c>
      <c r="C597" s="84" t="s">
        <v>278</v>
      </c>
      <c r="D597" s="85">
        <v>175771</v>
      </c>
      <c r="E597" s="85">
        <v>2221627</v>
      </c>
      <c r="F597" s="86">
        <v>320570.90000000002</v>
      </c>
      <c r="G597" s="87">
        <v>14.429555000000001</v>
      </c>
    </row>
    <row r="598" spans="1:7" x14ac:dyDescent="0.25">
      <c r="A598" s="84" t="s">
        <v>1023</v>
      </c>
      <c r="B598" s="84" t="s">
        <v>53</v>
      </c>
      <c r="C598" s="84" t="s">
        <v>283</v>
      </c>
      <c r="D598" s="85">
        <v>10849</v>
      </c>
      <c r="E598" s="85">
        <v>237106</v>
      </c>
      <c r="F598" s="86">
        <v>23505.8</v>
      </c>
      <c r="G598" s="87">
        <v>9.9136251000000009</v>
      </c>
    </row>
    <row r="599" spans="1:7" x14ac:dyDescent="0.25">
      <c r="A599" s="84" t="s">
        <v>400</v>
      </c>
      <c r="B599" s="84" t="s">
        <v>53</v>
      </c>
      <c r="C599" s="84" t="s">
        <v>392</v>
      </c>
      <c r="D599" s="85">
        <v>40</v>
      </c>
      <c r="E599" s="85">
        <v>469</v>
      </c>
      <c r="F599" s="86">
        <v>55.2</v>
      </c>
      <c r="G599" s="87">
        <v>11.769723000000001</v>
      </c>
    </row>
    <row r="600" spans="1:7" x14ac:dyDescent="0.25">
      <c r="A600" s="84" t="s">
        <v>2365</v>
      </c>
      <c r="B600" s="84" t="s">
        <v>53</v>
      </c>
      <c r="C600" s="84" t="s">
        <v>392</v>
      </c>
      <c r="D600" s="85">
        <v>1</v>
      </c>
      <c r="E600" s="85">
        <v>3781</v>
      </c>
      <c r="F600" s="86">
        <v>316</v>
      </c>
      <c r="G600" s="87">
        <v>8.3575774000000003</v>
      </c>
    </row>
    <row r="601" spans="1:7" x14ac:dyDescent="0.25">
      <c r="A601" s="84" t="s">
        <v>1024</v>
      </c>
      <c r="B601" s="84" t="s">
        <v>53</v>
      </c>
      <c r="C601" s="84" t="s">
        <v>283</v>
      </c>
      <c r="D601" s="85">
        <v>17521</v>
      </c>
      <c r="E601" s="85">
        <v>301778</v>
      </c>
      <c r="F601" s="86">
        <v>23405.7</v>
      </c>
      <c r="G601" s="87">
        <v>7.7559332000000003</v>
      </c>
    </row>
    <row r="602" spans="1:7" x14ac:dyDescent="0.25">
      <c r="A602" s="84" t="s">
        <v>401</v>
      </c>
      <c r="B602" s="84" t="s">
        <v>53</v>
      </c>
      <c r="C602" s="84" t="s">
        <v>392</v>
      </c>
      <c r="D602" s="85">
        <v>28</v>
      </c>
      <c r="E602" s="85">
        <v>7300</v>
      </c>
      <c r="F602" s="86">
        <v>875.5</v>
      </c>
      <c r="G602" s="87">
        <v>11.993150999999999</v>
      </c>
    </row>
    <row r="603" spans="1:7" x14ac:dyDescent="0.25">
      <c r="A603" s="84" t="s">
        <v>521</v>
      </c>
      <c r="B603" s="84" t="s">
        <v>53</v>
      </c>
      <c r="C603" s="84" t="s">
        <v>278</v>
      </c>
      <c r="D603" s="85">
        <v>465919</v>
      </c>
      <c r="E603" s="85">
        <v>5822484</v>
      </c>
      <c r="F603" s="86">
        <v>805197.5</v>
      </c>
      <c r="G603" s="87">
        <v>13.829105999999999</v>
      </c>
    </row>
    <row r="604" spans="1:7" x14ac:dyDescent="0.25">
      <c r="A604" s="84" t="s">
        <v>408</v>
      </c>
      <c r="B604" s="84" t="s">
        <v>53</v>
      </c>
      <c r="C604" s="84" t="s">
        <v>392</v>
      </c>
      <c r="D604" s="85">
        <v>27133</v>
      </c>
      <c r="E604" s="85">
        <v>243243</v>
      </c>
      <c r="F604" s="86">
        <v>32891.1</v>
      </c>
      <c r="G604" s="87">
        <v>13.52191</v>
      </c>
    </row>
    <row r="605" spans="1:7" x14ac:dyDescent="0.25">
      <c r="A605" s="84" t="s">
        <v>1025</v>
      </c>
      <c r="B605" s="84" t="s">
        <v>53</v>
      </c>
      <c r="C605" s="84" t="s">
        <v>281</v>
      </c>
      <c r="D605" s="85">
        <v>164316</v>
      </c>
      <c r="E605" s="85">
        <v>3241824</v>
      </c>
      <c r="F605" s="86">
        <v>358871.8</v>
      </c>
      <c r="G605" s="87">
        <v>11.070058</v>
      </c>
    </row>
    <row r="606" spans="1:7" x14ac:dyDescent="0.25">
      <c r="A606" s="84" t="s">
        <v>409</v>
      </c>
      <c r="B606" s="84" t="s">
        <v>53</v>
      </c>
      <c r="C606" s="84" t="s">
        <v>392</v>
      </c>
      <c r="D606" s="85">
        <v>218</v>
      </c>
      <c r="E606" s="85">
        <v>1586</v>
      </c>
      <c r="F606" s="86">
        <v>210</v>
      </c>
      <c r="G606" s="87">
        <v>13.240857999999999</v>
      </c>
    </row>
    <row r="607" spans="1:7" x14ac:dyDescent="0.25">
      <c r="A607" s="84" t="s">
        <v>414</v>
      </c>
      <c r="B607" s="84" t="s">
        <v>53</v>
      </c>
      <c r="C607" s="84" t="s">
        <v>392</v>
      </c>
      <c r="D607" s="85">
        <v>2693</v>
      </c>
      <c r="E607" s="85">
        <v>26183</v>
      </c>
      <c r="F607" s="86">
        <v>4220.8999999999996</v>
      </c>
      <c r="G607" s="87">
        <v>16.120764999999999</v>
      </c>
    </row>
    <row r="608" spans="1:7" x14ac:dyDescent="0.25">
      <c r="A608" s="84" t="s">
        <v>415</v>
      </c>
      <c r="B608" s="84" t="s">
        <v>53</v>
      </c>
      <c r="C608" s="84" t="s">
        <v>392</v>
      </c>
      <c r="D608" s="85">
        <v>10125</v>
      </c>
      <c r="E608" s="85">
        <v>87304</v>
      </c>
      <c r="F608" s="86">
        <v>12191</v>
      </c>
      <c r="G608" s="87">
        <v>13.963850000000001</v>
      </c>
    </row>
    <row r="609" spans="1:7" x14ac:dyDescent="0.25">
      <c r="A609" s="84" t="s">
        <v>416</v>
      </c>
      <c r="B609" s="84" t="s">
        <v>53</v>
      </c>
      <c r="C609" s="84" t="s">
        <v>392</v>
      </c>
      <c r="D609" s="85">
        <v>7</v>
      </c>
      <c r="E609" s="85">
        <v>3032</v>
      </c>
      <c r="F609" s="86">
        <v>230.4</v>
      </c>
      <c r="G609" s="87">
        <v>7.5989446000000003</v>
      </c>
    </row>
    <row r="610" spans="1:7" x14ac:dyDescent="0.25">
      <c r="A610" s="84" t="s">
        <v>2388</v>
      </c>
      <c r="B610" s="84" t="s">
        <v>53</v>
      </c>
      <c r="C610" s="84" t="s">
        <v>278</v>
      </c>
      <c r="D610" s="85">
        <v>236244</v>
      </c>
      <c r="E610" s="85">
        <v>3475341</v>
      </c>
      <c r="F610" s="86">
        <v>374635.4</v>
      </c>
      <c r="G610" s="87">
        <v>10.779817</v>
      </c>
    </row>
    <row r="611" spans="1:7" x14ac:dyDescent="0.25">
      <c r="A611" s="84" t="s">
        <v>421</v>
      </c>
      <c r="B611" s="84" t="s">
        <v>53</v>
      </c>
      <c r="C611" s="84" t="s">
        <v>392</v>
      </c>
      <c r="D611" s="85">
        <v>18581</v>
      </c>
      <c r="E611" s="85">
        <v>138824</v>
      </c>
      <c r="F611" s="86">
        <v>16074.3</v>
      </c>
      <c r="G611" s="87">
        <v>11.578906</v>
      </c>
    </row>
    <row r="612" spans="1:7" x14ac:dyDescent="0.25">
      <c r="A612" s="84" t="s">
        <v>1027</v>
      </c>
      <c r="B612" s="84" t="s">
        <v>51</v>
      </c>
      <c r="C612" s="84" t="s">
        <v>278</v>
      </c>
      <c r="D612" s="85">
        <v>545256</v>
      </c>
      <c r="E612" s="85">
        <v>4671939</v>
      </c>
      <c r="F612" s="86">
        <v>729045.6</v>
      </c>
      <c r="G612" s="87">
        <v>15.604775999999999</v>
      </c>
    </row>
    <row r="613" spans="1:7" x14ac:dyDescent="0.25">
      <c r="A613" s="84" t="s">
        <v>1028</v>
      </c>
      <c r="B613" s="84" t="s">
        <v>51</v>
      </c>
      <c r="C613" s="84" t="s">
        <v>281</v>
      </c>
      <c r="D613" s="85">
        <v>12788</v>
      </c>
      <c r="E613" s="85">
        <v>94634</v>
      </c>
      <c r="F613" s="86">
        <v>15394.4</v>
      </c>
      <c r="G613" s="87">
        <v>16.267303999999999</v>
      </c>
    </row>
    <row r="614" spans="1:7" x14ac:dyDescent="0.25">
      <c r="A614" s="84" t="s">
        <v>2365</v>
      </c>
      <c r="B614" s="84" t="s">
        <v>51</v>
      </c>
      <c r="C614" s="84" t="s">
        <v>392</v>
      </c>
      <c r="D614" s="85">
        <v>1</v>
      </c>
      <c r="E614" s="85">
        <v>2421</v>
      </c>
      <c r="F614" s="86">
        <v>209.2</v>
      </c>
      <c r="G614" s="87">
        <v>8.6410573999999993</v>
      </c>
    </row>
    <row r="615" spans="1:7" x14ac:dyDescent="0.25">
      <c r="A615" s="84" t="s">
        <v>1031</v>
      </c>
      <c r="B615" s="84" t="s">
        <v>51</v>
      </c>
      <c r="C615" s="84" t="s">
        <v>283</v>
      </c>
      <c r="D615" s="85">
        <v>5560</v>
      </c>
      <c r="E615" s="85">
        <v>75832</v>
      </c>
      <c r="F615" s="86">
        <v>8695</v>
      </c>
      <c r="G615" s="87">
        <v>11.466136000000001</v>
      </c>
    </row>
    <row r="616" spans="1:7" x14ac:dyDescent="0.25">
      <c r="A616" s="84" t="s">
        <v>408</v>
      </c>
      <c r="B616" s="84" t="s">
        <v>51</v>
      </c>
      <c r="C616" s="84" t="s">
        <v>392</v>
      </c>
      <c r="D616" s="85">
        <v>4</v>
      </c>
      <c r="E616" s="85">
        <v>1313</v>
      </c>
      <c r="F616" s="86">
        <v>154.19999999999999</v>
      </c>
      <c r="G616" s="87">
        <v>11.744097</v>
      </c>
    </row>
    <row r="617" spans="1:7" x14ac:dyDescent="0.25">
      <c r="A617" s="84" t="s">
        <v>1033</v>
      </c>
      <c r="B617" s="84" t="s">
        <v>51</v>
      </c>
      <c r="C617" s="84" t="s">
        <v>283</v>
      </c>
      <c r="D617" s="85">
        <v>2555</v>
      </c>
      <c r="E617" s="85">
        <v>26521</v>
      </c>
      <c r="F617" s="86">
        <v>3906</v>
      </c>
      <c r="G617" s="87">
        <v>14.727950999999999</v>
      </c>
    </row>
    <row r="618" spans="1:7" x14ac:dyDescent="0.25">
      <c r="A618" s="84" t="s">
        <v>2389</v>
      </c>
      <c r="B618" s="84" t="s">
        <v>51</v>
      </c>
      <c r="C618" s="84" t="s">
        <v>278</v>
      </c>
      <c r="D618" s="85">
        <v>149256</v>
      </c>
      <c r="E618" s="85">
        <v>1254824</v>
      </c>
      <c r="F618" s="86">
        <v>193350.39999999999</v>
      </c>
      <c r="G618" s="87">
        <v>15.408567</v>
      </c>
    </row>
    <row r="619" spans="1:7" x14ac:dyDescent="0.25">
      <c r="A619" s="84" t="s">
        <v>1034</v>
      </c>
      <c r="B619" s="84" t="s">
        <v>59</v>
      </c>
      <c r="C619" s="84" t="s">
        <v>281</v>
      </c>
      <c r="D619" s="85">
        <v>10208</v>
      </c>
      <c r="E619" s="85">
        <v>80410</v>
      </c>
      <c r="F619" s="86">
        <v>15351.5</v>
      </c>
      <c r="G619" s="87">
        <v>19.091531</v>
      </c>
    </row>
    <row r="620" spans="1:7" x14ac:dyDescent="0.25">
      <c r="A620" s="84" t="s">
        <v>1035</v>
      </c>
      <c r="B620" s="84" t="s">
        <v>59</v>
      </c>
      <c r="C620" s="84" t="s">
        <v>278</v>
      </c>
      <c r="D620" s="85">
        <v>16554</v>
      </c>
      <c r="E620" s="85">
        <v>360874</v>
      </c>
      <c r="F620" s="86">
        <v>34706.800000000003</v>
      </c>
      <c r="G620" s="87">
        <v>9.6174288000000008</v>
      </c>
    </row>
    <row r="621" spans="1:7" x14ac:dyDescent="0.25">
      <c r="A621" s="84" t="s">
        <v>1037</v>
      </c>
      <c r="B621" s="84" t="s">
        <v>59</v>
      </c>
      <c r="C621" s="84" t="s">
        <v>281</v>
      </c>
      <c r="D621" s="85">
        <v>36487</v>
      </c>
      <c r="E621" s="85">
        <v>403739</v>
      </c>
      <c r="F621" s="86">
        <v>51105</v>
      </c>
      <c r="G621" s="87">
        <v>12.65793</v>
      </c>
    </row>
    <row r="622" spans="1:7" x14ac:dyDescent="0.25">
      <c r="A622" s="84" t="s">
        <v>1038</v>
      </c>
      <c r="B622" s="84" t="s">
        <v>59</v>
      </c>
      <c r="C622" s="84" t="s">
        <v>283</v>
      </c>
      <c r="D622" s="85">
        <v>20159</v>
      </c>
      <c r="E622" s="85">
        <v>297744</v>
      </c>
      <c r="F622" s="86">
        <v>38226</v>
      </c>
      <c r="G622" s="87">
        <v>12.838545999999999</v>
      </c>
    </row>
    <row r="623" spans="1:7" x14ac:dyDescent="0.25">
      <c r="A623" s="84" t="s">
        <v>1039</v>
      </c>
      <c r="B623" s="84" t="s">
        <v>59</v>
      </c>
      <c r="C623" s="84" t="s">
        <v>283</v>
      </c>
      <c r="D623" s="85">
        <v>1603</v>
      </c>
      <c r="E623" s="85">
        <v>16285</v>
      </c>
      <c r="F623" s="86">
        <v>2470</v>
      </c>
      <c r="G623" s="87">
        <v>15.167332</v>
      </c>
    </row>
    <row r="624" spans="1:7" x14ac:dyDescent="0.25">
      <c r="A624" s="84" t="s">
        <v>1041</v>
      </c>
      <c r="B624" s="84" t="s">
        <v>59</v>
      </c>
      <c r="C624" s="84" t="s">
        <v>283</v>
      </c>
      <c r="D624" s="85">
        <v>2934</v>
      </c>
      <c r="E624" s="85">
        <v>30622</v>
      </c>
      <c r="F624" s="86">
        <v>3731.7</v>
      </c>
      <c r="G624" s="87">
        <v>12.186337</v>
      </c>
    </row>
    <row r="625" spans="1:7" x14ac:dyDescent="0.25">
      <c r="A625" s="84" t="s">
        <v>1042</v>
      </c>
      <c r="B625" s="84" t="s">
        <v>59</v>
      </c>
      <c r="C625" s="84" t="s">
        <v>283</v>
      </c>
      <c r="D625" s="85">
        <v>14642</v>
      </c>
      <c r="E625" s="85">
        <v>280904</v>
      </c>
      <c r="F625" s="86">
        <v>35424.1</v>
      </c>
      <c r="G625" s="87">
        <v>12.610749999999999</v>
      </c>
    </row>
    <row r="626" spans="1:7" x14ac:dyDescent="0.25">
      <c r="A626" s="84" t="s">
        <v>1043</v>
      </c>
      <c r="B626" s="84" t="s">
        <v>59</v>
      </c>
      <c r="C626" s="84" t="s">
        <v>283</v>
      </c>
      <c r="D626" s="85">
        <v>29423</v>
      </c>
      <c r="E626" s="85">
        <v>1053776</v>
      </c>
      <c r="F626" s="86">
        <v>101468</v>
      </c>
      <c r="G626" s="87">
        <v>9.6289914000000003</v>
      </c>
    </row>
    <row r="627" spans="1:7" x14ac:dyDescent="0.25">
      <c r="A627" s="84" t="s">
        <v>1044</v>
      </c>
      <c r="B627" s="84" t="s">
        <v>59</v>
      </c>
      <c r="C627" s="84" t="s">
        <v>283</v>
      </c>
      <c r="D627" s="85">
        <v>99274</v>
      </c>
      <c r="E627" s="85">
        <v>1979877</v>
      </c>
      <c r="F627" s="86">
        <v>281469</v>
      </c>
      <c r="G627" s="87">
        <v>14.216488999999999</v>
      </c>
    </row>
    <row r="628" spans="1:7" x14ac:dyDescent="0.25">
      <c r="A628" s="84" t="s">
        <v>1045</v>
      </c>
      <c r="B628" s="84" t="s">
        <v>59</v>
      </c>
      <c r="C628" s="84" t="s">
        <v>283</v>
      </c>
      <c r="D628" s="85">
        <v>17264</v>
      </c>
      <c r="E628" s="85">
        <v>274344</v>
      </c>
      <c r="F628" s="86">
        <v>40286.5</v>
      </c>
      <c r="G628" s="87">
        <v>14.684666</v>
      </c>
    </row>
    <row r="629" spans="1:7" x14ac:dyDescent="0.25">
      <c r="A629" s="84" t="s">
        <v>1047</v>
      </c>
      <c r="B629" s="84" t="s">
        <v>59</v>
      </c>
      <c r="C629" s="84" t="s">
        <v>283</v>
      </c>
      <c r="D629" s="85">
        <v>2250</v>
      </c>
      <c r="E629" s="85">
        <v>21007</v>
      </c>
      <c r="F629" s="86">
        <v>3164.5</v>
      </c>
      <c r="G629" s="87">
        <v>15.064026</v>
      </c>
    </row>
    <row r="630" spans="1:7" x14ac:dyDescent="0.25">
      <c r="A630" s="84" t="s">
        <v>1049</v>
      </c>
      <c r="B630" s="84" t="s">
        <v>59</v>
      </c>
      <c r="C630" s="84" t="s">
        <v>283</v>
      </c>
      <c r="D630" s="85">
        <v>2088</v>
      </c>
      <c r="E630" s="85">
        <v>23287</v>
      </c>
      <c r="F630" s="86">
        <v>3390.1</v>
      </c>
      <c r="G630" s="87">
        <v>14.557907999999999</v>
      </c>
    </row>
    <row r="631" spans="1:7" x14ac:dyDescent="0.25">
      <c r="A631" s="84" t="s">
        <v>1052</v>
      </c>
      <c r="B631" s="84" t="s">
        <v>59</v>
      </c>
      <c r="C631" s="84" t="s">
        <v>283</v>
      </c>
      <c r="D631" s="85">
        <v>7048</v>
      </c>
      <c r="E631" s="85">
        <v>205148</v>
      </c>
      <c r="F631" s="86">
        <v>25671</v>
      </c>
      <c r="G631" s="87">
        <v>12.513405000000001</v>
      </c>
    </row>
    <row r="632" spans="1:7" x14ac:dyDescent="0.25">
      <c r="A632" s="84" t="s">
        <v>1053</v>
      </c>
      <c r="B632" s="84" t="s">
        <v>59</v>
      </c>
      <c r="C632" s="84" t="s">
        <v>283</v>
      </c>
      <c r="D632" s="85">
        <v>12812</v>
      </c>
      <c r="E632" s="85">
        <v>316168</v>
      </c>
      <c r="F632" s="86">
        <v>29190</v>
      </c>
      <c r="G632" s="87">
        <v>9.2324333999999997</v>
      </c>
    </row>
    <row r="633" spans="1:7" x14ac:dyDescent="0.25">
      <c r="A633" s="84" t="s">
        <v>1054</v>
      </c>
      <c r="B633" s="84" t="s">
        <v>59</v>
      </c>
      <c r="C633" s="84" t="s">
        <v>283</v>
      </c>
      <c r="D633" s="85">
        <v>6857</v>
      </c>
      <c r="E633" s="85">
        <v>397148</v>
      </c>
      <c r="F633" s="86">
        <v>28601</v>
      </c>
      <c r="G633" s="87">
        <v>7.2015973999999998</v>
      </c>
    </row>
    <row r="634" spans="1:7" x14ac:dyDescent="0.25">
      <c r="A634" s="84" t="s">
        <v>1055</v>
      </c>
      <c r="B634" s="84" t="s">
        <v>59</v>
      </c>
      <c r="C634" s="84" t="s">
        <v>281</v>
      </c>
      <c r="D634" s="85">
        <v>42852</v>
      </c>
      <c r="E634" s="85">
        <v>681506</v>
      </c>
      <c r="F634" s="86">
        <v>76892.3</v>
      </c>
      <c r="G634" s="87">
        <v>11.282703</v>
      </c>
    </row>
    <row r="635" spans="1:7" x14ac:dyDescent="0.25">
      <c r="A635" s="84" t="s">
        <v>1056</v>
      </c>
      <c r="B635" s="84" t="s">
        <v>59</v>
      </c>
      <c r="C635" s="84" t="s">
        <v>283</v>
      </c>
      <c r="D635" s="85">
        <v>7324</v>
      </c>
      <c r="E635" s="85">
        <v>450741</v>
      </c>
      <c r="F635" s="86">
        <v>38679</v>
      </c>
      <c r="G635" s="87">
        <v>8.5812030000000004</v>
      </c>
    </row>
    <row r="636" spans="1:7" x14ac:dyDescent="0.25">
      <c r="A636" s="84" t="s">
        <v>1057</v>
      </c>
      <c r="B636" s="84" t="s">
        <v>59</v>
      </c>
      <c r="C636" s="84" t="s">
        <v>278</v>
      </c>
      <c r="D636" s="85">
        <v>1855672</v>
      </c>
      <c r="E636" s="85">
        <v>31446240</v>
      </c>
      <c r="F636" s="86">
        <v>4117784.4</v>
      </c>
      <c r="G636" s="87">
        <v>13.09468</v>
      </c>
    </row>
    <row r="637" spans="1:7" x14ac:dyDescent="0.25">
      <c r="A637" s="84" t="s">
        <v>1058</v>
      </c>
      <c r="B637" s="84" t="s">
        <v>59</v>
      </c>
      <c r="C637" s="84" t="s">
        <v>278</v>
      </c>
      <c r="D637" s="85">
        <v>2226500</v>
      </c>
      <c r="E637" s="85">
        <v>40629495</v>
      </c>
      <c r="F637" s="86">
        <v>5215247.5999999996</v>
      </c>
      <c r="G637" s="87">
        <v>12.836112</v>
      </c>
    </row>
    <row r="638" spans="1:7" x14ac:dyDescent="0.25">
      <c r="A638" s="84" t="s">
        <v>1059</v>
      </c>
      <c r="B638" s="84" t="s">
        <v>59</v>
      </c>
      <c r="C638" s="84" t="s">
        <v>281</v>
      </c>
      <c r="D638" s="85">
        <v>126956</v>
      </c>
      <c r="E638" s="85">
        <v>1564325</v>
      </c>
      <c r="F638" s="86">
        <v>203032.5</v>
      </c>
      <c r="G638" s="87">
        <v>12.978921</v>
      </c>
    </row>
    <row r="639" spans="1:7" x14ac:dyDescent="0.25">
      <c r="A639" s="84" t="s">
        <v>2365</v>
      </c>
      <c r="B639" s="84" t="s">
        <v>59</v>
      </c>
      <c r="C639" s="84" t="s">
        <v>392</v>
      </c>
      <c r="D639" s="85">
        <v>1</v>
      </c>
      <c r="E639" s="85">
        <v>4030</v>
      </c>
      <c r="F639" s="86">
        <v>330.2</v>
      </c>
      <c r="G639" s="87">
        <v>8.1935483999999992</v>
      </c>
    </row>
    <row r="640" spans="1:7" x14ac:dyDescent="0.25">
      <c r="A640" s="84" t="s">
        <v>825</v>
      </c>
      <c r="B640" s="84" t="s">
        <v>59</v>
      </c>
      <c r="C640" s="84" t="s">
        <v>278</v>
      </c>
      <c r="D640" s="85">
        <v>129886</v>
      </c>
      <c r="E640" s="85">
        <v>2447346</v>
      </c>
      <c r="F640" s="86">
        <v>326845</v>
      </c>
      <c r="G640" s="87">
        <v>13.355079</v>
      </c>
    </row>
    <row r="641" spans="1:7" x14ac:dyDescent="0.25">
      <c r="A641" s="84" t="s">
        <v>837</v>
      </c>
      <c r="B641" s="84" t="s">
        <v>59</v>
      </c>
      <c r="C641" s="84" t="s">
        <v>281</v>
      </c>
      <c r="D641" s="85">
        <v>34919</v>
      </c>
      <c r="E641" s="85">
        <v>568598</v>
      </c>
      <c r="F641" s="86">
        <v>84457.9</v>
      </c>
      <c r="G641" s="87">
        <v>14.85371</v>
      </c>
    </row>
    <row r="642" spans="1:7" x14ac:dyDescent="0.25">
      <c r="A642" s="84" t="s">
        <v>2390</v>
      </c>
      <c r="B642" s="84" t="s">
        <v>59</v>
      </c>
      <c r="C642" s="84" t="s">
        <v>278</v>
      </c>
      <c r="D642" s="85">
        <v>8913</v>
      </c>
      <c r="E642" s="85">
        <v>132502</v>
      </c>
      <c r="F642" s="86">
        <v>14259.6</v>
      </c>
      <c r="G642" s="87">
        <v>10.761799999999999</v>
      </c>
    </row>
    <row r="643" spans="1:7" x14ac:dyDescent="0.25">
      <c r="A643" s="84" t="s">
        <v>1062</v>
      </c>
      <c r="B643" s="84" t="s">
        <v>59</v>
      </c>
      <c r="C643" s="84" t="s">
        <v>281</v>
      </c>
      <c r="D643" s="85">
        <v>33769</v>
      </c>
      <c r="E643" s="85">
        <v>246589</v>
      </c>
      <c r="F643" s="86">
        <v>34938.6</v>
      </c>
      <c r="G643" s="87">
        <v>14.168759</v>
      </c>
    </row>
    <row r="644" spans="1:7" x14ac:dyDescent="0.25">
      <c r="A644" s="84" t="s">
        <v>2391</v>
      </c>
      <c r="B644" s="84" t="s">
        <v>59</v>
      </c>
      <c r="C644" s="84" t="s">
        <v>281</v>
      </c>
      <c r="D644" s="85">
        <v>26349</v>
      </c>
      <c r="E644" s="85">
        <v>362838</v>
      </c>
      <c r="F644" s="86">
        <v>48971.6</v>
      </c>
      <c r="G644" s="87">
        <v>13.496822</v>
      </c>
    </row>
    <row r="645" spans="1:7" x14ac:dyDescent="0.25">
      <c r="A645" s="84" t="s">
        <v>1065</v>
      </c>
      <c r="B645" s="84" t="s">
        <v>59</v>
      </c>
      <c r="C645" s="84" t="s">
        <v>278</v>
      </c>
      <c r="D645" s="85">
        <v>36896</v>
      </c>
      <c r="E645" s="85">
        <v>1708477</v>
      </c>
      <c r="F645" s="86">
        <v>124500.3</v>
      </c>
      <c r="G645" s="87">
        <v>7.2872095999999997</v>
      </c>
    </row>
    <row r="646" spans="1:7" x14ac:dyDescent="0.25">
      <c r="A646" s="84" t="s">
        <v>1066</v>
      </c>
      <c r="B646" s="84" t="s">
        <v>59</v>
      </c>
      <c r="C646" s="84" t="s">
        <v>278</v>
      </c>
      <c r="D646" s="85">
        <v>53159</v>
      </c>
      <c r="E646" s="85">
        <v>778348</v>
      </c>
      <c r="F646" s="86">
        <v>103315.8</v>
      </c>
      <c r="G646" s="87">
        <v>13.273728</v>
      </c>
    </row>
    <row r="647" spans="1:7" x14ac:dyDescent="0.25">
      <c r="A647" s="84" t="s">
        <v>1067</v>
      </c>
      <c r="B647" s="84" t="s">
        <v>59</v>
      </c>
      <c r="C647" s="84" t="s">
        <v>283</v>
      </c>
      <c r="D647" s="85">
        <v>738</v>
      </c>
      <c r="E647" s="85">
        <v>17567</v>
      </c>
      <c r="F647" s="86">
        <v>2286.6999999999998</v>
      </c>
      <c r="G647" s="87">
        <v>13.017021</v>
      </c>
    </row>
    <row r="648" spans="1:7" x14ac:dyDescent="0.25">
      <c r="A648" s="84" t="s">
        <v>1068</v>
      </c>
      <c r="B648" s="84" t="s">
        <v>59</v>
      </c>
      <c r="C648" s="84" t="s">
        <v>283</v>
      </c>
      <c r="D648" s="85">
        <v>1132</v>
      </c>
      <c r="E648" s="85">
        <v>11556</v>
      </c>
      <c r="F648" s="86">
        <v>1490.3</v>
      </c>
      <c r="G648" s="87">
        <v>12.896331</v>
      </c>
    </row>
    <row r="649" spans="1:7" x14ac:dyDescent="0.25">
      <c r="A649" s="84" t="s">
        <v>1070</v>
      </c>
      <c r="B649" s="84" t="s">
        <v>59</v>
      </c>
      <c r="C649" s="84" t="s">
        <v>283</v>
      </c>
      <c r="D649" s="85">
        <v>12635</v>
      </c>
      <c r="E649" s="85">
        <v>278477</v>
      </c>
      <c r="F649" s="86">
        <v>31032.2</v>
      </c>
      <c r="G649" s="87">
        <v>11.143541000000001</v>
      </c>
    </row>
    <row r="650" spans="1:7" x14ac:dyDescent="0.25">
      <c r="A650" s="84" t="s">
        <v>1071</v>
      </c>
      <c r="B650" s="84" t="s">
        <v>61</v>
      </c>
      <c r="C650" s="84" t="s">
        <v>278</v>
      </c>
      <c r="D650" s="85">
        <v>148332</v>
      </c>
      <c r="E650" s="85">
        <v>7889945</v>
      </c>
      <c r="F650" s="86">
        <v>634675.69999999995</v>
      </c>
      <c r="G650" s="87">
        <v>8.0441079999999996</v>
      </c>
    </row>
    <row r="651" spans="1:7" x14ac:dyDescent="0.25">
      <c r="A651" s="84" t="s">
        <v>1073</v>
      </c>
      <c r="B651" s="84" t="s">
        <v>61</v>
      </c>
      <c r="C651" s="84" t="s">
        <v>281</v>
      </c>
      <c r="D651" s="85">
        <v>5267</v>
      </c>
      <c r="E651" s="85">
        <v>233020</v>
      </c>
      <c r="F651" s="86">
        <v>22581</v>
      </c>
      <c r="G651" s="87">
        <v>9.6905844999999999</v>
      </c>
    </row>
    <row r="652" spans="1:7" x14ac:dyDescent="0.25">
      <c r="A652" s="84" t="s">
        <v>1075</v>
      </c>
      <c r="B652" s="84" t="s">
        <v>61</v>
      </c>
      <c r="C652" s="84" t="s">
        <v>281</v>
      </c>
      <c r="D652" s="85">
        <v>18976</v>
      </c>
      <c r="E652" s="85">
        <v>341043</v>
      </c>
      <c r="F652" s="86">
        <v>44474</v>
      </c>
      <c r="G652" s="87">
        <v>13.040584000000001</v>
      </c>
    </row>
    <row r="653" spans="1:7" x14ac:dyDescent="0.25">
      <c r="A653" s="84" t="s">
        <v>1077</v>
      </c>
      <c r="B653" s="84" t="s">
        <v>61</v>
      </c>
      <c r="C653" s="84" t="s">
        <v>281</v>
      </c>
      <c r="D653" s="85">
        <v>21497</v>
      </c>
      <c r="E653" s="85">
        <v>360904</v>
      </c>
      <c r="F653" s="86">
        <v>48779.3</v>
      </c>
      <c r="G653" s="87">
        <v>13.515866000000001</v>
      </c>
    </row>
    <row r="654" spans="1:7" x14ac:dyDescent="0.25">
      <c r="A654" s="84" t="s">
        <v>1081</v>
      </c>
      <c r="B654" s="84" t="s">
        <v>61</v>
      </c>
      <c r="C654" s="84" t="s">
        <v>283</v>
      </c>
      <c r="D654" s="85">
        <v>10263</v>
      </c>
      <c r="E654" s="85">
        <v>273321</v>
      </c>
      <c r="F654" s="86">
        <v>24853.1</v>
      </c>
      <c r="G654" s="87">
        <v>9.0930078999999999</v>
      </c>
    </row>
    <row r="655" spans="1:7" x14ac:dyDescent="0.25">
      <c r="A655" s="84" t="s">
        <v>1082</v>
      </c>
      <c r="B655" s="84" t="s">
        <v>61</v>
      </c>
      <c r="C655" s="84" t="s">
        <v>283</v>
      </c>
      <c r="D655" s="85">
        <v>12284</v>
      </c>
      <c r="E655" s="85">
        <v>270004</v>
      </c>
      <c r="F655" s="86">
        <v>29270</v>
      </c>
      <c r="G655" s="87">
        <v>10.840579999999999</v>
      </c>
    </row>
    <row r="656" spans="1:7" x14ac:dyDescent="0.25">
      <c r="A656" s="84" t="s">
        <v>1084</v>
      </c>
      <c r="B656" s="84" t="s">
        <v>61</v>
      </c>
      <c r="C656" s="84" t="s">
        <v>283</v>
      </c>
      <c r="D656" s="85">
        <v>11836</v>
      </c>
      <c r="E656" s="85">
        <v>336408</v>
      </c>
      <c r="F656" s="86">
        <v>35315</v>
      </c>
      <c r="G656" s="87">
        <v>10.497669</v>
      </c>
    </row>
    <row r="657" spans="1:7" x14ac:dyDescent="0.25">
      <c r="A657" s="84" t="s">
        <v>1090</v>
      </c>
      <c r="B657" s="84" t="s">
        <v>61</v>
      </c>
      <c r="C657" s="84" t="s">
        <v>283</v>
      </c>
      <c r="D657" s="85">
        <v>10618</v>
      </c>
      <c r="E657" s="85">
        <v>383969</v>
      </c>
      <c r="F657" s="86">
        <v>43466.9</v>
      </c>
      <c r="G657" s="87">
        <v>11.320418999999999</v>
      </c>
    </row>
    <row r="658" spans="1:7" x14ac:dyDescent="0.25">
      <c r="A658" s="84" t="s">
        <v>1093</v>
      </c>
      <c r="B658" s="84" t="s">
        <v>61</v>
      </c>
      <c r="C658" s="84" t="s">
        <v>283</v>
      </c>
      <c r="D658" s="85">
        <v>12365</v>
      </c>
      <c r="E658" s="85">
        <v>324469</v>
      </c>
      <c r="F658" s="86">
        <v>36525</v>
      </c>
      <c r="G658" s="87">
        <v>11.256854000000001</v>
      </c>
    </row>
    <row r="659" spans="1:7" x14ac:dyDescent="0.25">
      <c r="A659" s="84" t="s">
        <v>1099</v>
      </c>
      <c r="B659" s="84" t="s">
        <v>61</v>
      </c>
      <c r="C659" s="84" t="s">
        <v>283</v>
      </c>
      <c r="D659" s="85">
        <v>1223</v>
      </c>
      <c r="E659" s="85">
        <v>15298</v>
      </c>
      <c r="F659" s="86">
        <v>2835.6</v>
      </c>
      <c r="G659" s="87">
        <v>18.535755999999999</v>
      </c>
    </row>
    <row r="660" spans="1:7" x14ac:dyDescent="0.25">
      <c r="A660" s="84" t="s">
        <v>1102</v>
      </c>
      <c r="B660" s="84" t="s">
        <v>61</v>
      </c>
      <c r="C660" s="84" t="s">
        <v>283</v>
      </c>
      <c r="D660" s="85">
        <v>6759</v>
      </c>
      <c r="E660" s="85">
        <v>531121</v>
      </c>
      <c r="F660" s="86">
        <v>35101</v>
      </c>
      <c r="G660" s="87">
        <v>6.6088518000000001</v>
      </c>
    </row>
    <row r="661" spans="1:7" x14ac:dyDescent="0.25">
      <c r="A661" s="84" t="s">
        <v>1103</v>
      </c>
      <c r="B661" s="84" t="s">
        <v>61</v>
      </c>
      <c r="C661" s="84" t="s">
        <v>283</v>
      </c>
      <c r="D661" s="85">
        <v>20011</v>
      </c>
      <c r="E661" s="85">
        <v>421235</v>
      </c>
      <c r="F661" s="86">
        <v>39930.800000000003</v>
      </c>
      <c r="G661" s="87">
        <v>9.4794592000000009</v>
      </c>
    </row>
    <row r="662" spans="1:7" x14ac:dyDescent="0.25">
      <c r="A662" s="84" t="s">
        <v>1107</v>
      </c>
      <c r="B662" s="84" t="s">
        <v>61</v>
      </c>
      <c r="C662" s="84" t="s">
        <v>283</v>
      </c>
      <c r="D662" s="85">
        <v>11911</v>
      </c>
      <c r="E662" s="85">
        <v>404325</v>
      </c>
      <c r="F662" s="86">
        <v>38129</v>
      </c>
      <c r="G662" s="87">
        <v>9.4302849999999996</v>
      </c>
    </row>
    <row r="663" spans="1:7" x14ac:dyDescent="0.25">
      <c r="A663" s="84" t="s">
        <v>1119</v>
      </c>
      <c r="B663" s="84" t="s">
        <v>61</v>
      </c>
      <c r="C663" s="84" t="s">
        <v>283</v>
      </c>
      <c r="D663" s="85">
        <v>5465</v>
      </c>
      <c r="E663" s="85">
        <v>216639</v>
      </c>
      <c r="F663" s="86">
        <v>18729.2</v>
      </c>
      <c r="G663" s="87">
        <v>8.6453500999999999</v>
      </c>
    </row>
    <row r="664" spans="1:7" x14ac:dyDescent="0.25">
      <c r="A664" s="84" t="s">
        <v>1121</v>
      </c>
      <c r="B664" s="84" t="s">
        <v>61</v>
      </c>
      <c r="C664" s="84" t="s">
        <v>281</v>
      </c>
      <c r="D664" s="85">
        <v>137055</v>
      </c>
      <c r="E664" s="85">
        <v>1991732</v>
      </c>
      <c r="F664" s="86">
        <v>245373.6</v>
      </c>
      <c r="G664" s="87">
        <v>12.319609</v>
      </c>
    </row>
    <row r="665" spans="1:7" x14ac:dyDescent="0.25">
      <c r="A665" s="84" t="s">
        <v>1123</v>
      </c>
      <c r="B665" s="84" t="s">
        <v>61</v>
      </c>
      <c r="C665" s="84" t="s">
        <v>281</v>
      </c>
      <c r="D665" s="85">
        <v>45356</v>
      </c>
      <c r="E665" s="85">
        <v>627123</v>
      </c>
      <c r="F665" s="86">
        <v>72744.3</v>
      </c>
      <c r="G665" s="87">
        <v>11.599686</v>
      </c>
    </row>
    <row r="666" spans="1:7" x14ac:dyDescent="0.25">
      <c r="A666" s="84" t="s">
        <v>1124</v>
      </c>
      <c r="B666" s="84" t="s">
        <v>61</v>
      </c>
      <c r="C666" s="84" t="s">
        <v>281</v>
      </c>
      <c r="D666" s="85">
        <v>109963</v>
      </c>
      <c r="E666" s="85">
        <v>1787745</v>
      </c>
      <c r="F666" s="86">
        <v>207319</v>
      </c>
      <c r="G666" s="87">
        <v>11.596676</v>
      </c>
    </row>
    <row r="667" spans="1:7" x14ac:dyDescent="0.25">
      <c r="A667" s="84" t="s">
        <v>1126</v>
      </c>
      <c r="B667" s="84" t="s">
        <v>61</v>
      </c>
      <c r="C667" s="84" t="s">
        <v>281</v>
      </c>
      <c r="D667" s="85">
        <v>57074</v>
      </c>
      <c r="E667" s="85">
        <v>883203</v>
      </c>
      <c r="F667" s="86">
        <v>115829</v>
      </c>
      <c r="G667" s="87">
        <v>13.114652</v>
      </c>
    </row>
    <row r="668" spans="1:7" x14ac:dyDescent="0.25">
      <c r="A668" s="84" t="s">
        <v>706</v>
      </c>
      <c r="B668" s="84" t="s">
        <v>61</v>
      </c>
      <c r="C668" s="84" t="s">
        <v>281</v>
      </c>
      <c r="D668" s="85">
        <v>6921</v>
      </c>
      <c r="E668" s="85">
        <v>382581</v>
      </c>
      <c r="F668" s="86">
        <v>32601</v>
      </c>
      <c r="G668" s="87">
        <v>8.5213327000000003</v>
      </c>
    </row>
    <row r="669" spans="1:7" x14ac:dyDescent="0.25">
      <c r="A669" s="84" t="s">
        <v>2376</v>
      </c>
      <c r="B669" s="84" t="s">
        <v>61</v>
      </c>
      <c r="C669" s="84" t="s">
        <v>281</v>
      </c>
      <c r="D669" s="85">
        <v>21039</v>
      </c>
      <c r="E669" s="85">
        <v>478785</v>
      </c>
      <c r="F669" s="86">
        <v>53640</v>
      </c>
      <c r="G669" s="87">
        <v>11.203359000000001</v>
      </c>
    </row>
    <row r="670" spans="1:7" x14ac:dyDescent="0.25">
      <c r="A670" s="84" t="s">
        <v>715</v>
      </c>
      <c r="B670" s="84" t="s">
        <v>61</v>
      </c>
      <c r="C670" s="84" t="s">
        <v>281</v>
      </c>
      <c r="D670" s="85">
        <v>39</v>
      </c>
      <c r="E670" s="85">
        <v>1033</v>
      </c>
      <c r="F670" s="86">
        <v>115.3</v>
      </c>
      <c r="G670" s="87">
        <v>11.161664999999999</v>
      </c>
    </row>
    <row r="671" spans="1:7" x14ac:dyDescent="0.25">
      <c r="A671" s="84" t="s">
        <v>1134</v>
      </c>
      <c r="B671" s="84" t="s">
        <v>61</v>
      </c>
      <c r="C671" s="84" t="s">
        <v>283</v>
      </c>
      <c r="D671" s="85">
        <v>7469</v>
      </c>
      <c r="E671" s="85">
        <v>268831</v>
      </c>
      <c r="F671" s="86">
        <v>23430</v>
      </c>
      <c r="G671" s="87">
        <v>8.7155126999999997</v>
      </c>
    </row>
    <row r="672" spans="1:7" x14ac:dyDescent="0.25">
      <c r="A672" s="84" t="s">
        <v>1135</v>
      </c>
      <c r="B672" s="84" t="s">
        <v>61</v>
      </c>
      <c r="C672" s="84" t="s">
        <v>281</v>
      </c>
      <c r="D672" s="85">
        <v>12141</v>
      </c>
      <c r="E672" s="85">
        <v>214909</v>
      </c>
      <c r="F672" s="86">
        <v>24239.200000000001</v>
      </c>
      <c r="G672" s="87">
        <v>11.27882</v>
      </c>
    </row>
    <row r="673" spans="1:7" x14ac:dyDescent="0.25">
      <c r="A673" s="84" t="s">
        <v>1138</v>
      </c>
      <c r="B673" s="84" t="s">
        <v>61</v>
      </c>
      <c r="C673" s="84" t="s">
        <v>281</v>
      </c>
      <c r="D673" s="85">
        <v>49878</v>
      </c>
      <c r="E673" s="85">
        <v>613337</v>
      </c>
      <c r="F673" s="86">
        <v>89364.5</v>
      </c>
      <c r="G673" s="87">
        <v>14.570212</v>
      </c>
    </row>
    <row r="674" spans="1:7" x14ac:dyDescent="0.25">
      <c r="A674" s="84" t="s">
        <v>1139</v>
      </c>
      <c r="B674" s="84" t="s">
        <v>61</v>
      </c>
      <c r="C674" s="84" t="s">
        <v>281</v>
      </c>
      <c r="D674" s="85">
        <v>28925</v>
      </c>
      <c r="E674" s="85">
        <v>453034</v>
      </c>
      <c r="F674" s="86">
        <v>52935.9</v>
      </c>
      <c r="G674" s="87">
        <v>11.684752</v>
      </c>
    </row>
    <row r="675" spans="1:7" x14ac:dyDescent="0.25">
      <c r="A675" s="84" t="s">
        <v>1143</v>
      </c>
      <c r="B675" s="84" t="s">
        <v>61</v>
      </c>
      <c r="C675" s="84" t="s">
        <v>281</v>
      </c>
      <c r="D675" s="85">
        <v>9163</v>
      </c>
      <c r="E675" s="85">
        <v>197593</v>
      </c>
      <c r="F675" s="86">
        <v>21741.8</v>
      </c>
      <c r="G675" s="87">
        <v>11.003325</v>
      </c>
    </row>
    <row r="676" spans="1:7" x14ac:dyDescent="0.25">
      <c r="A676" s="84" t="s">
        <v>722</v>
      </c>
      <c r="B676" s="84" t="s">
        <v>61</v>
      </c>
      <c r="C676" s="84" t="s">
        <v>281</v>
      </c>
      <c r="D676" s="85">
        <v>16003</v>
      </c>
      <c r="E676" s="85">
        <v>317744</v>
      </c>
      <c r="F676" s="86">
        <v>40340</v>
      </c>
      <c r="G676" s="87">
        <v>12.695755</v>
      </c>
    </row>
    <row r="677" spans="1:7" x14ac:dyDescent="0.25">
      <c r="A677" s="84" t="s">
        <v>1145</v>
      </c>
      <c r="B677" s="84" t="s">
        <v>61</v>
      </c>
      <c r="C677" s="84" t="s">
        <v>281</v>
      </c>
      <c r="D677" s="85">
        <v>15414</v>
      </c>
      <c r="E677" s="85">
        <v>199345</v>
      </c>
      <c r="F677" s="86">
        <v>27522</v>
      </c>
      <c r="G677" s="87">
        <v>13.806215</v>
      </c>
    </row>
    <row r="678" spans="1:7" x14ac:dyDescent="0.25">
      <c r="A678" s="84" t="s">
        <v>1146</v>
      </c>
      <c r="B678" s="84" t="s">
        <v>61</v>
      </c>
      <c r="C678" s="84" t="s">
        <v>281</v>
      </c>
      <c r="D678" s="85">
        <v>5288</v>
      </c>
      <c r="E678" s="85">
        <v>194347</v>
      </c>
      <c r="F678" s="86">
        <v>19832.599999999999</v>
      </c>
      <c r="G678" s="87">
        <v>10.204737</v>
      </c>
    </row>
    <row r="679" spans="1:7" x14ac:dyDescent="0.25">
      <c r="A679" s="84" t="s">
        <v>1147</v>
      </c>
      <c r="B679" s="84" t="s">
        <v>61</v>
      </c>
      <c r="C679" s="84" t="s">
        <v>281</v>
      </c>
      <c r="D679" s="85">
        <v>44020</v>
      </c>
      <c r="E679" s="85">
        <v>852797</v>
      </c>
      <c r="F679" s="86">
        <v>90942</v>
      </c>
      <c r="G679" s="87">
        <v>10.663968000000001</v>
      </c>
    </row>
    <row r="680" spans="1:7" x14ac:dyDescent="0.25">
      <c r="A680" s="84" t="s">
        <v>1153</v>
      </c>
      <c r="B680" s="84" t="s">
        <v>61</v>
      </c>
      <c r="C680" s="84" t="s">
        <v>278</v>
      </c>
      <c r="D680" s="85">
        <v>1313454</v>
      </c>
      <c r="E680" s="85">
        <v>28141222</v>
      </c>
      <c r="F680" s="86">
        <v>3069756.5</v>
      </c>
      <c r="G680" s="87">
        <v>10.908398</v>
      </c>
    </row>
    <row r="681" spans="1:7" x14ac:dyDescent="0.25">
      <c r="A681" s="84" t="s">
        <v>1154</v>
      </c>
      <c r="B681" s="84" t="s">
        <v>61</v>
      </c>
      <c r="C681" s="84" t="s">
        <v>278</v>
      </c>
      <c r="D681" s="85">
        <v>102</v>
      </c>
      <c r="E681" s="85">
        <v>593</v>
      </c>
      <c r="F681" s="86">
        <v>84.8</v>
      </c>
      <c r="G681" s="87">
        <v>14.300169</v>
      </c>
    </row>
    <row r="682" spans="1:7" x14ac:dyDescent="0.25">
      <c r="A682" s="84" t="s">
        <v>1155</v>
      </c>
      <c r="B682" s="84" t="s">
        <v>61</v>
      </c>
      <c r="C682" s="84" t="s">
        <v>278</v>
      </c>
      <c r="D682" s="85">
        <v>62465</v>
      </c>
      <c r="E682" s="85">
        <v>2559957</v>
      </c>
      <c r="F682" s="86">
        <v>202007.2</v>
      </c>
      <c r="G682" s="87">
        <v>7.8910387999999996</v>
      </c>
    </row>
    <row r="683" spans="1:7" x14ac:dyDescent="0.25">
      <c r="A683" s="84" t="s">
        <v>1157</v>
      </c>
      <c r="B683" s="84" t="s">
        <v>61</v>
      </c>
      <c r="C683" s="84" t="s">
        <v>281</v>
      </c>
      <c r="D683" s="85">
        <v>23120</v>
      </c>
      <c r="E683" s="85">
        <v>357724</v>
      </c>
      <c r="F683" s="86">
        <v>48259.8</v>
      </c>
      <c r="G683" s="87">
        <v>13.490792000000001</v>
      </c>
    </row>
    <row r="684" spans="1:7" x14ac:dyDescent="0.25">
      <c r="A684" s="84" t="s">
        <v>1164</v>
      </c>
      <c r="B684" s="84" t="s">
        <v>61</v>
      </c>
      <c r="C684" s="84" t="s">
        <v>283</v>
      </c>
      <c r="D684" s="85">
        <v>57120</v>
      </c>
      <c r="E684" s="85">
        <v>1127968</v>
      </c>
      <c r="F684" s="86">
        <v>141923.70000000001</v>
      </c>
      <c r="G684" s="87">
        <v>12.582245</v>
      </c>
    </row>
    <row r="685" spans="1:7" x14ac:dyDescent="0.25">
      <c r="A685" s="84" t="s">
        <v>1166</v>
      </c>
      <c r="B685" s="84" t="s">
        <v>61</v>
      </c>
      <c r="C685" s="84" t="s">
        <v>281</v>
      </c>
      <c r="D685" s="85">
        <v>14748</v>
      </c>
      <c r="E685" s="85">
        <v>235434</v>
      </c>
      <c r="F685" s="86">
        <v>28856</v>
      </c>
      <c r="G685" s="87">
        <v>12.256513999999999</v>
      </c>
    </row>
    <row r="686" spans="1:7" x14ac:dyDescent="0.25">
      <c r="A686" s="84" t="s">
        <v>1167</v>
      </c>
      <c r="B686" s="84" t="s">
        <v>61</v>
      </c>
      <c r="C686" s="84" t="s">
        <v>283</v>
      </c>
      <c r="D686" s="85">
        <v>18562</v>
      </c>
      <c r="E686" s="85">
        <v>430760</v>
      </c>
      <c r="F686" s="86">
        <v>46902</v>
      </c>
      <c r="G686" s="87">
        <v>10.888197999999999</v>
      </c>
    </row>
    <row r="687" spans="1:7" x14ac:dyDescent="0.25">
      <c r="A687" s="84" t="s">
        <v>1168</v>
      </c>
      <c r="B687" s="84" t="s">
        <v>61</v>
      </c>
      <c r="C687" s="84" t="s">
        <v>281</v>
      </c>
      <c r="D687" s="85">
        <v>3868</v>
      </c>
      <c r="E687" s="85">
        <v>135491</v>
      </c>
      <c r="F687" s="86">
        <v>14631.1</v>
      </c>
      <c r="G687" s="87">
        <v>10.798577</v>
      </c>
    </row>
    <row r="688" spans="1:7" x14ac:dyDescent="0.25">
      <c r="A688" s="84" t="s">
        <v>1170</v>
      </c>
      <c r="B688" s="84" t="s">
        <v>61</v>
      </c>
      <c r="C688" s="84" t="s">
        <v>281</v>
      </c>
      <c r="D688" s="85">
        <v>5887</v>
      </c>
      <c r="E688" s="85">
        <v>223067</v>
      </c>
      <c r="F688" s="86">
        <v>22663</v>
      </c>
      <c r="G688" s="87">
        <v>10.159727999999999</v>
      </c>
    </row>
    <row r="689" spans="1:7" x14ac:dyDescent="0.25">
      <c r="A689" s="84" t="s">
        <v>1171</v>
      </c>
      <c r="B689" s="84" t="s">
        <v>61</v>
      </c>
      <c r="C689" s="84" t="s">
        <v>281</v>
      </c>
      <c r="D689" s="85">
        <v>27411</v>
      </c>
      <c r="E689" s="85">
        <v>525486</v>
      </c>
      <c r="F689" s="86">
        <v>59947.1</v>
      </c>
      <c r="G689" s="87">
        <v>11.407935</v>
      </c>
    </row>
    <row r="690" spans="1:7" x14ac:dyDescent="0.25">
      <c r="A690" s="84" t="s">
        <v>1172</v>
      </c>
      <c r="B690" s="84" t="s">
        <v>61</v>
      </c>
      <c r="C690" s="84" t="s">
        <v>281</v>
      </c>
      <c r="D690" s="85">
        <v>11595</v>
      </c>
      <c r="E690" s="85">
        <v>291116</v>
      </c>
      <c r="F690" s="86">
        <v>36017.5</v>
      </c>
      <c r="G690" s="87">
        <v>12.372216</v>
      </c>
    </row>
    <row r="691" spans="1:7" x14ac:dyDescent="0.25">
      <c r="A691" s="84" t="s">
        <v>422</v>
      </c>
      <c r="B691" s="84" t="s">
        <v>61</v>
      </c>
      <c r="C691" s="84" t="s">
        <v>351</v>
      </c>
      <c r="D691" s="85">
        <v>4</v>
      </c>
      <c r="E691" s="85">
        <v>56507</v>
      </c>
      <c r="F691" s="86">
        <v>1294.8</v>
      </c>
      <c r="G691" s="87">
        <v>2.2913975</v>
      </c>
    </row>
    <row r="692" spans="1:7" x14ac:dyDescent="0.25">
      <c r="A692" s="84" t="s">
        <v>1175</v>
      </c>
      <c r="B692" s="84" t="s">
        <v>61</v>
      </c>
      <c r="C692" s="84" t="s">
        <v>281</v>
      </c>
      <c r="D692" s="85">
        <v>14378</v>
      </c>
      <c r="E692" s="85">
        <v>262999</v>
      </c>
      <c r="F692" s="86">
        <v>33308.199999999997</v>
      </c>
      <c r="G692" s="87">
        <v>12.664763000000001</v>
      </c>
    </row>
    <row r="693" spans="1:7" x14ac:dyDescent="0.25">
      <c r="A693" s="84" t="s">
        <v>1176</v>
      </c>
      <c r="B693" s="84" t="s">
        <v>61</v>
      </c>
      <c r="C693" s="84" t="s">
        <v>283</v>
      </c>
      <c r="D693" s="85">
        <v>9705</v>
      </c>
      <c r="E693" s="85">
        <v>266976</v>
      </c>
      <c r="F693" s="86">
        <v>26725</v>
      </c>
      <c r="G693" s="87">
        <v>10.010263</v>
      </c>
    </row>
    <row r="694" spans="1:7" x14ac:dyDescent="0.25">
      <c r="A694" s="84" t="s">
        <v>1177</v>
      </c>
      <c r="B694" s="84" t="s">
        <v>61</v>
      </c>
      <c r="C694" s="84" t="s">
        <v>281</v>
      </c>
      <c r="D694" s="85">
        <v>55152</v>
      </c>
      <c r="E694" s="85">
        <v>911750</v>
      </c>
      <c r="F694" s="86">
        <v>105974.5</v>
      </c>
      <c r="G694" s="87">
        <v>11.623196999999999</v>
      </c>
    </row>
    <row r="695" spans="1:7" x14ac:dyDescent="0.25">
      <c r="A695" s="84" t="s">
        <v>1180</v>
      </c>
      <c r="B695" s="84" t="s">
        <v>67</v>
      </c>
      <c r="C695" s="84" t="s">
        <v>281</v>
      </c>
      <c r="D695" s="85">
        <v>24748</v>
      </c>
      <c r="E695" s="85">
        <v>464689</v>
      </c>
      <c r="F695" s="86">
        <v>45977</v>
      </c>
      <c r="G695" s="87">
        <v>9.8941443000000007</v>
      </c>
    </row>
    <row r="696" spans="1:7" x14ac:dyDescent="0.25">
      <c r="A696" s="84" t="s">
        <v>1181</v>
      </c>
      <c r="B696" s="84" t="s">
        <v>67</v>
      </c>
      <c r="C696" s="84" t="s">
        <v>281</v>
      </c>
      <c r="D696" s="85">
        <v>33303</v>
      </c>
      <c r="E696" s="85">
        <v>552300</v>
      </c>
      <c r="F696" s="86">
        <v>61479</v>
      </c>
      <c r="G696" s="87">
        <v>11.131449999999999</v>
      </c>
    </row>
    <row r="697" spans="1:7" x14ac:dyDescent="0.25">
      <c r="A697" s="84" t="s">
        <v>1182</v>
      </c>
      <c r="B697" s="84" t="s">
        <v>67</v>
      </c>
      <c r="C697" s="84" t="s">
        <v>281</v>
      </c>
      <c r="D697" s="85">
        <v>13063</v>
      </c>
      <c r="E697" s="85">
        <v>217097</v>
      </c>
      <c r="F697" s="86">
        <v>29247.7</v>
      </c>
      <c r="G697" s="87">
        <v>13.472181000000001</v>
      </c>
    </row>
    <row r="698" spans="1:7" x14ac:dyDescent="0.25">
      <c r="A698" s="84" t="s">
        <v>356</v>
      </c>
      <c r="B698" s="84" t="s">
        <v>67</v>
      </c>
      <c r="C698" s="84" t="s">
        <v>281</v>
      </c>
      <c r="D698" s="85">
        <v>12339</v>
      </c>
      <c r="E698" s="85">
        <v>143364</v>
      </c>
      <c r="F698" s="86">
        <v>14228</v>
      </c>
      <c r="G698" s="87">
        <v>9.9243883000000004</v>
      </c>
    </row>
    <row r="699" spans="1:7" x14ac:dyDescent="0.25">
      <c r="A699" s="84" t="s">
        <v>1183</v>
      </c>
      <c r="B699" s="84" t="s">
        <v>67</v>
      </c>
      <c r="C699" s="84" t="s">
        <v>281</v>
      </c>
      <c r="D699" s="85">
        <v>11040</v>
      </c>
      <c r="E699" s="85">
        <v>324589</v>
      </c>
      <c r="F699" s="86">
        <v>29119</v>
      </c>
      <c r="G699" s="87">
        <v>8.9710371999999996</v>
      </c>
    </row>
    <row r="700" spans="1:7" x14ac:dyDescent="0.25">
      <c r="A700" s="84" t="s">
        <v>1185</v>
      </c>
      <c r="B700" s="84" t="s">
        <v>67</v>
      </c>
      <c r="C700" s="84" t="s">
        <v>281</v>
      </c>
      <c r="D700" s="85">
        <v>27660</v>
      </c>
      <c r="E700" s="85">
        <v>1675140</v>
      </c>
      <c r="F700" s="86">
        <v>112246</v>
      </c>
      <c r="G700" s="87">
        <v>6.7006937000000004</v>
      </c>
    </row>
    <row r="701" spans="1:7" x14ac:dyDescent="0.25">
      <c r="A701" s="84" t="s">
        <v>1186</v>
      </c>
      <c r="B701" s="84" t="s">
        <v>67</v>
      </c>
      <c r="C701" s="84" t="s">
        <v>283</v>
      </c>
      <c r="D701" s="85">
        <v>117302</v>
      </c>
      <c r="E701" s="85">
        <v>2913253</v>
      </c>
      <c r="F701" s="86">
        <v>255412</v>
      </c>
      <c r="G701" s="87">
        <v>8.7672439999999998</v>
      </c>
    </row>
    <row r="702" spans="1:7" x14ac:dyDescent="0.25">
      <c r="A702" s="84" t="s">
        <v>1189</v>
      </c>
      <c r="B702" s="84" t="s">
        <v>67</v>
      </c>
      <c r="C702" s="84" t="s">
        <v>283</v>
      </c>
      <c r="D702" s="85">
        <v>7909</v>
      </c>
      <c r="E702" s="85">
        <v>283822</v>
      </c>
      <c r="F702" s="86">
        <v>25529</v>
      </c>
      <c r="G702" s="87">
        <v>8.9947219999999994</v>
      </c>
    </row>
    <row r="703" spans="1:7" x14ac:dyDescent="0.25">
      <c r="A703" s="84" t="s">
        <v>1190</v>
      </c>
      <c r="B703" s="84" t="s">
        <v>67</v>
      </c>
      <c r="C703" s="84" t="s">
        <v>283</v>
      </c>
      <c r="D703" s="85">
        <v>51307</v>
      </c>
      <c r="E703" s="85">
        <v>1127707</v>
      </c>
      <c r="F703" s="86">
        <v>117913</v>
      </c>
      <c r="G703" s="87">
        <v>10.455996000000001</v>
      </c>
    </row>
    <row r="704" spans="1:7" x14ac:dyDescent="0.25">
      <c r="A704" s="84" t="s">
        <v>1191</v>
      </c>
      <c r="B704" s="84" t="s">
        <v>67</v>
      </c>
      <c r="C704" s="84" t="s">
        <v>283</v>
      </c>
      <c r="D704" s="85">
        <v>7781</v>
      </c>
      <c r="E704" s="85">
        <v>219999</v>
      </c>
      <c r="F704" s="86">
        <v>21172.7</v>
      </c>
      <c r="G704" s="87">
        <v>9.6239983000000002</v>
      </c>
    </row>
    <row r="705" spans="1:7" x14ac:dyDescent="0.25">
      <c r="A705" s="84" t="s">
        <v>1193</v>
      </c>
      <c r="B705" s="84" t="s">
        <v>67</v>
      </c>
      <c r="C705" s="84" t="s">
        <v>283</v>
      </c>
      <c r="D705" s="85">
        <v>8771</v>
      </c>
      <c r="E705" s="85">
        <v>227505</v>
      </c>
      <c r="F705" s="86">
        <v>22198.2</v>
      </c>
      <c r="G705" s="87">
        <v>9.7572361000000001</v>
      </c>
    </row>
    <row r="706" spans="1:7" x14ac:dyDescent="0.25">
      <c r="A706" s="84" t="s">
        <v>1195</v>
      </c>
      <c r="B706" s="84" t="s">
        <v>67</v>
      </c>
      <c r="C706" s="84" t="s">
        <v>283</v>
      </c>
      <c r="D706" s="85">
        <v>59709</v>
      </c>
      <c r="E706" s="85">
        <v>951368</v>
      </c>
      <c r="F706" s="86">
        <v>116378.9</v>
      </c>
      <c r="G706" s="87">
        <v>12.232794999999999</v>
      </c>
    </row>
    <row r="707" spans="1:7" x14ac:dyDescent="0.25">
      <c r="A707" s="84" t="s">
        <v>1198</v>
      </c>
      <c r="B707" s="84" t="s">
        <v>67</v>
      </c>
      <c r="C707" s="84" t="s">
        <v>283</v>
      </c>
      <c r="D707" s="85">
        <v>10095</v>
      </c>
      <c r="E707" s="85">
        <v>187043</v>
      </c>
      <c r="F707" s="86">
        <v>20130.599999999999</v>
      </c>
      <c r="G707" s="87">
        <v>10.762551999999999</v>
      </c>
    </row>
    <row r="708" spans="1:7" x14ac:dyDescent="0.25">
      <c r="A708" s="84" t="s">
        <v>1200</v>
      </c>
      <c r="B708" s="84" t="s">
        <v>67</v>
      </c>
      <c r="C708" s="84" t="s">
        <v>283</v>
      </c>
      <c r="D708" s="85">
        <v>7212</v>
      </c>
      <c r="E708" s="85">
        <v>237690</v>
      </c>
      <c r="F708" s="86">
        <v>23940</v>
      </c>
      <c r="G708" s="87">
        <v>10.071942</v>
      </c>
    </row>
    <row r="709" spans="1:7" x14ac:dyDescent="0.25">
      <c r="A709" s="84" t="s">
        <v>1203</v>
      </c>
      <c r="B709" s="84" t="s">
        <v>67</v>
      </c>
      <c r="C709" s="84" t="s">
        <v>283</v>
      </c>
      <c r="D709" s="85">
        <v>4738</v>
      </c>
      <c r="E709" s="85">
        <v>213517</v>
      </c>
      <c r="F709" s="86">
        <v>19392.5</v>
      </c>
      <c r="G709" s="87">
        <v>9.0824149999999992</v>
      </c>
    </row>
    <row r="710" spans="1:7" x14ac:dyDescent="0.25">
      <c r="A710" s="84" t="s">
        <v>1206</v>
      </c>
      <c r="B710" s="84" t="s">
        <v>67</v>
      </c>
      <c r="C710" s="84" t="s">
        <v>283</v>
      </c>
      <c r="D710" s="85">
        <v>9592</v>
      </c>
      <c r="E710" s="85">
        <v>332032</v>
      </c>
      <c r="F710" s="86">
        <v>30221</v>
      </c>
      <c r="G710" s="87">
        <v>9.1018336000000009</v>
      </c>
    </row>
    <row r="711" spans="1:7" x14ac:dyDescent="0.25">
      <c r="A711" s="84" t="s">
        <v>1207</v>
      </c>
      <c r="B711" s="84" t="s">
        <v>67</v>
      </c>
      <c r="C711" s="84" t="s">
        <v>283</v>
      </c>
      <c r="D711" s="85">
        <v>9622</v>
      </c>
      <c r="E711" s="85">
        <v>291302</v>
      </c>
      <c r="F711" s="86">
        <v>25782</v>
      </c>
      <c r="G711" s="87">
        <v>8.8506085999999993</v>
      </c>
    </row>
    <row r="712" spans="1:7" x14ac:dyDescent="0.25">
      <c r="A712" s="84" t="s">
        <v>1208</v>
      </c>
      <c r="B712" s="84" t="s">
        <v>67</v>
      </c>
      <c r="C712" s="84" t="s">
        <v>283</v>
      </c>
      <c r="D712" s="85">
        <v>8676</v>
      </c>
      <c r="E712" s="85">
        <v>352828</v>
      </c>
      <c r="F712" s="86">
        <v>27280</v>
      </c>
      <c r="G712" s="87">
        <v>7.7318126999999999</v>
      </c>
    </row>
    <row r="713" spans="1:7" x14ac:dyDescent="0.25">
      <c r="A713" s="84" t="s">
        <v>366</v>
      </c>
      <c r="B713" s="84" t="s">
        <v>67</v>
      </c>
      <c r="C713" s="84" t="s">
        <v>281</v>
      </c>
      <c r="D713" s="85">
        <v>53</v>
      </c>
      <c r="E713" s="85">
        <v>713</v>
      </c>
      <c r="F713" s="86">
        <v>92.2</v>
      </c>
      <c r="G713" s="87">
        <v>12.931276</v>
      </c>
    </row>
    <row r="714" spans="1:7" x14ac:dyDescent="0.25">
      <c r="A714" s="84" t="s">
        <v>1211</v>
      </c>
      <c r="B714" s="84" t="s">
        <v>67</v>
      </c>
      <c r="C714" s="84" t="s">
        <v>281</v>
      </c>
      <c r="D714" s="85">
        <v>31889</v>
      </c>
      <c r="E714" s="85">
        <v>444549</v>
      </c>
      <c r="F714" s="86">
        <v>52982</v>
      </c>
      <c r="G714" s="87">
        <v>11.918146</v>
      </c>
    </row>
    <row r="715" spans="1:7" x14ac:dyDescent="0.25">
      <c r="A715" s="84" t="s">
        <v>1212</v>
      </c>
      <c r="B715" s="84" t="s">
        <v>67</v>
      </c>
      <c r="C715" s="84" t="s">
        <v>281</v>
      </c>
      <c r="D715" s="85">
        <v>8129</v>
      </c>
      <c r="E715" s="85">
        <v>236130</v>
      </c>
      <c r="F715" s="86">
        <v>23190.2</v>
      </c>
      <c r="G715" s="87">
        <v>9.8209461000000005</v>
      </c>
    </row>
    <row r="716" spans="1:7" x14ac:dyDescent="0.25">
      <c r="A716" s="84" t="s">
        <v>1213</v>
      </c>
      <c r="B716" s="84" t="s">
        <v>67</v>
      </c>
      <c r="C716" s="84" t="s">
        <v>281</v>
      </c>
      <c r="D716" s="85">
        <v>20422</v>
      </c>
      <c r="E716" s="85">
        <v>302599</v>
      </c>
      <c r="F716" s="86">
        <v>33616.300000000003</v>
      </c>
      <c r="G716" s="87">
        <v>11.109190999999999</v>
      </c>
    </row>
    <row r="717" spans="1:7" x14ac:dyDescent="0.25">
      <c r="A717" s="84" t="s">
        <v>1214</v>
      </c>
      <c r="B717" s="84" t="s">
        <v>67</v>
      </c>
      <c r="C717" s="84" t="s">
        <v>281</v>
      </c>
      <c r="D717" s="85">
        <v>68214</v>
      </c>
      <c r="E717" s="85">
        <v>1323719</v>
      </c>
      <c r="F717" s="86">
        <v>119747</v>
      </c>
      <c r="G717" s="87">
        <v>9.0462553000000003</v>
      </c>
    </row>
    <row r="718" spans="1:7" x14ac:dyDescent="0.25">
      <c r="A718" s="84" t="s">
        <v>369</v>
      </c>
      <c r="B718" s="84" t="s">
        <v>67</v>
      </c>
      <c r="C718" s="84" t="s">
        <v>278</v>
      </c>
      <c r="D718" s="85">
        <v>157395</v>
      </c>
      <c r="E718" s="85">
        <v>3975534</v>
      </c>
      <c r="F718" s="86">
        <v>453846.2</v>
      </c>
      <c r="G718" s="87">
        <v>11.415981</v>
      </c>
    </row>
    <row r="719" spans="1:7" x14ac:dyDescent="0.25">
      <c r="A719" s="84" t="s">
        <v>2382</v>
      </c>
      <c r="B719" s="84" t="s">
        <v>67</v>
      </c>
      <c r="C719" s="84" t="s">
        <v>278</v>
      </c>
      <c r="D719" s="85">
        <v>296549</v>
      </c>
      <c r="E719" s="85">
        <v>8053771</v>
      </c>
      <c r="F719" s="86">
        <v>860861.2</v>
      </c>
      <c r="G719" s="87">
        <v>10.688921000000001</v>
      </c>
    </row>
    <row r="720" spans="1:7" x14ac:dyDescent="0.25">
      <c r="A720" s="84" t="s">
        <v>2392</v>
      </c>
      <c r="B720" s="84" t="s">
        <v>67</v>
      </c>
      <c r="C720" s="84" t="s">
        <v>278</v>
      </c>
      <c r="D720" s="85">
        <v>331947</v>
      </c>
      <c r="E720" s="85">
        <v>7979927</v>
      </c>
      <c r="F720" s="86">
        <v>757429.6</v>
      </c>
      <c r="G720" s="87">
        <v>9.4916858000000008</v>
      </c>
    </row>
    <row r="721" spans="1:7" x14ac:dyDescent="0.25">
      <c r="A721" s="84" t="s">
        <v>1215</v>
      </c>
      <c r="B721" s="84" t="s">
        <v>67</v>
      </c>
      <c r="C721" s="84" t="s">
        <v>281</v>
      </c>
      <c r="D721" s="85">
        <v>13330</v>
      </c>
      <c r="E721" s="85">
        <v>285273</v>
      </c>
      <c r="F721" s="86">
        <v>29168.1</v>
      </c>
      <c r="G721" s="87">
        <v>10.224627</v>
      </c>
    </row>
    <row r="722" spans="1:7" x14ac:dyDescent="0.25">
      <c r="A722" s="84" t="s">
        <v>1216</v>
      </c>
      <c r="B722" s="84" t="s">
        <v>67</v>
      </c>
      <c r="C722" s="84" t="s">
        <v>281</v>
      </c>
      <c r="D722" s="85">
        <v>9902</v>
      </c>
      <c r="E722" s="85">
        <v>186853</v>
      </c>
      <c r="F722" s="86">
        <v>18169</v>
      </c>
      <c r="G722" s="87">
        <v>9.7236864999999995</v>
      </c>
    </row>
    <row r="723" spans="1:7" x14ac:dyDescent="0.25">
      <c r="A723" s="84" t="s">
        <v>1218</v>
      </c>
      <c r="B723" s="84" t="s">
        <v>67</v>
      </c>
      <c r="C723" s="84" t="s">
        <v>281</v>
      </c>
      <c r="D723" s="85">
        <v>24669</v>
      </c>
      <c r="E723" s="85">
        <v>396748</v>
      </c>
      <c r="F723" s="86">
        <v>43461.3</v>
      </c>
      <c r="G723" s="87">
        <v>10.954383999999999</v>
      </c>
    </row>
    <row r="724" spans="1:7" x14ac:dyDescent="0.25">
      <c r="A724" s="84" t="s">
        <v>1219</v>
      </c>
      <c r="B724" s="84" t="s">
        <v>67</v>
      </c>
      <c r="C724" s="84" t="s">
        <v>281</v>
      </c>
      <c r="D724" s="85">
        <v>30666</v>
      </c>
      <c r="E724" s="85">
        <v>535059</v>
      </c>
      <c r="F724" s="86">
        <v>58526.7</v>
      </c>
      <c r="G724" s="87">
        <v>10.938364</v>
      </c>
    </row>
    <row r="725" spans="1:7" x14ac:dyDescent="0.25">
      <c r="A725" s="84" t="s">
        <v>1221</v>
      </c>
      <c r="B725" s="84" t="s">
        <v>67</v>
      </c>
      <c r="C725" s="84" t="s">
        <v>281</v>
      </c>
      <c r="D725" s="85">
        <v>37531</v>
      </c>
      <c r="E725" s="85">
        <v>631731</v>
      </c>
      <c r="F725" s="86">
        <v>65689</v>
      </c>
      <c r="G725" s="87">
        <v>10.398255000000001</v>
      </c>
    </row>
    <row r="726" spans="1:7" x14ac:dyDescent="0.25">
      <c r="A726" s="84" t="s">
        <v>1223</v>
      </c>
      <c r="B726" s="84" t="s">
        <v>67</v>
      </c>
      <c r="C726" s="84" t="s">
        <v>281</v>
      </c>
      <c r="D726" s="85">
        <v>11374</v>
      </c>
      <c r="E726" s="85">
        <v>239510</v>
      </c>
      <c r="F726" s="86">
        <v>24612.5</v>
      </c>
      <c r="G726" s="87">
        <v>10.276189</v>
      </c>
    </row>
    <row r="727" spans="1:7" x14ac:dyDescent="0.25">
      <c r="A727" s="84" t="s">
        <v>1224</v>
      </c>
      <c r="B727" s="84" t="s">
        <v>67</v>
      </c>
      <c r="C727" s="84" t="s">
        <v>281</v>
      </c>
      <c r="D727" s="85">
        <v>5430</v>
      </c>
      <c r="E727" s="85">
        <v>227116</v>
      </c>
      <c r="F727" s="86">
        <v>18187</v>
      </c>
      <c r="G727" s="87">
        <v>8.0078022000000004</v>
      </c>
    </row>
    <row r="728" spans="1:7" x14ac:dyDescent="0.25">
      <c r="A728" s="84" t="s">
        <v>1225</v>
      </c>
      <c r="B728" s="84" t="s">
        <v>67</v>
      </c>
      <c r="C728" s="84" t="s">
        <v>281</v>
      </c>
      <c r="D728" s="85">
        <v>18131</v>
      </c>
      <c r="E728" s="85">
        <v>395081</v>
      </c>
      <c r="F728" s="86">
        <v>43124</v>
      </c>
      <c r="G728" s="87">
        <v>10.915229999999999</v>
      </c>
    </row>
    <row r="729" spans="1:7" x14ac:dyDescent="0.25">
      <c r="A729" s="84" t="s">
        <v>1227</v>
      </c>
      <c r="B729" s="84" t="s">
        <v>67</v>
      </c>
      <c r="C729" s="84" t="s">
        <v>281</v>
      </c>
      <c r="D729" s="85">
        <v>16476</v>
      </c>
      <c r="E729" s="85">
        <v>289622</v>
      </c>
      <c r="F729" s="86">
        <v>34582</v>
      </c>
      <c r="G729" s="87">
        <v>11.940391</v>
      </c>
    </row>
    <row r="730" spans="1:7" x14ac:dyDescent="0.25">
      <c r="A730" s="84" t="s">
        <v>1228</v>
      </c>
      <c r="B730" s="84" t="s">
        <v>67</v>
      </c>
      <c r="C730" s="84" t="s">
        <v>281</v>
      </c>
      <c r="D730" s="85">
        <v>40179</v>
      </c>
      <c r="E730" s="85">
        <v>681472</v>
      </c>
      <c r="F730" s="86">
        <v>68823</v>
      </c>
      <c r="G730" s="87">
        <v>10.099168000000001</v>
      </c>
    </row>
    <row r="731" spans="1:7" x14ac:dyDescent="0.25">
      <c r="A731" s="84" t="s">
        <v>1229</v>
      </c>
      <c r="B731" s="84" t="s">
        <v>67</v>
      </c>
      <c r="C731" s="84" t="s">
        <v>281</v>
      </c>
      <c r="D731" s="85">
        <v>34066</v>
      </c>
      <c r="E731" s="85">
        <v>504752</v>
      </c>
      <c r="F731" s="86">
        <v>58549.5</v>
      </c>
      <c r="G731" s="87">
        <v>11.599657000000001</v>
      </c>
    </row>
    <row r="732" spans="1:7" x14ac:dyDescent="0.25">
      <c r="A732" s="84" t="s">
        <v>1231</v>
      </c>
      <c r="B732" s="84" t="s">
        <v>67</v>
      </c>
      <c r="C732" s="84" t="s">
        <v>281</v>
      </c>
      <c r="D732" s="85">
        <v>25226</v>
      </c>
      <c r="E732" s="85">
        <v>461253</v>
      </c>
      <c r="F732" s="86">
        <v>53121</v>
      </c>
      <c r="G732" s="87">
        <v>11.516673000000001</v>
      </c>
    </row>
    <row r="733" spans="1:7" x14ac:dyDescent="0.25">
      <c r="A733" s="84" t="s">
        <v>1234</v>
      </c>
      <c r="B733" s="84" t="s">
        <v>67</v>
      </c>
      <c r="C733" s="84" t="s">
        <v>281</v>
      </c>
      <c r="D733" s="85">
        <v>16019</v>
      </c>
      <c r="E733" s="85">
        <v>329759</v>
      </c>
      <c r="F733" s="86">
        <v>36166.9</v>
      </c>
      <c r="G733" s="87">
        <v>10.967676000000001</v>
      </c>
    </row>
    <row r="734" spans="1:7" x14ac:dyDescent="0.25">
      <c r="A734" s="84" t="s">
        <v>1236</v>
      </c>
      <c r="B734" s="84" t="s">
        <v>67</v>
      </c>
      <c r="C734" s="84" t="s">
        <v>281</v>
      </c>
      <c r="D734" s="85">
        <v>42447</v>
      </c>
      <c r="E734" s="85">
        <v>579109</v>
      </c>
      <c r="F734" s="86">
        <v>62903</v>
      </c>
      <c r="G734" s="87">
        <v>10.862031</v>
      </c>
    </row>
    <row r="735" spans="1:7" x14ac:dyDescent="0.25">
      <c r="A735" s="84" t="s">
        <v>414</v>
      </c>
      <c r="B735" s="84" t="s">
        <v>67</v>
      </c>
      <c r="C735" s="84" t="s">
        <v>392</v>
      </c>
      <c r="D735" s="85">
        <v>1</v>
      </c>
      <c r="E735" s="85">
        <v>8</v>
      </c>
      <c r="F735" s="86">
        <v>1.3</v>
      </c>
      <c r="G735" s="87">
        <v>16.25</v>
      </c>
    </row>
    <row r="736" spans="1:7" x14ac:dyDescent="0.25">
      <c r="A736" s="84" t="s">
        <v>1237</v>
      </c>
      <c r="B736" s="84" t="s">
        <v>67</v>
      </c>
      <c r="C736" s="84" t="s">
        <v>281</v>
      </c>
      <c r="D736" s="85">
        <v>23314</v>
      </c>
      <c r="E736" s="85">
        <v>393450</v>
      </c>
      <c r="F736" s="86">
        <v>40549</v>
      </c>
      <c r="G736" s="87">
        <v>10.306011</v>
      </c>
    </row>
    <row r="737" spans="1:7" x14ac:dyDescent="0.25">
      <c r="A737" s="84" t="s">
        <v>1240</v>
      </c>
      <c r="B737" s="84" t="s">
        <v>67</v>
      </c>
      <c r="C737" s="84" t="s">
        <v>278</v>
      </c>
      <c r="D737" s="85">
        <v>1235266</v>
      </c>
      <c r="E737" s="85">
        <v>30601887</v>
      </c>
      <c r="F737" s="86">
        <v>2674841</v>
      </c>
      <c r="G737" s="87">
        <v>8.7407713999999999</v>
      </c>
    </row>
    <row r="738" spans="1:7" x14ac:dyDescent="0.25">
      <c r="A738" s="84" t="s">
        <v>1241</v>
      </c>
      <c r="B738" s="84" t="s">
        <v>67</v>
      </c>
      <c r="C738" s="84" t="s">
        <v>281</v>
      </c>
      <c r="D738" s="85">
        <v>18615</v>
      </c>
      <c r="E738" s="85">
        <v>372528</v>
      </c>
      <c r="F738" s="86">
        <v>31500</v>
      </c>
      <c r="G738" s="87">
        <v>8.4557401999999993</v>
      </c>
    </row>
    <row r="739" spans="1:7" x14ac:dyDescent="0.25">
      <c r="A739" s="84" t="s">
        <v>1242</v>
      </c>
      <c r="B739" s="84" t="s">
        <v>67</v>
      </c>
      <c r="C739" s="84" t="s">
        <v>281</v>
      </c>
      <c r="D739" s="85">
        <v>14419</v>
      </c>
      <c r="E739" s="85">
        <v>267338</v>
      </c>
      <c r="F739" s="86">
        <v>28555</v>
      </c>
      <c r="G739" s="87">
        <v>10.681234999999999</v>
      </c>
    </row>
    <row r="740" spans="1:7" x14ac:dyDescent="0.25">
      <c r="A740" s="84" t="s">
        <v>1243</v>
      </c>
      <c r="B740" s="84" t="s">
        <v>67</v>
      </c>
      <c r="C740" s="84" t="s">
        <v>281</v>
      </c>
      <c r="D740" s="85">
        <v>45252</v>
      </c>
      <c r="E740" s="85">
        <v>735483</v>
      </c>
      <c r="F740" s="86">
        <v>92839</v>
      </c>
      <c r="G740" s="87">
        <v>12.622861</v>
      </c>
    </row>
    <row r="741" spans="1:7" x14ac:dyDescent="0.25">
      <c r="A741" s="84" t="s">
        <v>1244</v>
      </c>
      <c r="B741" s="84" t="s">
        <v>64</v>
      </c>
      <c r="C741" s="84" t="s">
        <v>281</v>
      </c>
      <c r="D741" s="85">
        <v>49215</v>
      </c>
      <c r="E741" s="85">
        <v>1017732</v>
      </c>
      <c r="F741" s="86">
        <v>113613</v>
      </c>
      <c r="G741" s="87">
        <v>11.163351</v>
      </c>
    </row>
    <row r="742" spans="1:7" x14ac:dyDescent="0.25">
      <c r="A742" s="84" t="s">
        <v>1245</v>
      </c>
      <c r="B742" s="84" t="s">
        <v>64</v>
      </c>
      <c r="C742" s="84" t="s">
        <v>281</v>
      </c>
      <c r="D742" s="85">
        <v>18872</v>
      </c>
      <c r="E742" s="85">
        <v>561493</v>
      </c>
      <c r="F742" s="86">
        <v>51515</v>
      </c>
      <c r="G742" s="87">
        <v>9.1746469000000008</v>
      </c>
    </row>
    <row r="743" spans="1:7" x14ac:dyDescent="0.25">
      <c r="A743" s="84" t="s">
        <v>1247</v>
      </c>
      <c r="B743" s="84" t="s">
        <v>64</v>
      </c>
      <c r="C743" s="84" t="s">
        <v>281</v>
      </c>
      <c r="D743" s="85">
        <v>37431</v>
      </c>
      <c r="E743" s="85">
        <v>838912</v>
      </c>
      <c r="F743" s="86">
        <v>85660</v>
      </c>
      <c r="G743" s="87">
        <v>10.210845000000001</v>
      </c>
    </row>
    <row r="744" spans="1:7" x14ac:dyDescent="0.25">
      <c r="A744" s="84" t="s">
        <v>1248</v>
      </c>
      <c r="B744" s="84" t="s">
        <v>64</v>
      </c>
      <c r="C744" s="84" t="s">
        <v>283</v>
      </c>
      <c r="D744" s="85">
        <v>3306</v>
      </c>
      <c r="E744" s="85">
        <v>161870</v>
      </c>
      <c r="F744" s="86">
        <v>11973</v>
      </c>
      <c r="G744" s="87">
        <v>7.3966763000000002</v>
      </c>
    </row>
    <row r="745" spans="1:7" x14ac:dyDescent="0.25">
      <c r="A745" s="84" t="s">
        <v>1249</v>
      </c>
      <c r="B745" s="84" t="s">
        <v>64</v>
      </c>
      <c r="C745" s="84" t="s">
        <v>283</v>
      </c>
      <c r="D745" s="85">
        <v>4002</v>
      </c>
      <c r="E745" s="85">
        <v>120030</v>
      </c>
      <c r="F745" s="86">
        <v>12065</v>
      </c>
      <c r="G745" s="87">
        <v>10.051653999999999</v>
      </c>
    </row>
    <row r="746" spans="1:7" x14ac:dyDescent="0.25">
      <c r="A746" s="84" t="s">
        <v>1250</v>
      </c>
      <c r="B746" s="84" t="s">
        <v>64</v>
      </c>
      <c r="C746" s="84" t="s">
        <v>283</v>
      </c>
      <c r="D746" s="85">
        <v>12752</v>
      </c>
      <c r="E746" s="85">
        <v>337559</v>
      </c>
      <c r="F746" s="86">
        <v>34970</v>
      </c>
      <c r="G746" s="87">
        <v>10.359669999999999</v>
      </c>
    </row>
    <row r="747" spans="1:7" x14ac:dyDescent="0.25">
      <c r="A747" s="84" t="s">
        <v>1251</v>
      </c>
      <c r="B747" s="84" t="s">
        <v>64</v>
      </c>
      <c r="C747" s="84" t="s">
        <v>283</v>
      </c>
      <c r="D747" s="85">
        <v>11811</v>
      </c>
      <c r="E747" s="85">
        <v>214171</v>
      </c>
      <c r="F747" s="86">
        <v>24257</v>
      </c>
      <c r="G747" s="87">
        <v>11.325996999999999</v>
      </c>
    </row>
    <row r="748" spans="1:7" x14ac:dyDescent="0.25">
      <c r="A748" s="84" t="s">
        <v>1252</v>
      </c>
      <c r="B748" s="84" t="s">
        <v>64</v>
      </c>
      <c r="C748" s="84" t="s">
        <v>283</v>
      </c>
      <c r="D748" s="85">
        <v>1204</v>
      </c>
      <c r="E748" s="85">
        <v>23187</v>
      </c>
      <c r="F748" s="86">
        <v>2819</v>
      </c>
      <c r="G748" s="87">
        <v>12.157674999999999</v>
      </c>
    </row>
    <row r="749" spans="1:7" x14ac:dyDescent="0.25">
      <c r="A749" s="84" t="s">
        <v>1253</v>
      </c>
      <c r="B749" s="84" t="s">
        <v>64</v>
      </c>
      <c r="C749" s="84" t="s">
        <v>283</v>
      </c>
      <c r="D749" s="85">
        <v>10978</v>
      </c>
      <c r="E749" s="85">
        <v>307096</v>
      </c>
      <c r="F749" s="86">
        <v>28429</v>
      </c>
      <c r="G749" s="87">
        <v>9.2573658000000005</v>
      </c>
    </row>
    <row r="750" spans="1:7" x14ac:dyDescent="0.25">
      <c r="A750" s="84" t="s">
        <v>1254</v>
      </c>
      <c r="B750" s="84" t="s">
        <v>64</v>
      </c>
      <c r="C750" s="84" t="s">
        <v>283</v>
      </c>
      <c r="D750" s="85">
        <v>5334</v>
      </c>
      <c r="E750" s="85">
        <v>85658</v>
      </c>
      <c r="F750" s="86">
        <v>9741</v>
      </c>
      <c r="G750" s="87">
        <v>11.371968000000001</v>
      </c>
    </row>
    <row r="751" spans="1:7" x14ac:dyDescent="0.25">
      <c r="A751" s="84" t="s">
        <v>1255</v>
      </c>
      <c r="B751" s="84" t="s">
        <v>64</v>
      </c>
      <c r="C751" s="84" t="s">
        <v>283</v>
      </c>
      <c r="D751" s="85">
        <v>9870</v>
      </c>
      <c r="E751" s="85">
        <v>203360</v>
      </c>
      <c r="F751" s="86">
        <v>21236</v>
      </c>
      <c r="G751" s="87">
        <v>10.442565</v>
      </c>
    </row>
    <row r="752" spans="1:7" x14ac:dyDescent="0.25">
      <c r="A752" s="84" t="s">
        <v>1256</v>
      </c>
      <c r="B752" s="84" t="s">
        <v>64</v>
      </c>
      <c r="C752" s="84" t="s">
        <v>283</v>
      </c>
      <c r="D752" s="85">
        <v>3839</v>
      </c>
      <c r="E752" s="85">
        <v>103273</v>
      </c>
      <c r="F752" s="86">
        <v>10365</v>
      </c>
      <c r="G752" s="87">
        <v>10.036505</v>
      </c>
    </row>
    <row r="753" spans="1:7" x14ac:dyDescent="0.25">
      <c r="A753" s="84" t="s">
        <v>1257</v>
      </c>
      <c r="B753" s="84" t="s">
        <v>64</v>
      </c>
      <c r="C753" s="84" t="s">
        <v>283</v>
      </c>
      <c r="D753" s="85">
        <v>14058</v>
      </c>
      <c r="E753" s="85">
        <v>411604</v>
      </c>
      <c r="F753" s="86">
        <v>38363</v>
      </c>
      <c r="G753" s="87">
        <v>9.3203662000000005</v>
      </c>
    </row>
    <row r="754" spans="1:7" x14ac:dyDescent="0.25">
      <c r="A754" s="84" t="s">
        <v>1258</v>
      </c>
      <c r="B754" s="84" t="s">
        <v>64</v>
      </c>
      <c r="C754" s="84" t="s">
        <v>283</v>
      </c>
      <c r="D754" s="85">
        <v>15376</v>
      </c>
      <c r="E754" s="85">
        <v>577420</v>
      </c>
      <c r="F754" s="86">
        <v>48945</v>
      </c>
      <c r="G754" s="87">
        <v>8.4764988999999993</v>
      </c>
    </row>
    <row r="755" spans="1:7" x14ac:dyDescent="0.25">
      <c r="A755" s="84" t="s">
        <v>1259</v>
      </c>
      <c r="B755" s="84" t="s">
        <v>64</v>
      </c>
      <c r="C755" s="84" t="s">
        <v>283</v>
      </c>
      <c r="D755" s="85">
        <v>2044</v>
      </c>
      <c r="E755" s="85">
        <v>60938</v>
      </c>
      <c r="F755" s="86">
        <v>5049</v>
      </c>
      <c r="G755" s="87">
        <v>8.2854705000000006</v>
      </c>
    </row>
    <row r="756" spans="1:7" x14ac:dyDescent="0.25">
      <c r="A756" s="84" t="s">
        <v>1260</v>
      </c>
      <c r="B756" s="84" t="s">
        <v>64</v>
      </c>
      <c r="C756" s="84" t="s">
        <v>283</v>
      </c>
      <c r="D756" s="85">
        <v>3880</v>
      </c>
      <c r="E756" s="85">
        <v>81162</v>
      </c>
      <c r="F756" s="86">
        <v>9405</v>
      </c>
      <c r="G756" s="87">
        <v>11.587935</v>
      </c>
    </row>
    <row r="757" spans="1:7" x14ac:dyDescent="0.25">
      <c r="A757" s="84" t="s">
        <v>1263</v>
      </c>
      <c r="B757" s="84" t="s">
        <v>64</v>
      </c>
      <c r="C757" s="84" t="s">
        <v>281</v>
      </c>
      <c r="D757" s="85">
        <v>84605</v>
      </c>
      <c r="E757" s="85">
        <v>1735021</v>
      </c>
      <c r="F757" s="86">
        <v>190774</v>
      </c>
      <c r="G757" s="87">
        <v>10.995487000000001</v>
      </c>
    </row>
    <row r="758" spans="1:7" x14ac:dyDescent="0.25">
      <c r="A758" s="84" t="s">
        <v>1264</v>
      </c>
      <c r="B758" s="84" t="s">
        <v>64</v>
      </c>
      <c r="C758" s="84" t="s">
        <v>281</v>
      </c>
      <c r="D758" s="85">
        <v>28327</v>
      </c>
      <c r="E758" s="85">
        <v>455355</v>
      </c>
      <c r="F758" s="86">
        <v>57072</v>
      </c>
      <c r="G758" s="87">
        <v>12.533518000000001</v>
      </c>
    </row>
    <row r="759" spans="1:7" x14ac:dyDescent="0.25">
      <c r="A759" s="84" t="s">
        <v>1265</v>
      </c>
      <c r="B759" s="84" t="s">
        <v>64</v>
      </c>
      <c r="C759" s="84" t="s">
        <v>281</v>
      </c>
      <c r="D759" s="85">
        <v>39727</v>
      </c>
      <c r="E759" s="85">
        <v>774288</v>
      </c>
      <c r="F759" s="86">
        <v>87886.7</v>
      </c>
      <c r="G759" s="87">
        <v>11.350647</v>
      </c>
    </row>
    <row r="760" spans="1:7" x14ac:dyDescent="0.25">
      <c r="A760" s="84" t="s">
        <v>1266</v>
      </c>
      <c r="B760" s="84" t="s">
        <v>64</v>
      </c>
      <c r="C760" s="84" t="s">
        <v>281</v>
      </c>
      <c r="D760" s="85">
        <v>12947</v>
      </c>
      <c r="E760" s="85">
        <v>209480</v>
      </c>
      <c r="F760" s="86">
        <v>26477</v>
      </c>
      <c r="G760" s="87">
        <v>12.639393</v>
      </c>
    </row>
    <row r="761" spans="1:7" x14ac:dyDescent="0.25">
      <c r="A761" s="84" t="s">
        <v>2393</v>
      </c>
      <c r="B761" s="84" t="s">
        <v>64</v>
      </c>
      <c r="C761" s="84" t="s">
        <v>278</v>
      </c>
      <c r="D761" s="85">
        <v>453497</v>
      </c>
      <c r="E761" s="85">
        <v>12401873</v>
      </c>
      <c r="F761" s="86">
        <v>1106309.3999999999</v>
      </c>
      <c r="G761" s="87">
        <v>8.9205026000000007</v>
      </c>
    </row>
    <row r="762" spans="1:7" x14ac:dyDescent="0.25">
      <c r="A762" s="84" t="s">
        <v>1268</v>
      </c>
      <c r="B762" s="84" t="s">
        <v>64</v>
      </c>
      <c r="C762" s="84" t="s">
        <v>283</v>
      </c>
      <c r="D762" s="85">
        <v>9230</v>
      </c>
      <c r="E762" s="85">
        <v>262828</v>
      </c>
      <c r="F762" s="86">
        <v>24752.2</v>
      </c>
      <c r="G762" s="87">
        <v>9.4176420000000007</v>
      </c>
    </row>
    <row r="763" spans="1:7" x14ac:dyDescent="0.25">
      <c r="A763" s="84" t="s">
        <v>1269</v>
      </c>
      <c r="B763" s="84" t="s">
        <v>64</v>
      </c>
      <c r="C763" s="84" t="s">
        <v>283</v>
      </c>
      <c r="D763" s="85">
        <v>3432</v>
      </c>
      <c r="E763" s="85">
        <v>120573</v>
      </c>
      <c r="F763" s="86">
        <v>10309</v>
      </c>
      <c r="G763" s="87">
        <v>8.5500070000000008</v>
      </c>
    </row>
    <row r="764" spans="1:7" x14ac:dyDescent="0.25">
      <c r="A764" s="84" t="s">
        <v>1270</v>
      </c>
      <c r="B764" s="84" t="s">
        <v>64</v>
      </c>
      <c r="C764" s="84" t="s">
        <v>281</v>
      </c>
      <c r="D764" s="85">
        <v>32466</v>
      </c>
      <c r="E764" s="85">
        <v>621544</v>
      </c>
      <c r="F764" s="86">
        <v>72959</v>
      </c>
      <c r="G764" s="87">
        <v>11.738348</v>
      </c>
    </row>
    <row r="765" spans="1:7" x14ac:dyDescent="0.25">
      <c r="A765" s="84" t="s">
        <v>1271</v>
      </c>
      <c r="B765" s="84" t="s">
        <v>64</v>
      </c>
      <c r="C765" s="84" t="s">
        <v>278</v>
      </c>
      <c r="D765" s="85">
        <v>189483</v>
      </c>
      <c r="E765" s="85">
        <v>9128910</v>
      </c>
      <c r="F765" s="86">
        <v>820568</v>
      </c>
      <c r="G765" s="87">
        <v>8.9886744000000007</v>
      </c>
    </row>
    <row r="766" spans="1:7" x14ac:dyDescent="0.25">
      <c r="A766" s="84" t="s">
        <v>1272</v>
      </c>
      <c r="B766" s="84" t="s">
        <v>64</v>
      </c>
      <c r="C766" s="84" t="s">
        <v>281</v>
      </c>
      <c r="D766" s="85">
        <v>11366</v>
      </c>
      <c r="E766" s="85">
        <v>195495</v>
      </c>
      <c r="F766" s="86">
        <v>22495</v>
      </c>
      <c r="G766" s="87">
        <v>11.506688</v>
      </c>
    </row>
    <row r="767" spans="1:7" x14ac:dyDescent="0.25">
      <c r="A767" s="84" t="s">
        <v>1273</v>
      </c>
      <c r="B767" s="84" t="s">
        <v>64</v>
      </c>
      <c r="C767" s="84" t="s">
        <v>281</v>
      </c>
      <c r="D767" s="85">
        <v>15973</v>
      </c>
      <c r="E767" s="85">
        <v>296087</v>
      </c>
      <c r="F767" s="86">
        <v>34028</v>
      </c>
      <c r="G767" s="87">
        <v>11.492568</v>
      </c>
    </row>
    <row r="768" spans="1:7" x14ac:dyDescent="0.25">
      <c r="A768" s="84" t="s">
        <v>1274</v>
      </c>
      <c r="B768" s="84" t="s">
        <v>64</v>
      </c>
      <c r="C768" s="84" t="s">
        <v>281</v>
      </c>
      <c r="D768" s="85">
        <v>27704</v>
      </c>
      <c r="E768" s="85">
        <v>628235</v>
      </c>
      <c r="F768" s="86">
        <v>64536</v>
      </c>
      <c r="G768" s="87">
        <v>10.272589</v>
      </c>
    </row>
    <row r="769" spans="1:7" x14ac:dyDescent="0.25">
      <c r="A769" s="84" t="s">
        <v>1275</v>
      </c>
      <c r="B769" s="84" t="s">
        <v>64</v>
      </c>
      <c r="C769" s="84" t="s">
        <v>281</v>
      </c>
      <c r="D769" s="85">
        <v>33138</v>
      </c>
      <c r="E769" s="85">
        <v>1061075</v>
      </c>
      <c r="F769" s="86">
        <v>104144</v>
      </c>
      <c r="G769" s="87">
        <v>9.8149517999999993</v>
      </c>
    </row>
    <row r="770" spans="1:7" x14ac:dyDescent="0.25">
      <c r="A770" s="84" t="s">
        <v>1276</v>
      </c>
      <c r="B770" s="84" t="s">
        <v>64</v>
      </c>
      <c r="C770" s="84" t="s">
        <v>281</v>
      </c>
      <c r="D770" s="85">
        <v>51145</v>
      </c>
      <c r="E770" s="85">
        <v>1004192</v>
      </c>
      <c r="F770" s="86">
        <v>120637</v>
      </c>
      <c r="G770" s="87">
        <v>12.013339999999999</v>
      </c>
    </row>
    <row r="771" spans="1:7" x14ac:dyDescent="0.25">
      <c r="A771" s="84" t="s">
        <v>1277</v>
      </c>
      <c r="B771" s="84" t="s">
        <v>64</v>
      </c>
      <c r="C771" s="84" t="s">
        <v>281</v>
      </c>
      <c r="D771" s="85">
        <v>19868</v>
      </c>
      <c r="E771" s="85">
        <v>402731</v>
      </c>
      <c r="F771" s="86">
        <v>44747</v>
      </c>
      <c r="G771" s="87">
        <v>11.110889999999999</v>
      </c>
    </row>
    <row r="772" spans="1:7" x14ac:dyDescent="0.25">
      <c r="A772" s="84" t="s">
        <v>1278</v>
      </c>
      <c r="B772" s="84" t="s">
        <v>64</v>
      </c>
      <c r="C772" s="84" t="s">
        <v>281</v>
      </c>
      <c r="D772" s="85">
        <v>13901</v>
      </c>
      <c r="E772" s="85">
        <v>325089</v>
      </c>
      <c r="F772" s="86">
        <v>29966</v>
      </c>
      <c r="G772" s="87">
        <v>9.2177834000000001</v>
      </c>
    </row>
    <row r="773" spans="1:7" x14ac:dyDescent="0.25">
      <c r="A773" s="84" t="s">
        <v>2362</v>
      </c>
      <c r="B773" s="84" t="s">
        <v>64</v>
      </c>
      <c r="C773" s="84" t="s">
        <v>281</v>
      </c>
      <c r="D773" s="85">
        <v>75645</v>
      </c>
      <c r="E773" s="85">
        <v>1354954</v>
      </c>
      <c r="F773" s="86">
        <v>151785.70000000001</v>
      </c>
      <c r="G773" s="87">
        <v>11.202277</v>
      </c>
    </row>
    <row r="774" spans="1:7" x14ac:dyDescent="0.25">
      <c r="A774" s="84" t="s">
        <v>2394</v>
      </c>
      <c r="B774" s="84" t="s">
        <v>64</v>
      </c>
      <c r="C774" s="84" t="s">
        <v>281</v>
      </c>
      <c r="D774" s="85">
        <v>68427</v>
      </c>
      <c r="E774" s="85">
        <v>1780932</v>
      </c>
      <c r="F774" s="86">
        <v>188862</v>
      </c>
      <c r="G774" s="87">
        <v>10.604672000000001</v>
      </c>
    </row>
    <row r="775" spans="1:7" x14ac:dyDescent="0.25">
      <c r="A775" s="84" t="s">
        <v>1281</v>
      </c>
      <c r="B775" s="84" t="s">
        <v>64</v>
      </c>
      <c r="C775" s="84" t="s">
        <v>281</v>
      </c>
      <c r="D775" s="85">
        <v>25289</v>
      </c>
      <c r="E775" s="85">
        <v>448277</v>
      </c>
      <c r="F775" s="86">
        <v>52161.9</v>
      </c>
      <c r="G775" s="87">
        <v>11.636087</v>
      </c>
    </row>
    <row r="776" spans="1:7" x14ac:dyDescent="0.25">
      <c r="A776" s="84" t="s">
        <v>1282</v>
      </c>
      <c r="B776" s="84" t="s">
        <v>64</v>
      </c>
      <c r="C776" s="84" t="s">
        <v>281</v>
      </c>
      <c r="D776" s="85">
        <v>27806</v>
      </c>
      <c r="E776" s="85">
        <v>641334</v>
      </c>
      <c r="F776" s="86">
        <v>68583</v>
      </c>
      <c r="G776" s="87">
        <v>10.693804</v>
      </c>
    </row>
    <row r="777" spans="1:7" x14ac:dyDescent="0.25">
      <c r="A777" s="84" t="s">
        <v>350</v>
      </c>
      <c r="B777" s="84" t="s">
        <v>64</v>
      </c>
      <c r="C777" s="84" t="s">
        <v>351</v>
      </c>
      <c r="D777" s="85">
        <v>8</v>
      </c>
      <c r="E777" s="85">
        <v>4438883</v>
      </c>
      <c r="F777" s="86">
        <v>136781.6</v>
      </c>
      <c r="G777" s="87">
        <v>3.0814419000000002</v>
      </c>
    </row>
    <row r="778" spans="1:7" x14ac:dyDescent="0.25">
      <c r="A778" s="84" t="s">
        <v>1283</v>
      </c>
      <c r="B778" s="84" t="s">
        <v>64</v>
      </c>
      <c r="C778" s="84" t="s">
        <v>281</v>
      </c>
      <c r="D778" s="85">
        <v>13925</v>
      </c>
      <c r="E778" s="85">
        <v>324268</v>
      </c>
      <c r="F778" s="86">
        <v>34076</v>
      </c>
      <c r="G778" s="87">
        <v>10.508592</v>
      </c>
    </row>
    <row r="779" spans="1:7" x14ac:dyDescent="0.25">
      <c r="A779" s="84" t="s">
        <v>1284</v>
      </c>
      <c r="B779" s="84" t="s">
        <v>64</v>
      </c>
      <c r="C779" s="84" t="s">
        <v>281</v>
      </c>
      <c r="D779" s="85">
        <v>13619</v>
      </c>
      <c r="E779" s="85">
        <v>269347</v>
      </c>
      <c r="F779" s="86">
        <v>29165</v>
      </c>
      <c r="G779" s="87">
        <v>10.82804</v>
      </c>
    </row>
    <row r="780" spans="1:7" x14ac:dyDescent="0.25">
      <c r="A780" s="84" t="s">
        <v>1285</v>
      </c>
      <c r="B780" s="84" t="s">
        <v>64</v>
      </c>
      <c r="C780" s="84" t="s">
        <v>281</v>
      </c>
      <c r="D780" s="85">
        <v>44565</v>
      </c>
      <c r="E780" s="85">
        <v>1069463</v>
      </c>
      <c r="F780" s="86">
        <v>107922</v>
      </c>
      <c r="G780" s="87">
        <v>10.091233000000001</v>
      </c>
    </row>
    <row r="781" spans="1:7" x14ac:dyDescent="0.25">
      <c r="A781" s="84" t="s">
        <v>1287</v>
      </c>
      <c r="B781" s="84" t="s">
        <v>64</v>
      </c>
      <c r="C781" s="84" t="s">
        <v>281</v>
      </c>
      <c r="D781" s="85">
        <v>10309</v>
      </c>
      <c r="E781" s="85">
        <v>560721</v>
      </c>
      <c r="F781" s="86">
        <v>48332</v>
      </c>
      <c r="G781" s="87">
        <v>8.6196164999999993</v>
      </c>
    </row>
    <row r="782" spans="1:7" x14ac:dyDescent="0.25">
      <c r="A782" s="84" t="s">
        <v>742</v>
      </c>
      <c r="B782" s="84" t="s">
        <v>70</v>
      </c>
      <c r="C782" s="84" t="s">
        <v>278</v>
      </c>
      <c r="D782" s="85">
        <v>31</v>
      </c>
      <c r="E782" s="85">
        <v>1023</v>
      </c>
      <c r="F782" s="86">
        <v>88.1</v>
      </c>
      <c r="G782" s="87">
        <v>8.6119257000000005</v>
      </c>
    </row>
    <row r="783" spans="1:7" x14ac:dyDescent="0.25">
      <c r="A783" s="84" t="s">
        <v>1291</v>
      </c>
      <c r="B783" s="84" t="s">
        <v>70</v>
      </c>
      <c r="C783" s="84" t="s">
        <v>278</v>
      </c>
      <c r="D783" s="85">
        <v>40</v>
      </c>
      <c r="E783" s="85">
        <v>146403</v>
      </c>
      <c r="F783" s="86">
        <v>9634</v>
      </c>
      <c r="G783" s="87">
        <v>6.5804662</v>
      </c>
    </row>
    <row r="784" spans="1:7" x14ac:dyDescent="0.25">
      <c r="A784" s="84" t="s">
        <v>747</v>
      </c>
      <c r="B784" s="84" t="s">
        <v>70</v>
      </c>
      <c r="C784" s="84" t="s">
        <v>281</v>
      </c>
      <c r="D784" s="85">
        <v>1999</v>
      </c>
      <c r="E784" s="85">
        <v>52976</v>
      </c>
      <c r="F784" s="86">
        <v>4641</v>
      </c>
      <c r="G784" s="87">
        <v>8.7605708</v>
      </c>
    </row>
    <row r="785" spans="1:7" x14ac:dyDescent="0.25">
      <c r="A785" s="84" t="s">
        <v>1292</v>
      </c>
      <c r="B785" s="84" t="s">
        <v>70</v>
      </c>
      <c r="C785" s="84" t="s">
        <v>281</v>
      </c>
      <c r="D785" s="85">
        <v>6531</v>
      </c>
      <c r="E785" s="85">
        <v>232808</v>
      </c>
      <c r="F785" s="86">
        <v>26489.9</v>
      </c>
      <c r="G785" s="87">
        <v>11.378432</v>
      </c>
    </row>
    <row r="786" spans="1:7" x14ac:dyDescent="0.25">
      <c r="A786" s="84" t="s">
        <v>1293</v>
      </c>
      <c r="B786" s="84" t="s">
        <v>70</v>
      </c>
      <c r="C786" s="84" t="s">
        <v>281</v>
      </c>
      <c r="D786" s="85">
        <v>68923</v>
      </c>
      <c r="E786" s="85">
        <v>1430840</v>
      </c>
      <c r="F786" s="86">
        <v>118868.3</v>
      </c>
      <c r="G786" s="87">
        <v>8.3075884999999996</v>
      </c>
    </row>
    <row r="787" spans="1:7" x14ac:dyDescent="0.25">
      <c r="A787" s="84" t="s">
        <v>1298</v>
      </c>
      <c r="B787" s="84" t="s">
        <v>70</v>
      </c>
      <c r="C787" s="84" t="s">
        <v>281</v>
      </c>
      <c r="D787" s="85">
        <v>5093</v>
      </c>
      <c r="E787" s="85">
        <v>186077</v>
      </c>
      <c r="F787" s="86">
        <v>19603</v>
      </c>
      <c r="G787" s="87">
        <v>10.534886</v>
      </c>
    </row>
    <row r="788" spans="1:7" x14ac:dyDescent="0.25">
      <c r="A788" s="84" t="s">
        <v>1301</v>
      </c>
      <c r="B788" s="84" t="s">
        <v>70</v>
      </c>
      <c r="C788" s="84" t="s">
        <v>281</v>
      </c>
      <c r="D788" s="85">
        <v>116</v>
      </c>
      <c r="E788" s="85">
        <v>711</v>
      </c>
      <c r="F788" s="86">
        <v>83.7</v>
      </c>
      <c r="G788" s="87">
        <v>11.772152</v>
      </c>
    </row>
    <row r="789" spans="1:7" x14ac:dyDescent="0.25">
      <c r="A789" s="84" t="s">
        <v>752</v>
      </c>
      <c r="B789" s="84" t="s">
        <v>70</v>
      </c>
      <c r="C789" s="84" t="s">
        <v>281</v>
      </c>
      <c r="D789" s="85">
        <v>15459</v>
      </c>
      <c r="E789" s="85">
        <v>238302</v>
      </c>
      <c r="F789" s="86">
        <v>23155.5</v>
      </c>
      <c r="G789" s="87">
        <v>9.7168718999999992</v>
      </c>
    </row>
    <row r="790" spans="1:7" x14ac:dyDescent="0.25">
      <c r="A790" s="84" t="s">
        <v>1303</v>
      </c>
      <c r="B790" s="84" t="s">
        <v>70</v>
      </c>
      <c r="C790" s="84" t="s">
        <v>278</v>
      </c>
      <c r="D790" s="85">
        <v>25616</v>
      </c>
      <c r="E790" s="85">
        <v>738083</v>
      </c>
      <c r="F790" s="86">
        <v>65729</v>
      </c>
      <c r="G790" s="87">
        <v>8.905367</v>
      </c>
    </row>
    <row r="791" spans="1:7" x14ac:dyDescent="0.25">
      <c r="A791" s="84" t="s">
        <v>1304</v>
      </c>
      <c r="B791" s="84" t="s">
        <v>70</v>
      </c>
      <c r="C791" s="84" t="s">
        <v>278</v>
      </c>
      <c r="D791" s="85">
        <v>382555</v>
      </c>
      <c r="E791" s="85">
        <v>5946918</v>
      </c>
      <c r="F791" s="86">
        <v>702441.4</v>
      </c>
      <c r="G791" s="87">
        <v>11.811856000000001</v>
      </c>
    </row>
    <row r="792" spans="1:7" x14ac:dyDescent="0.25">
      <c r="A792" s="84" t="s">
        <v>753</v>
      </c>
      <c r="B792" s="84" t="s">
        <v>70</v>
      </c>
      <c r="C792" s="84" t="s">
        <v>281</v>
      </c>
      <c r="D792" s="85">
        <v>4694</v>
      </c>
      <c r="E792" s="85">
        <v>57423</v>
      </c>
      <c r="F792" s="86">
        <v>6745</v>
      </c>
      <c r="G792" s="87">
        <v>11.746164</v>
      </c>
    </row>
    <row r="793" spans="1:7" x14ac:dyDescent="0.25">
      <c r="A793" s="84" t="s">
        <v>2395</v>
      </c>
      <c r="B793" s="84" t="s">
        <v>70</v>
      </c>
      <c r="C793" s="84" t="s">
        <v>281</v>
      </c>
      <c r="D793" s="85">
        <v>174</v>
      </c>
      <c r="E793" s="85">
        <v>85482</v>
      </c>
      <c r="F793" s="86">
        <v>5620.7</v>
      </c>
      <c r="G793" s="87">
        <v>6.5753024</v>
      </c>
    </row>
    <row r="794" spans="1:7" x14ac:dyDescent="0.25">
      <c r="A794" s="84" t="s">
        <v>1311</v>
      </c>
      <c r="B794" s="84" t="s">
        <v>70</v>
      </c>
      <c r="C794" s="84" t="s">
        <v>351</v>
      </c>
      <c r="D794" s="85">
        <v>21669</v>
      </c>
      <c r="E794" s="85">
        <v>375037</v>
      </c>
      <c r="F794" s="86">
        <v>24696.799999999999</v>
      </c>
      <c r="G794" s="87">
        <v>6.5851635999999996</v>
      </c>
    </row>
    <row r="795" spans="1:7" x14ac:dyDescent="0.25">
      <c r="A795" s="84" t="s">
        <v>422</v>
      </c>
      <c r="B795" s="84" t="s">
        <v>70</v>
      </c>
      <c r="C795" s="84" t="s">
        <v>351</v>
      </c>
      <c r="D795" s="85">
        <v>15</v>
      </c>
      <c r="E795" s="85">
        <v>128306</v>
      </c>
      <c r="F795" s="86">
        <v>2458.4</v>
      </c>
      <c r="G795" s="87">
        <v>1.9160444999999999</v>
      </c>
    </row>
    <row r="796" spans="1:7" x14ac:dyDescent="0.25">
      <c r="A796" s="84" t="s">
        <v>2396</v>
      </c>
      <c r="B796" s="84" t="s">
        <v>70</v>
      </c>
      <c r="C796" s="84" t="s">
        <v>281</v>
      </c>
      <c r="D796" s="85">
        <v>21103</v>
      </c>
      <c r="E796" s="85">
        <v>289405</v>
      </c>
      <c r="F796" s="86">
        <v>36063</v>
      </c>
      <c r="G796" s="87">
        <v>12.461084</v>
      </c>
    </row>
    <row r="797" spans="1:7" x14ac:dyDescent="0.25">
      <c r="A797" s="84" t="s">
        <v>1313</v>
      </c>
      <c r="B797" s="84" t="s">
        <v>89</v>
      </c>
      <c r="C797" s="84" t="s">
        <v>281</v>
      </c>
      <c r="D797" s="85">
        <v>13259</v>
      </c>
      <c r="E797" s="85">
        <v>213955</v>
      </c>
      <c r="F797" s="86">
        <v>28479</v>
      </c>
      <c r="G797" s="87">
        <v>13.310743</v>
      </c>
    </row>
    <row r="798" spans="1:7" x14ac:dyDescent="0.25">
      <c r="A798" s="84" t="s">
        <v>1314</v>
      </c>
      <c r="B798" s="84" t="s">
        <v>89</v>
      </c>
      <c r="C798" s="84" t="s">
        <v>281</v>
      </c>
      <c r="D798" s="85">
        <v>77549</v>
      </c>
      <c r="E798" s="85">
        <v>1076189</v>
      </c>
      <c r="F798" s="86">
        <v>129559</v>
      </c>
      <c r="G798" s="87">
        <v>12.038684999999999</v>
      </c>
    </row>
    <row r="799" spans="1:7" x14ac:dyDescent="0.25">
      <c r="A799" s="84" t="s">
        <v>578</v>
      </c>
      <c r="B799" s="84" t="s">
        <v>89</v>
      </c>
      <c r="C799" s="84" t="s">
        <v>281</v>
      </c>
      <c r="D799" s="85">
        <v>18596</v>
      </c>
      <c r="E799" s="85">
        <v>201990</v>
      </c>
      <c r="F799" s="86">
        <v>26617</v>
      </c>
      <c r="G799" s="87">
        <v>13.177384999999999</v>
      </c>
    </row>
    <row r="800" spans="1:7" x14ac:dyDescent="0.25">
      <c r="A800" s="84" t="s">
        <v>1315</v>
      </c>
      <c r="B800" s="84" t="s">
        <v>89</v>
      </c>
      <c r="C800" s="84" t="s">
        <v>281</v>
      </c>
      <c r="D800" s="85">
        <v>443</v>
      </c>
      <c r="E800" s="85">
        <v>5664</v>
      </c>
      <c r="F800" s="86">
        <v>792</v>
      </c>
      <c r="G800" s="87">
        <v>13.983051</v>
      </c>
    </row>
    <row r="801" spans="1:7" x14ac:dyDescent="0.25">
      <c r="A801" s="84" t="s">
        <v>1316</v>
      </c>
      <c r="B801" s="84" t="s">
        <v>89</v>
      </c>
      <c r="C801" s="84" t="s">
        <v>281</v>
      </c>
      <c r="D801" s="85">
        <v>97505</v>
      </c>
      <c r="E801" s="85">
        <v>1390006</v>
      </c>
      <c r="F801" s="86">
        <v>180344.6</v>
      </c>
      <c r="G801" s="87">
        <v>12.974375999999999</v>
      </c>
    </row>
    <row r="802" spans="1:7" x14ac:dyDescent="0.25">
      <c r="A802" s="84" t="s">
        <v>1318</v>
      </c>
      <c r="B802" s="84" t="s">
        <v>89</v>
      </c>
      <c r="C802" s="84" t="s">
        <v>281</v>
      </c>
      <c r="D802" s="85">
        <v>41362</v>
      </c>
      <c r="E802" s="85">
        <v>579057</v>
      </c>
      <c r="F802" s="86">
        <v>65188.3</v>
      </c>
      <c r="G802" s="87">
        <v>11.257664999999999</v>
      </c>
    </row>
    <row r="803" spans="1:7" x14ac:dyDescent="0.25">
      <c r="A803" s="84" t="s">
        <v>1319</v>
      </c>
      <c r="B803" s="84" t="s">
        <v>89</v>
      </c>
      <c r="C803" s="84" t="s">
        <v>281</v>
      </c>
      <c r="D803" s="85">
        <v>23394</v>
      </c>
      <c r="E803" s="85">
        <v>414666</v>
      </c>
      <c r="F803" s="86">
        <v>52759</v>
      </c>
      <c r="G803" s="87">
        <v>12.723252</v>
      </c>
    </row>
    <row r="804" spans="1:7" x14ac:dyDescent="0.25">
      <c r="A804" s="84" t="s">
        <v>1320</v>
      </c>
      <c r="B804" s="84" t="s">
        <v>89</v>
      </c>
      <c r="C804" s="84" t="s">
        <v>283</v>
      </c>
      <c r="D804" s="85">
        <v>12314</v>
      </c>
      <c r="E804" s="85">
        <v>261018</v>
      </c>
      <c r="F804" s="86">
        <v>29687.8</v>
      </c>
      <c r="G804" s="87">
        <v>11.373851999999999</v>
      </c>
    </row>
    <row r="805" spans="1:7" x14ac:dyDescent="0.25">
      <c r="A805" s="84" t="s">
        <v>1321</v>
      </c>
      <c r="B805" s="84" t="s">
        <v>89</v>
      </c>
      <c r="C805" s="84" t="s">
        <v>283</v>
      </c>
      <c r="D805" s="85">
        <v>32737</v>
      </c>
      <c r="E805" s="85">
        <v>856136</v>
      </c>
      <c r="F805" s="86">
        <v>79097.3</v>
      </c>
      <c r="G805" s="87">
        <v>9.2388709000000002</v>
      </c>
    </row>
    <row r="806" spans="1:7" x14ac:dyDescent="0.25">
      <c r="A806" s="84" t="s">
        <v>1322</v>
      </c>
      <c r="B806" s="84" t="s">
        <v>89</v>
      </c>
      <c r="C806" s="84" t="s">
        <v>283</v>
      </c>
      <c r="D806" s="85">
        <v>13967</v>
      </c>
      <c r="E806" s="85">
        <v>279813</v>
      </c>
      <c r="F806" s="86">
        <v>29043.1</v>
      </c>
      <c r="G806" s="87">
        <v>10.379467999999999</v>
      </c>
    </row>
    <row r="807" spans="1:7" x14ac:dyDescent="0.25">
      <c r="A807" s="84" t="s">
        <v>1323</v>
      </c>
      <c r="B807" s="84" t="s">
        <v>89</v>
      </c>
      <c r="C807" s="84" t="s">
        <v>283</v>
      </c>
      <c r="D807" s="85">
        <v>29120</v>
      </c>
      <c r="E807" s="85">
        <v>683193</v>
      </c>
      <c r="F807" s="86">
        <v>75016</v>
      </c>
      <c r="G807" s="87">
        <v>10.980206000000001</v>
      </c>
    </row>
    <row r="808" spans="1:7" x14ac:dyDescent="0.25">
      <c r="A808" s="84" t="s">
        <v>1325</v>
      </c>
      <c r="B808" s="84" t="s">
        <v>89</v>
      </c>
      <c r="C808" s="84" t="s">
        <v>283</v>
      </c>
      <c r="D808" s="85">
        <v>11801</v>
      </c>
      <c r="E808" s="85">
        <v>419553</v>
      </c>
      <c r="F808" s="86">
        <v>43939.7</v>
      </c>
      <c r="G808" s="87">
        <v>10.47298</v>
      </c>
    </row>
    <row r="809" spans="1:7" x14ac:dyDescent="0.25">
      <c r="A809" s="84" t="s">
        <v>1327</v>
      </c>
      <c r="B809" s="84" t="s">
        <v>89</v>
      </c>
      <c r="C809" s="84" t="s">
        <v>283</v>
      </c>
      <c r="D809" s="85">
        <v>19319</v>
      </c>
      <c r="E809" s="85">
        <v>375647</v>
      </c>
      <c r="F809" s="86">
        <v>45837.4</v>
      </c>
      <c r="G809" s="87">
        <v>12.202254</v>
      </c>
    </row>
    <row r="810" spans="1:7" x14ac:dyDescent="0.25">
      <c r="A810" s="84" t="s">
        <v>1328</v>
      </c>
      <c r="B810" s="84" t="s">
        <v>89</v>
      </c>
      <c r="C810" s="84" t="s">
        <v>283</v>
      </c>
      <c r="D810" s="85">
        <v>11253</v>
      </c>
      <c r="E810" s="85">
        <v>229989</v>
      </c>
      <c r="F810" s="86">
        <v>27287</v>
      </c>
      <c r="G810" s="87">
        <v>11.86448</v>
      </c>
    </row>
    <row r="811" spans="1:7" x14ac:dyDescent="0.25">
      <c r="A811" s="84" t="s">
        <v>1329</v>
      </c>
      <c r="B811" s="84" t="s">
        <v>89</v>
      </c>
      <c r="C811" s="84" t="s">
        <v>283</v>
      </c>
      <c r="D811" s="85">
        <v>11079</v>
      </c>
      <c r="E811" s="85">
        <v>590393</v>
      </c>
      <c r="F811" s="86">
        <v>53928</v>
      </c>
      <c r="G811" s="87">
        <v>9.1342546000000002</v>
      </c>
    </row>
    <row r="812" spans="1:7" x14ac:dyDescent="0.25">
      <c r="A812" s="84" t="s">
        <v>1330</v>
      </c>
      <c r="B812" s="84" t="s">
        <v>89</v>
      </c>
      <c r="C812" s="84" t="s">
        <v>283</v>
      </c>
      <c r="D812" s="85">
        <v>8465</v>
      </c>
      <c r="E812" s="85">
        <v>305115</v>
      </c>
      <c r="F812" s="86">
        <v>28092.400000000001</v>
      </c>
      <c r="G812" s="87">
        <v>9.2071514000000008</v>
      </c>
    </row>
    <row r="813" spans="1:7" x14ac:dyDescent="0.25">
      <c r="A813" s="84" t="s">
        <v>1331</v>
      </c>
      <c r="B813" s="84" t="s">
        <v>89</v>
      </c>
      <c r="C813" s="84" t="s">
        <v>283</v>
      </c>
      <c r="D813" s="85">
        <v>23011</v>
      </c>
      <c r="E813" s="85">
        <v>432340</v>
      </c>
      <c r="F813" s="86">
        <v>49346</v>
      </c>
      <c r="G813" s="87">
        <v>11.413702000000001</v>
      </c>
    </row>
    <row r="814" spans="1:7" x14ac:dyDescent="0.25">
      <c r="A814" s="84" t="s">
        <v>1333</v>
      </c>
      <c r="B814" s="84" t="s">
        <v>89</v>
      </c>
      <c r="C814" s="84" t="s">
        <v>283</v>
      </c>
      <c r="D814" s="85">
        <v>28657</v>
      </c>
      <c r="E814" s="85">
        <v>661436</v>
      </c>
      <c r="F814" s="86">
        <v>72045</v>
      </c>
      <c r="G814" s="87">
        <v>10.89221</v>
      </c>
    </row>
    <row r="815" spans="1:7" x14ac:dyDescent="0.25">
      <c r="A815" s="84" t="s">
        <v>1335</v>
      </c>
      <c r="B815" s="84" t="s">
        <v>89</v>
      </c>
      <c r="C815" s="84" t="s">
        <v>283</v>
      </c>
      <c r="D815" s="85">
        <v>13902</v>
      </c>
      <c r="E815" s="85">
        <v>443718</v>
      </c>
      <c r="F815" s="86">
        <v>42837.9</v>
      </c>
      <c r="G815" s="87">
        <v>9.6543074999999998</v>
      </c>
    </row>
    <row r="816" spans="1:7" x14ac:dyDescent="0.25">
      <c r="A816" s="84" t="s">
        <v>1336</v>
      </c>
      <c r="B816" s="84" t="s">
        <v>89</v>
      </c>
      <c r="C816" s="84" t="s">
        <v>283</v>
      </c>
      <c r="D816" s="85">
        <v>13872</v>
      </c>
      <c r="E816" s="85">
        <v>254070</v>
      </c>
      <c r="F816" s="86">
        <v>31717.599999999999</v>
      </c>
      <c r="G816" s="87">
        <v>12.483803999999999</v>
      </c>
    </row>
    <row r="817" spans="1:7" x14ac:dyDescent="0.25">
      <c r="A817" s="84" t="s">
        <v>1337</v>
      </c>
      <c r="B817" s="84" t="s">
        <v>89</v>
      </c>
      <c r="C817" s="84" t="s">
        <v>283</v>
      </c>
      <c r="D817" s="85">
        <v>35218</v>
      </c>
      <c r="E817" s="85">
        <v>1181851</v>
      </c>
      <c r="F817" s="86">
        <v>115900</v>
      </c>
      <c r="G817" s="87">
        <v>9.8066507999999999</v>
      </c>
    </row>
    <row r="818" spans="1:7" x14ac:dyDescent="0.25">
      <c r="A818" s="84" t="s">
        <v>1338</v>
      </c>
      <c r="B818" s="84" t="s">
        <v>89</v>
      </c>
      <c r="C818" s="84" t="s">
        <v>278</v>
      </c>
      <c r="D818" s="85">
        <v>2084380</v>
      </c>
      <c r="E818" s="85">
        <v>55703047</v>
      </c>
      <c r="F818" s="86">
        <v>4653435.5999999996</v>
      </c>
      <c r="G818" s="87">
        <v>8.3540054999999995</v>
      </c>
    </row>
    <row r="819" spans="1:7" x14ac:dyDescent="0.25">
      <c r="A819" s="84" t="s">
        <v>1339</v>
      </c>
      <c r="B819" s="84" t="s">
        <v>89</v>
      </c>
      <c r="C819" s="84" t="s">
        <v>278</v>
      </c>
      <c r="D819" s="85">
        <v>1448325</v>
      </c>
      <c r="E819" s="85">
        <v>36297536</v>
      </c>
      <c r="F819" s="86">
        <v>3470054</v>
      </c>
      <c r="G819" s="87">
        <v>9.5600263000000005</v>
      </c>
    </row>
    <row r="820" spans="1:7" x14ac:dyDescent="0.25">
      <c r="A820" s="84" t="s">
        <v>1340</v>
      </c>
      <c r="B820" s="84" t="s">
        <v>89</v>
      </c>
      <c r="C820" s="84" t="s">
        <v>281</v>
      </c>
      <c r="D820" s="85">
        <v>11453</v>
      </c>
      <c r="E820" s="85">
        <v>213292</v>
      </c>
      <c r="F820" s="86">
        <v>26629</v>
      </c>
      <c r="G820" s="87">
        <v>12.484762999999999</v>
      </c>
    </row>
    <row r="821" spans="1:7" x14ac:dyDescent="0.25">
      <c r="A821" s="84" t="s">
        <v>1341</v>
      </c>
      <c r="B821" s="84" t="s">
        <v>89</v>
      </c>
      <c r="C821" s="84" t="s">
        <v>281</v>
      </c>
      <c r="D821" s="85">
        <v>132141</v>
      </c>
      <c r="E821" s="85">
        <v>2594534</v>
      </c>
      <c r="F821" s="86">
        <v>265547</v>
      </c>
      <c r="G821" s="87">
        <v>10.234863000000001</v>
      </c>
    </row>
    <row r="822" spans="1:7" x14ac:dyDescent="0.25">
      <c r="A822" s="84" t="s">
        <v>1342</v>
      </c>
      <c r="B822" s="84" t="s">
        <v>89</v>
      </c>
      <c r="C822" s="84" t="s">
        <v>283</v>
      </c>
      <c r="D822" s="85">
        <v>83906</v>
      </c>
      <c r="E822" s="85">
        <v>1915980</v>
      </c>
      <c r="F822" s="86">
        <v>197986</v>
      </c>
      <c r="G822" s="87">
        <v>10.333406</v>
      </c>
    </row>
    <row r="823" spans="1:7" x14ac:dyDescent="0.25">
      <c r="A823" s="84" t="s">
        <v>1343</v>
      </c>
      <c r="B823" s="84" t="s">
        <v>89</v>
      </c>
      <c r="C823" s="84" t="s">
        <v>281</v>
      </c>
      <c r="D823" s="85">
        <v>33234</v>
      </c>
      <c r="E823" s="85">
        <v>957198</v>
      </c>
      <c r="F823" s="86">
        <v>95678.1</v>
      </c>
      <c r="G823" s="87">
        <v>9.9956434999999999</v>
      </c>
    </row>
    <row r="824" spans="1:7" x14ac:dyDescent="0.25">
      <c r="A824" s="84" t="s">
        <v>1344</v>
      </c>
      <c r="B824" s="84" t="s">
        <v>89</v>
      </c>
      <c r="C824" s="84" t="s">
        <v>281</v>
      </c>
      <c r="D824" s="85">
        <v>37919</v>
      </c>
      <c r="E824" s="85">
        <v>513913</v>
      </c>
      <c r="F824" s="86">
        <v>55507</v>
      </c>
      <c r="G824" s="87">
        <v>10.800855</v>
      </c>
    </row>
    <row r="825" spans="1:7" x14ac:dyDescent="0.25">
      <c r="A825" s="84" t="s">
        <v>1345</v>
      </c>
      <c r="B825" s="84" t="s">
        <v>89</v>
      </c>
      <c r="C825" s="84" t="s">
        <v>283</v>
      </c>
      <c r="D825" s="85">
        <v>69981</v>
      </c>
      <c r="E825" s="85">
        <v>1685002</v>
      </c>
      <c r="F825" s="86">
        <v>165798.29999999999</v>
      </c>
      <c r="G825" s="87">
        <v>9.8396500000000007</v>
      </c>
    </row>
    <row r="826" spans="1:7" x14ac:dyDescent="0.25">
      <c r="A826" s="84" t="s">
        <v>622</v>
      </c>
      <c r="B826" s="84" t="s">
        <v>89</v>
      </c>
      <c r="C826" s="84" t="s">
        <v>281</v>
      </c>
      <c r="D826" s="85">
        <v>26621</v>
      </c>
      <c r="E826" s="85">
        <v>296397</v>
      </c>
      <c r="F826" s="86">
        <v>42581.3</v>
      </c>
      <c r="G826" s="87">
        <v>14.366306</v>
      </c>
    </row>
    <row r="827" spans="1:7" x14ac:dyDescent="0.25">
      <c r="A827" s="84" t="s">
        <v>1347</v>
      </c>
      <c r="B827" s="84" t="s">
        <v>89</v>
      </c>
      <c r="C827" s="84" t="s">
        <v>281</v>
      </c>
      <c r="D827" s="85">
        <v>77844</v>
      </c>
      <c r="E827" s="85">
        <v>1211614</v>
      </c>
      <c r="F827" s="86">
        <v>137317.29999999999</v>
      </c>
      <c r="G827" s="87">
        <v>11.33342</v>
      </c>
    </row>
    <row r="828" spans="1:7" x14ac:dyDescent="0.25">
      <c r="A828" s="84" t="s">
        <v>1348</v>
      </c>
      <c r="B828" s="84" t="s">
        <v>89</v>
      </c>
      <c r="C828" s="84" t="s">
        <v>281</v>
      </c>
      <c r="D828" s="85">
        <v>63439</v>
      </c>
      <c r="E828" s="85">
        <v>1272993</v>
      </c>
      <c r="F828" s="86">
        <v>137059.6</v>
      </c>
      <c r="G828" s="87">
        <v>10.766721</v>
      </c>
    </row>
    <row r="829" spans="1:7" x14ac:dyDescent="0.25">
      <c r="A829" s="84" t="s">
        <v>1349</v>
      </c>
      <c r="B829" s="84" t="s">
        <v>89</v>
      </c>
      <c r="C829" s="84" t="s">
        <v>281</v>
      </c>
      <c r="D829" s="85">
        <v>130</v>
      </c>
      <c r="E829" s="85">
        <v>1778</v>
      </c>
      <c r="F829" s="86">
        <v>228.2</v>
      </c>
      <c r="G829" s="87">
        <v>12.834645999999999</v>
      </c>
    </row>
    <row r="830" spans="1:7" x14ac:dyDescent="0.25">
      <c r="A830" s="84" t="s">
        <v>1350</v>
      </c>
      <c r="B830" s="84" t="s">
        <v>89</v>
      </c>
      <c r="C830" s="84" t="s">
        <v>281</v>
      </c>
      <c r="D830" s="85">
        <v>19304</v>
      </c>
      <c r="E830" s="85">
        <v>266633</v>
      </c>
      <c r="F830" s="86">
        <v>29581</v>
      </c>
      <c r="G830" s="87">
        <v>11.094276000000001</v>
      </c>
    </row>
    <row r="831" spans="1:7" x14ac:dyDescent="0.25">
      <c r="A831" s="84" t="s">
        <v>1351</v>
      </c>
      <c r="B831" s="84" t="s">
        <v>89</v>
      </c>
      <c r="C831" s="84" t="s">
        <v>174</v>
      </c>
      <c r="D831" s="85">
        <v>8538</v>
      </c>
      <c r="E831" s="85">
        <v>191618</v>
      </c>
      <c r="F831" s="86">
        <v>17784.2</v>
      </c>
      <c r="G831" s="87">
        <v>9.2810696000000004</v>
      </c>
    </row>
    <row r="832" spans="1:7" x14ac:dyDescent="0.25">
      <c r="A832" s="84" t="s">
        <v>1352</v>
      </c>
      <c r="B832" s="84" t="s">
        <v>89</v>
      </c>
      <c r="C832" s="84" t="s">
        <v>281</v>
      </c>
      <c r="D832" s="85">
        <v>21264</v>
      </c>
      <c r="E832" s="85">
        <v>374046</v>
      </c>
      <c r="F832" s="86">
        <v>45400</v>
      </c>
      <c r="G832" s="87">
        <v>12.137544999999999</v>
      </c>
    </row>
    <row r="833" spans="1:7" x14ac:dyDescent="0.25">
      <c r="A833" s="84" t="s">
        <v>1353</v>
      </c>
      <c r="B833" s="84" t="s">
        <v>89</v>
      </c>
      <c r="C833" s="84" t="s">
        <v>281</v>
      </c>
      <c r="D833" s="85">
        <v>32923</v>
      </c>
      <c r="E833" s="85">
        <v>466482</v>
      </c>
      <c r="F833" s="86">
        <v>64691.4</v>
      </c>
      <c r="G833" s="87">
        <v>13.867931</v>
      </c>
    </row>
    <row r="834" spans="1:7" x14ac:dyDescent="0.25">
      <c r="A834" s="84" t="s">
        <v>1355</v>
      </c>
      <c r="B834" s="84" t="s">
        <v>89</v>
      </c>
      <c r="C834" s="84" t="s">
        <v>281</v>
      </c>
      <c r="D834" s="85">
        <v>32554</v>
      </c>
      <c r="E834" s="85">
        <v>498788</v>
      </c>
      <c r="F834" s="86">
        <v>62369.599999999999</v>
      </c>
      <c r="G834" s="87">
        <v>12.50423</v>
      </c>
    </row>
    <row r="835" spans="1:7" x14ac:dyDescent="0.25">
      <c r="A835" s="84" t="s">
        <v>1356</v>
      </c>
      <c r="B835" s="84" t="s">
        <v>89</v>
      </c>
      <c r="C835" s="84" t="s">
        <v>281</v>
      </c>
      <c r="D835" s="85">
        <v>14169</v>
      </c>
      <c r="E835" s="85">
        <v>256835</v>
      </c>
      <c r="F835" s="86">
        <v>38709</v>
      </c>
      <c r="G835" s="87">
        <v>15.071543999999999</v>
      </c>
    </row>
    <row r="836" spans="1:7" x14ac:dyDescent="0.25">
      <c r="A836" s="84" t="s">
        <v>1357</v>
      </c>
      <c r="B836" s="84" t="s">
        <v>89</v>
      </c>
      <c r="C836" s="84" t="s">
        <v>281</v>
      </c>
      <c r="D836" s="85">
        <v>71036</v>
      </c>
      <c r="E836" s="85">
        <v>1268637</v>
      </c>
      <c r="F836" s="86">
        <v>136836.5</v>
      </c>
      <c r="G836" s="87">
        <v>10.786104</v>
      </c>
    </row>
    <row r="837" spans="1:7" x14ac:dyDescent="0.25">
      <c r="A837" s="84" t="s">
        <v>1358</v>
      </c>
      <c r="B837" s="84" t="s">
        <v>89</v>
      </c>
      <c r="C837" s="84" t="s">
        <v>281</v>
      </c>
      <c r="D837" s="85">
        <v>45526</v>
      </c>
      <c r="E837" s="85">
        <v>788668</v>
      </c>
      <c r="F837" s="86">
        <v>95690</v>
      </c>
      <c r="G837" s="87">
        <v>12.133115999999999</v>
      </c>
    </row>
    <row r="838" spans="1:7" x14ac:dyDescent="0.25">
      <c r="A838" s="84" t="s">
        <v>1359</v>
      </c>
      <c r="B838" s="84" t="s">
        <v>89</v>
      </c>
      <c r="C838" s="84" t="s">
        <v>281</v>
      </c>
      <c r="D838" s="85">
        <v>27215</v>
      </c>
      <c r="E838" s="85">
        <v>355074</v>
      </c>
      <c r="F838" s="86">
        <v>53115.1</v>
      </c>
      <c r="G838" s="87">
        <v>14.958881999999999</v>
      </c>
    </row>
    <row r="839" spans="1:7" x14ac:dyDescent="0.25">
      <c r="A839" s="84" t="s">
        <v>350</v>
      </c>
      <c r="B839" s="84" t="s">
        <v>89</v>
      </c>
      <c r="C839" s="84" t="s">
        <v>351</v>
      </c>
      <c r="D839" s="85">
        <v>1</v>
      </c>
      <c r="E839" s="85">
        <v>1968</v>
      </c>
      <c r="F839" s="86">
        <v>197.3</v>
      </c>
      <c r="G839" s="87">
        <v>10.025407</v>
      </c>
    </row>
    <row r="840" spans="1:7" x14ac:dyDescent="0.25">
      <c r="A840" s="84" t="s">
        <v>1360</v>
      </c>
      <c r="B840" s="84" t="s">
        <v>89</v>
      </c>
      <c r="C840" s="84" t="s">
        <v>281</v>
      </c>
      <c r="D840" s="85">
        <v>23146</v>
      </c>
      <c r="E840" s="85">
        <v>331012</v>
      </c>
      <c r="F840" s="86">
        <v>46605</v>
      </c>
      <c r="G840" s="87">
        <v>14.079549999999999</v>
      </c>
    </row>
    <row r="841" spans="1:7" x14ac:dyDescent="0.25">
      <c r="A841" s="84" t="s">
        <v>1361</v>
      </c>
      <c r="B841" s="84" t="s">
        <v>89</v>
      </c>
      <c r="C841" s="84" t="s">
        <v>283</v>
      </c>
      <c r="D841" s="85">
        <v>25135</v>
      </c>
      <c r="E841" s="85">
        <v>347491</v>
      </c>
      <c r="F841" s="86">
        <v>34109.699999999997</v>
      </c>
      <c r="G841" s="87">
        <v>9.8159951999999997</v>
      </c>
    </row>
    <row r="842" spans="1:7" x14ac:dyDescent="0.25">
      <c r="A842" s="84" t="s">
        <v>1365</v>
      </c>
      <c r="B842" s="84" t="s">
        <v>89</v>
      </c>
      <c r="C842" s="84" t="s">
        <v>283</v>
      </c>
      <c r="D842" s="85">
        <v>41905</v>
      </c>
      <c r="E842" s="85">
        <v>1137103</v>
      </c>
      <c r="F842" s="86">
        <v>125849</v>
      </c>
      <c r="G842" s="87">
        <v>11.067511</v>
      </c>
    </row>
    <row r="843" spans="1:7" x14ac:dyDescent="0.25">
      <c r="A843" s="84" t="s">
        <v>1366</v>
      </c>
      <c r="B843" s="84" t="s">
        <v>89</v>
      </c>
      <c r="C843" s="84" t="s">
        <v>283</v>
      </c>
      <c r="D843" s="85">
        <v>7265</v>
      </c>
      <c r="E843" s="85">
        <v>232432</v>
      </c>
      <c r="F843" s="86">
        <v>19560.3</v>
      </c>
      <c r="G843" s="87">
        <v>8.4154935999999996</v>
      </c>
    </row>
    <row r="844" spans="1:7" x14ac:dyDescent="0.25">
      <c r="A844" s="84" t="s">
        <v>1367</v>
      </c>
      <c r="B844" s="84" t="s">
        <v>89</v>
      </c>
      <c r="C844" s="84" t="s">
        <v>283</v>
      </c>
      <c r="D844" s="85">
        <v>5149</v>
      </c>
      <c r="E844" s="85">
        <v>306190</v>
      </c>
      <c r="F844" s="86">
        <v>20518</v>
      </c>
      <c r="G844" s="87">
        <v>6.7010680000000002</v>
      </c>
    </row>
    <row r="845" spans="1:7" x14ac:dyDescent="0.25">
      <c r="A845" s="84" t="s">
        <v>1370</v>
      </c>
      <c r="B845" s="84" t="s">
        <v>89</v>
      </c>
      <c r="C845" s="84" t="s">
        <v>283</v>
      </c>
      <c r="D845" s="85">
        <v>6255</v>
      </c>
      <c r="E845" s="85">
        <v>216239</v>
      </c>
      <c r="F845" s="86">
        <v>21040</v>
      </c>
      <c r="G845" s="87">
        <v>9.7299746999999996</v>
      </c>
    </row>
    <row r="846" spans="1:7" x14ac:dyDescent="0.25">
      <c r="A846" s="84" t="s">
        <v>2397</v>
      </c>
      <c r="B846" s="84" t="s">
        <v>89</v>
      </c>
      <c r="C846" s="84" t="s">
        <v>281</v>
      </c>
      <c r="D846" s="85">
        <v>25772</v>
      </c>
      <c r="E846" s="85">
        <v>535517</v>
      </c>
      <c r="F846" s="86">
        <v>57464.800000000003</v>
      </c>
      <c r="G846" s="87">
        <v>10.730714000000001</v>
      </c>
    </row>
    <row r="847" spans="1:7" x14ac:dyDescent="0.25">
      <c r="A847" s="84" t="s">
        <v>643</v>
      </c>
      <c r="B847" s="84" t="s">
        <v>89</v>
      </c>
      <c r="C847" s="84" t="s">
        <v>281</v>
      </c>
      <c r="D847" s="85">
        <v>1574</v>
      </c>
      <c r="E847" s="85">
        <v>14178</v>
      </c>
      <c r="F847" s="86">
        <v>1866</v>
      </c>
      <c r="G847" s="87">
        <v>13.161236000000001</v>
      </c>
    </row>
    <row r="848" spans="1:7" x14ac:dyDescent="0.25">
      <c r="A848" s="84" t="s">
        <v>1372</v>
      </c>
      <c r="B848" s="84" t="s">
        <v>89</v>
      </c>
      <c r="C848" s="84" t="s">
        <v>281</v>
      </c>
      <c r="D848" s="85">
        <v>79348</v>
      </c>
      <c r="E848" s="85">
        <v>1311706</v>
      </c>
      <c r="F848" s="86">
        <v>156112</v>
      </c>
      <c r="G848" s="87">
        <v>11.901446999999999</v>
      </c>
    </row>
    <row r="849" spans="1:7" x14ac:dyDescent="0.25">
      <c r="A849" s="84" t="s">
        <v>1373</v>
      </c>
      <c r="B849" s="84" t="s">
        <v>89</v>
      </c>
      <c r="C849" s="84" t="s">
        <v>278</v>
      </c>
      <c r="D849" s="85">
        <v>122878</v>
      </c>
      <c r="E849" s="85">
        <v>4168871</v>
      </c>
      <c r="F849" s="86">
        <v>370398.8</v>
      </c>
      <c r="G849" s="87">
        <v>8.8848707000000005</v>
      </c>
    </row>
    <row r="850" spans="1:7" x14ac:dyDescent="0.25">
      <c r="A850" s="84" t="s">
        <v>1374</v>
      </c>
      <c r="B850" s="84" t="s">
        <v>89</v>
      </c>
      <c r="C850" s="84" t="s">
        <v>281</v>
      </c>
      <c r="D850" s="85">
        <v>48093</v>
      </c>
      <c r="E850" s="85">
        <v>793517</v>
      </c>
      <c r="F850" s="86">
        <v>91981.3</v>
      </c>
      <c r="G850" s="87">
        <v>11.591597999999999</v>
      </c>
    </row>
    <row r="851" spans="1:7" x14ac:dyDescent="0.25">
      <c r="A851" s="84" t="s">
        <v>1375</v>
      </c>
      <c r="B851" s="84" t="s">
        <v>89</v>
      </c>
      <c r="C851" s="84" t="s">
        <v>281</v>
      </c>
      <c r="D851" s="85">
        <v>17</v>
      </c>
      <c r="E851" s="85">
        <v>355</v>
      </c>
      <c r="F851" s="86">
        <v>41</v>
      </c>
      <c r="G851" s="87">
        <v>11.549296</v>
      </c>
    </row>
    <row r="852" spans="1:7" x14ac:dyDescent="0.25">
      <c r="A852" s="84" t="s">
        <v>1376</v>
      </c>
      <c r="B852" s="84" t="s">
        <v>91</v>
      </c>
      <c r="C852" s="84" t="s">
        <v>281</v>
      </c>
      <c r="D852" s="85">
        <v>1</v>
      </c>
      <c r="E852" s="85">
        <v>1103767</v>
      </c>
      <c r="F852" s="86">
        <v>34168.699999999997</v>
      </c>
      <c r="G852" s="87">
        <v>3.0956443</v>
      </c>
    </row>
    <row r="853" spans="1:7" x14ac:dyDescent="0.25">
      <c r="A853" s="84" t="s">
        <v>1377</v>
      </c>
      <c r="B853" s="84" t="s">
        <v>91</v>
      </c>
      <c r="C853" s="84" t="s">
        <v>281</v>
      </c>
      <c r="D853" s="85">
        <v>3415</v>
      </c>
      <c r="E853" s="85">
        <v>190184</v>
      </c>
      <c r="F853" s="86">
        <v>21812</v>
      </c>
      <c r="G853" s="87">
        <v>11.468893</v>
      </c>
    </row>
    <row r="854" spans="1:7" x14ac:dyDescent="0.25">
      <c r="A854" s="84" t="s">
        <v>1378</v>
      </c>
      <c r="B854" s="84" t="s">
        <v>91</v>
      </c>
      <c r="C854" s="84" t="s">
        <v>281</v>
      </c>
      <c r="D854" s="85">
        <v>21305</v>
      </c>
      <c r="E854" s="85">
        <v>369943</v>
      </c>
      <c r="F854" s="86">
        <v>38935.800000000003</v>
      </c>
      <c r="G854" s="87">
        <v>10.524811</v>
      </c>
    </row>
    <row r="855" spans="1:7" x14ac:dyDescent="0.25">
      <c r="A855" s="84" t="s">
        <v>2398</v>
      </c>
      <c r="B855" s="84" t="s">
        <v>91</v>
      </c>
      <c r="C855" s="84" t="s">
        <v>281</v>
      </c>
      <c r="D855" s="85">
        <v>53421</v>
      </c>
      <c r="E855" s="85">
        <v>1256561</v>
      </c>
      <c r="F855" s="86">
        <v>136561</v>
      </c>
      <c r="G855" s="87">
        <v>10.867837</v>
      </c>
    </row>
    <row r="856" spans="1:7" x14ac:dyDescent="0.25">
      <c r="A856" s="84" t="s">
        <v>1382</v>
      </c>
      <c r="B856" s="84" t="s">
        <v>91</v>
      </c>
      <c r="C856" s="84" t="s">
        <v>281</v>
      </c>
      <c r="D856" s="85">
        <v>6680</v>
      </c>
      <c r="E856" s="85">
        <v>638536</v>
      </c>
      <c r="F856" s="86">
        <v>53039.199999999997</v>
      </c>
      <c r="G856" s="87">
        <v>8.3063757999999996</v>
      </c>
    </row>
    <row r="857" spans="1:7" x14ac:dyDescent="0.25">
      <c r="A857" s="84" t="s">
        <v>1298</v>
      </c>
      <c r="B857" s="84" t="s">
        <v>91</v>
      </c>
      <c r="C857" s="84" t="s">
        <v>281</v>
      </c>
      <c r="D857" s="85">
        <v>1124</v>
      </c>
      <c r="E857" s="85">
        <v>70373</v>
      </c>
      <c r="F857" s="86">
        <v>7246</v>
      </c>
      <c r="G857" s="87">
        <v>10.296563000000001</v>
      </c>
    </row>
    <row r="858" spans="1:7" x14ac:dyDescent="0.25">
      <c r="A858" s="84" t="s">
        <v>1301</v>
      </c>
      <c r="B858" s="84" t="s">
        <v>91</v>
      </c>
      <c r="C858" s="84" t="s">
        <v>281</v>
      </c>
      <c r="D858" s="85">
        <v>13192</v>
      </c>
      <c r="E858" s="85">
        <v>4569473</v>
      </c>
      <c r="F858" s="86">
        <v>331723.09999999998</v>
      </c>
      <c r="G858" s="87">
        <v>7.2595482999999996</v>
      </c>
    </row>
    <row r="859" spans="1:7" x14ac:dyDescent="0.25">
      <c r="A859" s="84" t="s">
        <v>1384</v>
      </c>
      <c r="B859" s="84" t="s">
        <v>91</v>
      </c>
      <c r="C859" s="84" t="s">
        <v>281</v>
      </c>
      <c r="D859" s="85">
        <v>4087</v>
      </c>
      <c r="E859" s="85">
        <v>131703</v>
      </c>
      <c r="F859" s="86">
        <v>14953</v>
      </c>
      <c r="G859" s="87">
        <v>11.353576</v>
      </c>
    </row>
    <row r="860" spans="1:7" x14ac:dyDescent="0.25">
      <c r="A860" s="84" t="s">
        <v>1303</v>
      </c>
      <c r="B860" s="84" t="s">
        <v>91</v>
      </c>
      <c r="C860" s="84" t="s">
        <v>278</v>
      </c>
      <c r="D860" s="85">
        <v>93249</v>
      </c>
      <c r="E860" s="85">
        <v>2039594</v>
      </c>
      <c r="F860" s="86">
        <v>190062</v>
      </c>
      <c r="G860" s="87">
        <v>9.3186192999999999</v>
      </c>
    </row>
    <row r="861" spans="1:7" x14ac:dyDescent="0.25">
      <c r="A861" s="84" t="s">
        <v>1386</v>
      </c>
      <c r="B861" s="84" t="s">
        <v>91</v>
      </c>
      <c r="C861" s="84" t="s">
        <v>281</v>
      </c>
      <c r="D861" s="85">
        <v>20950</v>
      </c>
      <c r="E861" s="85">
        <v>3383602</v>
      </c>
      <c r="F861" s="86">
        <v>293342.40000000002</v>
      </c>
      <c r="G861" s="87">
        <v>8.6695302999999999</v>
      </c>
    </row>
    <row r="862" spans="1:7" x14ac:dyDescent="0.25">
      <c r="A862" s="84" t="s">
        <v>1387</v>
      </c>
      <c r="B862" s="84" t="s">
        <v>91</v>
      </c>
      <c r="C862" s="84" t="s">
        <v>281</v>
      </c>
      <c r="D862" s="85">
        <v>20451</v>
      </c>
      <c r="E862" s="85">
        <v>1069436</v>
      </c>
      <c r="F862" s="86">
        <v>98918</v>
      </c>
      <c r="G862" s="87">
        <v>9.2495484000000001</v>
      </c>
    </row>
    <row r="863" spans="1:7" x14ac:dyDescent="0.25">
      <c r="A863" s="84" t="s">
        <v>1388</v>
      </c>
      <c r="B863" s="84" t="s">
        <v>91</v>
      </c>
      <c r="C863" s="84" t="s">
        <v>281</v>
      </c>
      <c r="D863" s="85">
        <v>7605</v>
      </c>
      <c r="E863" s="85">
        <v>220964</v>
      </c>
      <c r="F863" s="86">
        <v>23674.3</v>
      </c>
      <c r="G863" s="87">
        <v>10.714098</v>
      </c>
    </row>
    <row r="864" spans="1:7" x14ac:dyDescent="0.25">
      <c r="A864" s="84" t="s">
        <v>1389</v>
      </c>
      <c r="B864" s="84" t="s">
        <v>91</v>
      </c>
      <c r="C864" s="84" t="s">
        <v>281</v>
      </c>
      <c r="D864" s="85">
        <v>11697</v>
      </c>
      <c r="E864" s="85">
        <v>440879</v>
      </c>
      <c r="F864" s="86">
        <v>42362</v>
      </c>
      <c r="G864" s="87">
        <v>9.6085320000000003</v>
      </c>
    </row>
    <row r="865" spans="1:7" x14ac:dyDescent="0.25">
      <c r="A865" s="84" t="s">
        <v>1153</v>
      </c>
      <c r="B865" s="84" t="s">
        <v>91</v>
      </c>
      <c r="C865" s="84" t="s">
        <v>278</v>
      </c>
      <c r="D865" s="85">
        <v>94511</v>
      </c>
      <c r="E865" s="85">
        <v>2127669</v>
      </c>
      <c r="F865" s="86">
        <v>200133.8</v>
      </c>
      <c r="G865" s="87">
        <v>9.4062468999999993</v>
      </c>
    </row>
    <row r="866" spans="1:7" x14ac:dyDescent="0.25">
      <c r="A866" s="84" t="s">
        <v>1155</v>
      </c>
      <c r="B866" s="84" t="s">
        <v>91</v>
      </c>
      <c r="C866" s="84" t="s">
        <v>278</v>
      </c>
      <c r="D866" s="85">
        <v>59289</v>
      </c>
      <c r="E866" s="85">
        <v>1737886</v>
      </c>
      <c r="F866" s="86">
        <v>147822.29999999999</v>
      </c>
      <c r="G866" s="87">
        <v>8.5058685999999994</v>
      </c>
    </row>
    <row r="867" spans="1:7" x14ac:dyDescent="0.25">
      <c r="A867" s="84" t="s">
        <v>2399</v>
      </c>
      <c r="B867" s="84" t="s">
        <v>91</v>
      </c>
      <c r="C867" s="84" t="s">
        <v>281</v>
      </c>
      <c r="D867" s="85">
        <v>14849</v>
      </c>
      <c r="E867" s="85">
        <v>716125</v>
      </c>
      <c r="F867" s="86">
        <v>73711</v>
      </c>
      <c r="G867" s="87">
        <v>10.293035</v>
      </c>
    </row>
    <row r="868" spans="1:7" x14ac:dyDescent="0.25">
      <c r="A868" s="84" t="s">
        <v>1391</v>
      </c>
      <c r="B868" s="84" t="s">
        <v>91</v>
      </c>
      <c r="C868" s="84" t="s">
        <v>281</v>
      </c>
      <c r="D868" s="85">
        <v>4019</v>
      </c>
      <c r="E868" s="85">
        <v>338152</v>
      </c>
      <c r="F868" s="86">
        <v>28060</v>
      </c>
      <c r="G868" s="87">
        <v>8.2980435000000003</v>
      </c>
    </row>
    <row r="869" spans="1:7" x14ac:dyDescent="0.25">
      <c r="A869" s="84" t="s">
        <v>1392</v>
      </c>
      <c r="B869" s="84" t="s">
        <v>91</v>
      </c>
      <c r="C869" s="84" t="s">
        <v>281</v>
      </c>
      <c r="D869" s="85">
        <v>16432</v>
      </c>
      <c r="E869" s="85">
        <v>572327</v>
      </c>
      <c r="F869" s="86">
        <v>51179.9</v>
      </c>
      <c r="G869" s="87">
        <v>8.9424227999999992</v>
      </c>
    </row>
    <row r="870" spans="1:7" x14ac:dyDescent="0.25">
      <c r="A870" s="84" t="s">
        <v>422</v>
      </c>
      <c r="B870" s="84" t="s">
        <v>91</v>
      </c>
      <c r="C870" s="84" t="s">
        <v>351</v>
      </c>
      <c r="D870" s="85">
        <v>21</v>
      </c>
      <c r="E870" s="85">
        <v>199630</v>
      </c>
      <c r="F870" s="86">
        <v>4705.5</v>
      </c>
      <c r="G870" s="87">
        <v>2.3571106999999998</v>
      </c>
    </row>
    <row r="871" spans="1:7" x14ac:dyDescent="0.25">
      <c r="A871" s="84" t="s">
        <v>1396</v>
      </c>
      <c r="B871" s="84" t="s">
        <v>72</v>
      </c>
      <c r="C871" s="84" t="s">
        <v>385</v>
      </c>
      <c r="D871" s="85">
        <v>7475</v>
      </c>
      <c r="E871" s="85">
        <v>279076</v>
      </c>
      <c r="F871" s="86">
        <v>23242</v>
      </c>
      <c r="G871" s="87">
        <v>8.3281972999999994</v>
      </c>
    </row>
    <row r="872" spans="1:7" x14ac:dyDescent="0.25">
      <c r="A872" s="84" t="s">
        <v>1408</v>
      </c>
      <c r="B872" s="84" t="s">
        <v>72</v>
      </c>
      <c r="C872" s="84" t="s">
        <v>283</v>
      </c>
      <c r="D872" s="85">
        <v>15565</v>
      </c>
      <c r="E872" s="85">
        <v>471422</v>
      </c>
      <c r="F872" s="86">
        <v>42989.1</v>
      </c>
      <c r="G872" s="87">
        <v>9.1190271000000003</v>
      </c>
    </row>
    <row r="873" spans="1:7" x14ac:dyDescent="0.25">
      <c r="A873" s="84" t="s">
        <v>1411</v>
      </c>
      <c r="B873" s="84" t="s">
        <v>72</v>
      </c>
      <c r="C873" s="84" t="s">
        <v>283</v>
      </c>
      <c r="D873" s="85">
        <v>26331</v>
      </c>
      <c r="E873" s="85">
        <v>698567</v>
      </c>
      <c r="F873" s="86">
        <v>63826</v>
      </c>
      <c r="G873" s="87">
        <v>9.1367040999999993</v>
      </c>
    </row>
    <row r="874" spans="1:7" x14ac:dyDescent="0.25">
      <c r="A874" s="84" t="s">
        <v>1412</v>
      </c>
      <c r="B874" s="84" t="s">
        <v>72</v>
      </c>
      <c r="C874" s="84" t="s">
        <v>283</v>
      </c>
      <c r="D874" s="85">
        <v>13601</v>
      </c>
      <c r="E874" s="85">
        <v>420092</v>
      </c>
      <c r="F874" s="86">
        <v>35785</v>
      </c>
      <c r="G874" s="87">
        <v>8.5183721999999999</v>
      </c>
    </row>
    <row r="875" spans="1:7" x14ac:dyDescent="0.25">
      <c r="A875" s="84" t="s">
        <v>1417</v>
      </c>
      <c r="B875" s="84" t="s">
        <v>72</v>
      </c>
      <c r="C875" s="84" t="s">
        <v>283</v>
      </c>
      <c r="D875" s="85">
        <v>4401</v>
      </c>
      <c r="E875" s="85">
        <v>214044</v>
      </c>
      <c r="F875" s="86">
        <v>17520.099999999999</v>
      </c>
      <c r="G875" s="87">
        <v>8.1852797000000006</v>
      </c>
    </row>
    <row r="876" spans="1:7" x14ac:dyDescent="0.25">
      <c r="A876" s="84" t="s">
        <v>1422</v>
      </c>
      <c r="B876" s="84" t="s">
        <v>72</v>
      </c>
      <c r="C876" s="84" t="s">
        <v>283</v>
      </c>
      <c r="D876" s="85">
        <v>13583</v>
      </c>
      <c r="E876" s="85">
        <v>283699</v>
      </c>
      <c r="F876" s="86">
        <v>26835</v>
      </c>
      <c r="G876" s="87">
        <v>9.4589687999999992</v>
      </c>
    </row>
    <row r="877" spans="1:7" x14ac:dyDescent="0.25">
      <c r="A877" s="84" t="s">
        <v>1428</v>
      </c>
      <c r="B877" s="84" t="s">
        <v>72</v>
      </c>
      <c r="C877" s="84" t="s">
        <v>283</v>
      </c>
      <c r="D877" s="85">
        <v>5757</v>
      </c>
      <c r="E877" s="85">
        <v>204976</v>
      </c>
      <c r="F877" s="86">
        <v>19696.3</v>
      </c>
      <c r="G877" s="87">
        <v>9.6090762000000005</v>
      </c>
    </row>
    <row r="878" spans="1:7" x14ac:dyDescent="0.25">
      <c r="A878" s="84" t="s">
        <v>1438</v>
      </c>
      <c r="B878" s="84" t="s">
        <v>72</v>
      </c>
      <c r="C878" s="84" t="s">
        <v>385</v>
      </c>
      <c r="D878" s="85">
        <v>10129</v>
      </c>
      <c r="E878" s="85">
        <v>419806</v>
      </c>
      <c r="F878" s="86">
        <v>38037.9</v>
      </c>
      <c r="G878" s="87">
        <v>9.0608281000000002</v>
      </c>
    </row>
    <row r="879" spans="1:7" x14ac:dyDescent="0.25">
      <c r="A879" s="84" t="s">
        <v>1442</v>
      </c>
      <c r="B879" s="84" t="s">
        <v>72</v>
      </c>
      <c r="C879" s="84" t="s">
        <v>385</v>
      </c>
      <c r="D879" s="85">
        <v>23152</v>
      </c>
      <c r="E879" s="85">
        <v>573853</v>
      </c>
      <c r="F879" s="86">
        <v>52883.9</v>
      </c>
      <c r="G879" s="87">
        <v>9.2155830999999999</v>
      </c>
    </row>
    <row r="880" spans="1:7" x14ac:dyDescent="0.25">
      <c r="A880" s="84" t="s">
        <v>1443</v>
      </c>
      <c r="B880" s="84" t="s">
        <v>72</v>
      </c>
      <c r="C880" s="84" t="s">
        <v>385</v>
      </c>
      <c r="D880" s="85">
        <v>9871</v>
      </c>
      <c r="E880" s="85">
        <v>305244</v>
      </c>
      <c r="F880" s="86">
        <v>31038</v>
      </c>
      <c r="G880" s="87">
        <v>10.168259000000001</v>
      </c>
    </row>
    <row r="881" spans="1:7" x14ac:dyDescent="0.25">
      <c r="A881" s="84" t="s">
        <v>485</v>
      </c>
      <c r="B881" s="84" t="s">
        <v>72</v>
      </c>
      <c r="C881" s="84" t="s">
        <v>281</v>
      </c>
      <c r="D881" s="85">
        <v>2935</v>
      </c>
      <c r="E881" s="85">
        <v>114086</v>
      </c>
      <c r="F881" s="86">
        <v>13797</v>
      </c>
      <c r="G881" s="87">
        <v>12.093508</v>
      </c>
    </row>
    <row r="882" spans="1:7" x14ac:dyDescent="0.25">
      <c r="A882" s="84" t="s">
        <v>486</v>
      </c>
      <c r="B882" s="84" t="s">
        <v>72</v>
      </c>
      <c r="C882" s="84" t="s">
        <v>281</v>
      </c>
      <c r="D882" s="85">
        <v>1984</v>
      </c>
      <c r="E882" s="85">
        <v>91043</v>
      </c>
      <c r="F882" s="86">
        <v>11446.3</v>
      </c>
      <c r="G882" s="87">
        <v>12.572411000000001</v>
      </c>
    </row>
    <row r="883" spans="1:7" x14ac:dyDescent="0.25">
      <c r="A883" s="84" t="s">
        <v>1447</v>
      </c>
      <c r="B883" s="84" t="s">
        <v>72</v>
      </c>
      <c r="C883" s="84" t="s">
        <v>283</v>
      </c>
      <c r="D883" s="85">
        <v>143788</v>
      </c>
      <c r="E883" s="85">
        <v>3085705</v>
      </c>
      <c r="F883" s="86">
        <v>262878.09999999998</v>
      </c>
      <c r="G883" s="87">
        <v>8.5192233000000002</v>
      </c>
    </row>
    <row r="884" spans="1:7" x14ac:dyDescent="0.25">
      <c r="A884" s="84" t="s">
        <v>1448</v>
      </c>
      <c r="B884" s="84" t="s">
        <v>72</v>
      </c>
      <c r="C884" s="84" t="s">
        <v>385</v>
      </c>
      <c r="D884" s="85">
        <v>19955</v>
      </c>
      <c r="E884" s="85">
        <v>1058989</v>
      </c>
      <c r="F884" s="86">
        <v>83928.1</v>
      </c>
      <c r="G884" s="87">
        <v>7.9253042000000002</v>
      </c>
    </row>
    <row r="885" spans="1:7" x14ac:dyDescent="0.25">
      <c r="A885" s="84" t="s">
        <v>1451</v>
      </c>
      <c r="B885" s="84" t="s">
        <v>72</v>
      </c>
      <c r="C885" s="84" t="s">
        <v>281</v>
      </c>
      <c r="D885" s="85">
        <v>6607</v>
      </c>
      <c r="E885" s="85">
        <v>265681</v>
      </c>
      <c r="F885" s="86">
        <v>30695.4</v>
      </c>
      <c r="G885" s="87">
        <v>11.55348</v>
      </c>
    </row>
    <row r="886" spans="1:7" x14ac:dyDescent="0.25">
      <c r="A886" s="84" t="s">
        <v>1452</v>
      </c>
      <c r="B886" s="84" t="s">
        <v>72</v>
      </c>
      <c r="C886" s="84" t="s">
        <v>385</v>
      </c>
      <c r="D886" s="85">
        <v>90951</v>
      </c>
      <c r="E886" s="85">
        <v>3234624</v>
      </c>
      <c r="F886" s="86">
        <v>236653</v>
      </c>
      <c r="G886" s="87">
        <v>7.3162444999999998</v>
      </c>
    </row>
    <row r="887" spans="1:7" x14ac:dyDescent="0.25">
      <c r="A887" s="84" t="s">
        <v>1454</v>
      </c>
      <c r="B887" s="84" t="s">
        <v>72</v>
      </c>
      <c r="C887" s="84" t="s">
        <v>385</v>
      </c>
      <c r="D887" s="85">
        <v>24580</v>
      </c>
      <c r="E887" s="85">
        <v>944039</v>
      </c>
      <c r="F887" s="86">
        <v>75786.5</v>
      </c>
      <c r="G887" s="87">
        <v>8.0278992999999996</v>
      </c>
    </row>
    <row r="888" spans="1:7" x14ac:dyDescent="0.25">
      <c r="A888" s="84" t="s">
        <v>1456</v>
      </c>
      <c r="B888" s="84" t="s">
        <v>72</v>
      </c>
      <c r="C888" s="84" t="s">
        <v>385</v>
      </c>
      <c r="D888" s="85">
        <v>8403</v>
      </c>
      <c r="E888" s="85">
        <v>362568</v>
      </c>
      <c r="F888" s="86">
        <v>29214</v>
      </c>
      <c r="G888" s="87">
        <v>8.0575229999999998</v>
      </c>
    </row>
    <row r="889" spans="1:7" x14ac:dyDescent="0.25">
      <c r="A889" s="84" t="s">
        <v>1458</v>
      </c>
      <c r="B889" s="84" t="s">
        <v>72</v>
      </c>
      <c r="C889" s="84" t="s">
        <v>385</v>
      </c>
      <c r="D889" s="85">
        <v>390321</v>
      </c>
      <c r="E889" s="85">
        <v>11088938</v>
      </c>
      <c r="F889" s="86">
        <v>980478</v>
      </c>
      <c r="G889" s="87">
        <v>8.8419468000000006</v>
      </c>
    </row>
    <row r="890" spans="1:7" x14ac:dyDescent="0.25">
      <c r="A890" s="84" t="s">
        <v>1460</v>
      </c>
      <c r="B890" s="84" t="s">
        <v>72</v>
      </c>
      <c r="C890" s="84" t="s">
        <v>385</v>
      </c>
      <c r="D890" s="85">
        <v>7596</v>
      </c>
      <c r="E890" s="85">
        <v>365792</v>
      </c>
      <c r="F890" s="86">
        <v>28992</v>
      </c>
      <c r="G890" s="87">
        <v>7.9258157999999996</v>
      </c>
    </row>
    <row r="891" spans="1:7" x14ac:dyDescent="0.25">
      <c r="A891" s="84" t="s">
        <v>1464</v>
      </c>
      <c r="B891" s="84" t="s">
        <v>72</v>
      </c>
      <c r="C891" s="84" t="s">
        <v>385</v>
      </c>
      <c r="D891" s="85">
        <v>27263</v>
      </c>
      <c r="E891" s="85">
        <v>1059601</v>
      </c>
      <c r="F891" s="86">
        <v>91529.3</v>
      </c>
      <c r="G891" s="87">
        <v>8.6380911000000005</v>
      </c>
    </row>
    <row r="892" spans="1:7" x14ac:dyDescent="0.25">
      <c r="A892" s="84" t="s">
        <v>1465</v>
      </c>
      <c r="B892" s="84" t="s">
        <v>72</v>
      </c>
      <c r="C892" s="84" t="s">
        <v>385</v>
      </c>
      <c r="D892" s="85">
        <v>6196</v>
      </c>
      <c r="E892" s="85">
        <v>227996</v>
      </c>
      <c r="F892" s="86">
        <v>22220</v>
      </c>
      <c r="G892" s="87">
        <v>9.7457849999999997</v>
      </c>
    </row>
    <row r="893" spans="1:7" x14ac:dyDescent="0.25">
      <c r="A893" s="84" t="s">
        <v>422</v>
      </c>
      <c r="B893" s="84" t="s">
        <v>72</v>
      </c>
      <c r="C893" s="84" t="s">
        <v>351</v>
      </c>
      <c r="D893" s="85">
        <v>15</v>
      </c>
      <c r="E893" s="85">
        <v>161520</v>
      </c>
      <c r="F893" s="86">
        <v>3625.8</v>
      </c>
      <c r="G893" s="87">
        <v>2.2447993999999998</v>
      </c>
    </row>
    <row r="894" spans="1:7" x14ac:dyDescent="0.25">
      <c r="A894" s="84" t="s">
        <v>509</v>
      </c>
      <c r="B894" s="84" t="s">
        <v>72</v>
      </c>
      <c r="C894" s="84" t="s">
        <v>281</v>
      </c>
      <c r="D894" s="85">
        <v>72</v>
      </c>
      <c r="E894" s="85">
        <v>5996</v>
      </c>
      <c r="F894" s="86">
        <v>873</v>
      </c>
      <c r="G894" s="87">
        <v>14.559706</v>
      </c>
    </row>
    <row r="895" spans="1:7" x14ac:dyDescent="0.25">
      <c r="A895" s="84" t="s">
        <v>2365</v>
      </c>
      <c r="B895" s="84" t="s">
        <v>78</v>
      </c>
      <c r="C895" s="84" t="s">
        <v>392</v>
      </c>
      <c r="D895" s="85">
        <v>1</v>
      </c>
      <c r="E895" s="85">
        <v>2754</v>
      </c>
      <c r="F895" s="86">
        <v>239.4</v>
      </c>
      <c r="G895" s="87">
        <v>8.6928105000000002</v>
      </c>
    </row>
    <row r="896" spans="1:7" x14ac:dyDescent="0.25">
      <c r="A896" s="84" t="s">
        <v>2400</v>
      </c>
      <c r="B896" s="84" t="s">
        <v>78</v>
      </c>
      <c r="C896" s="84" t="s">
        <v>278</v>
      </c>
      <c r="D896" s="85">
        <v>39733</v>
      </c>
      <c r="E896" s="85">
        <v>445902</v>
      </c>
      <c r="F896" s="86">
        <v>72163.100000000006</v>
      </c>
      <c r="G896" s="87">
        <v>16.183623000000001</v>
      </c>
    </row>
    <row r="897" spans="1:7" x14ac:dyDescent="0.25">
      <c r="A897" s="84" t="s">
        <v>1471</v>
      </c>
      <c r="B897" s="84" t="s">
        <v>78</v>
      </c>
      <c r="C897" s="84" t="s">
        <v>281</v>
      </c>
      <c r="D897" s="85">
        <v>80355</v>
      </c>
      <c r="E897" s="85">
        <v>655657</v>
      </c>
      <c r="F897" s="86">
        <v>126491.9</v>
      </c>
      <c r="G897" s="87">
        <v>19.292389</v>
      </c>
    </row>
    <row r="898" spans="1:7" x14ac:dyDescent="0.25">
      <c r="A898" s="84" t="s">
        <v>1472</v>
      </c>
      <c r="B898" s="84" t="s">
        <v>78</v>
      </c>
      <c r="C898" s="84" t="s">
        <v>278</v>
      </c>
      <c r="D898" s="85">
        <v>416372</v>
      </c>
      <c r="E898" s="85">
        <v>3577689</v>
      </c>
      <c r="F898" s="86">
        <v>629691</v>
      </c>
      <c r="G898" s="87">
        <v>17.600496</v>
      </c>
    </row>
    <row r="899" spans="1:7" x14ac:dyDescent="0.25">
      <c r="A899" s="84" t="s">
        <v>408</v>
      </c>
      <c r="B899" s="84" t="s">
        <v>78</v>
      </c>
      <c r="C899" s="84" t="s">
        <v>392</v>
      </c>
      <c r="D899" s="85">
        <v>1205</v>
      </c>
      <c r="E899" s="85">
        <v>7618</v>
      </c>
      <c r="F899" s="86">
        <v>1266.2</v>
      </c>
      <c r="G899" s="87">
        <v>16.62116</v>
      </c>
    </row>
    <row r="900" spans="1:7" x14ac:dyDescent="0.25">
      <c r="A900" s="84" t="s">
        <v>414</v>
      </c>
      <c r="B900" s="84" t="s">
        <v>78</v>
      </c>
      <c r="C900" s="84" t="s">
        <v>392</v>
      </c>
      <c r="D900" s="85">
        <v>1</v>
      </c>
      <c r="E900" s="85">
        <v>1</v>
      </c>
      <c r="F900" s="86">
        <v>0.1</v>
      </c>
      <c r="G900" s="87">
        <v>10</v>
      </c>
    </row>
    <row r="901" spans="1:7" x14ac:dyDescent="0.25">
      <c r="A901" s="84" t="s">
        <v>415</v>
      </c>
      <c r="B901" s="84" t="s">
        <v>78</v>
      </c>
      <c r="C901" s="84" t="s">
        <v>392</v>
      </c>
      <c r="D901" s="85">
        <v>623</v>
      </c>
      <c r="E901" s="85">
        <v>4794</v>
      </c>
      <c r="F901" s="86">
        <v>872.6</v>
      </c>
      <c r="G901" s="87">
        <v>18.201919</v>
      </c>
    </row>
    <row r="902" spans="1:7" x14ac:dyDescent="0.25">
      <c r="A902" s="84" t="s">
        <v>416</v>
      </c>
      <c r="B902" s="84" t="s">
        <v>78</v>
      </c>
      <c r="C902" s="84" t="s">
        <v>392</v>
      </c>
      <c r="D902" s="85">
        <v>1</v>
      </c>
      <c r="E902" s="85">
        <v>1156</v>
      </c>
      <c r="F902" s="86">
        <v>96.1</v>
      </c>
      <c r="G902" s="87">
        <v>8.3131488000000004</v>
      </c>
    </row>
    <row r="903" spans="1:7" x14ac:dyDescent="0.25">
      <c r="A903" s="84" t="s">
        <v>1474</v>
      </c>
      <c r="B903" s="84" t="s">
        <v>78</v>
      </c>
      <c r="C903" s="84" t="s">
        <v>278</v>
      </c>
      <c r="D903" s="85">
        <v>70968</v>
      </c>
      <c r="E903" s="85">
        <v>690890</v>
      </c>
      <c r="F903" s="86">
        <v>122334</v>
      </c>
      <c r="G903" s="87">
        <v>17.706726</v>
      </c>
    </row>
    <row r="904" spans="1:7" x14ac:dyDescent="0.25">
      <c r="A904" s="84" t="s">
        <v>424</v>
      </c>
      <c r="B904" s="84" t="s">
        <v>80</v>
      </c>
      <c r="C904" s="84" t="s">
        <v>392</v>
      </c>
      <c r="D904" s="85">
        <v>10</v>
      </c>
      <c r="E904" s="85">
        <v>1628</v>
      </c>
      <c r="F904" s="86">
        <v>124.2</v>
      </c>
      <c r="G904" s="87">
        <v>7.6289926000000001</v>
      </c>
    </row>
    <row r="905" spans="1:7" x14ac:dyDescent="0.25">
      <c r="A905" s="84" t="s">
        <v>1475</v>
      </c>
      <c r="B905" s="84" t="s">
        <v>80</v>
      </c>
      <c r="C905" s="84" t="s">
        <v>278</v>
      </c>
      <c r="D905" s="85">
        <v>490831</v>
      </c>
      <c r="E905" s="85">
        <v>4804403</v>
      </c>
      <c r="F905" s="86">
        <v>827156</v>
      </c>
      <c r="G905" s="87">
        <v>17.216623999999999</v>
      </c>
    </row>
    <row r="906" spans="1:7" x14ac:dyDescent="0.25">
      <c r="A906" s="84" t="s">
        <v>1478</v>
      </c>
      <c r="B906" s="84" t="s">
        <v>80</v>
      </c>
      <c r="C906" s="84" t="s">
        <v>283</v>
      </c>
      <c r="D906" s="85">
        <v>25659</v>
      </c>
      <c r="E906" s="85">
        <v>643210</v>
      </c>
      <c r="F906" s="86">
        <v>97659.1</v>
      </c>
      <c r="G906" s="87">
        <v>15.183082000000001</v>
      </c>
    </row>
    <row r="907" spans="1:7" x14ac:dyDescent="0.25">
      <c r="A907" s="84" t="s">
        <v>391</v>
      </c>
      <c r="B907" s="84" t="s">
        <v>80</v>
      </c>
      <c r="C907" s="84" t="s">
        <v>392</v>
      </c>
      <c r="D907" s="85">
        <v>1</v>
      </c>
      <c r="E907" s="85">
        <v>1741</v>
      </c>
      <c r="F907" s="86">
        <v>222.2</v>
      </c>
      <c r="G907" s="87">
        <v>12.762779999999999</v>
      </c>
    </row>
    <row r="908" spans="1:7" x14ac:dyDescent="0.25">
      <c r="A908" s="84" t="s">
        <v>400</v>
      </c>
      <c r="B908" s="84" t="s">
        <v>80</v>
      </c>
      <c r="C908" s="84" t="s">
        <v>392</v>
      </c>
      <c r="D908" s="85">
        <v>53</v>
      </c>
      <c r="E908" s="85">
        <v>940</v>
      </c>
      <c r="F908" s="86">
        <v>94.2</v>
      </c>
      <c r="G908" s="87">
        <v>10.021277</v>
      </c>
    </row>
    <row r="909" spans="1:7" x14ac:dyDescent="0.25">
      <c r="A909" s="84" t="s">
        <v>2365</v>
      </c>
      <c r="B909" s="84" t="s">
        <v>80</v>
      </c>
      <c r="C909" s="84" t="s">
        <v>392</v>
      </c>
      <c r="D909" s="85">
        <v>3</v>
      </c>
      <c r="E909" s="85">
        <v>14962</v>
      </c>
      <c r="F909" s="86">
        <v>1224.5999999999999</v>
      </c>
      <c r="G909" s="87">
        <v>8.1847346999999999</v>
      </c>
    </row>
    <row r="910" spans="1:7" x14ac:dyDescent="0.25">
      <c r="A910" s="84" t="s">
        <v>1479</v>
      </c>
      <c r="B910" s="84" t="s">
        <v>80</v>
      </c>
      <c r="C910" s="84" t="s">
        <v>278</v>
      </c>
      <c r="D910" s="85">
        <v>922521</v>
      </c>
      <c r="E910" s="85">
        <v>10443211</v>
      </c>
      <c r="F910" s="86">
        <v>1325478.3999999999</v>
      </c>
      <c r="G910" s="87">
        <v>12.69225</v>
      </c>
    </row>
    <row r="911" spans="1:7" x14ac:dyDescent="0.25">
      <c r="A911" s="84" t="s">
        <v>401</v>
      </c>
      <c r="B911" s="84" t="s">
        <v>80</v>
      </c>
      <c r="C911" s="84" t="s">
        <v>392</v>
      </c>
      <c r="D911" s="85">
        <v>76</v>
      </c>
      <c r="E911" s="85">
        <v>9824</v>
      </c>
      <c r="F911" s="86">
        <v>1286.5999999999999</v>
      </c>
      <c r="G911" s="87">
        <v>13.096498</v>
      </c>
    </row>
    <row r="912" spans="1:7" x14ac:dyDescent="0.25">
      <c r="A912" s="84" t="s">
        <v>1480</v>
      </c>
      <c r="B912" s="84" t="s">
        <v>80</v>
      </c>
      <c r="C912" s="84" t="s">
        <v>278</v>
      </c>
      <c r="D912" s="85">
        <v>2033058</v>
      </c>
      <c r="E912" s="85">
        <v>21835878</v>
      </c>
      <c r="F912" s="86">
        <v>3252673</v>
      </c>
      <c r="G912" s="87">
        <v>14.896003</v>
      </c>
    </row>
    <row r="913" spans="1:7" x14ac:dyDescent="0.25">
      <c r="A913" s="84" t="s">
        <v>1481</v>
      </c>
      <c r="B913" s="84" t="s">
        <v>80</v>
      </c>
      <c r="C913" s="84" t="s">
        <v>278</v>
      </c>
      <c r="D913" s="85">
        <v>68395</v>
      </c>
      <c r="E913" s="85">
        <v>971606</v>
      </c>
      <c r="F913" s="86">
        <v>153600.1</v>
      </c>
      <c r="G913" s="87">
        <v>15.808888</v>
      </c>
    </row>
    <row r="914" spans="1:7" x14ac:dyDescent="0.25">
      <c r="A914" s="84" t="s">
        <v>408</v>
      </c>
      <c r="B914" s="84" t="s">
        <v>80</v>
      </c>
      <c r="C914" s="84" t="s">
        <v>392</v>
      </c>
      <c r="D914" s="85">
        <v>10124</v>
      </c>
      <c r="E914" s="85">
        <v>78710</v>
      </c>
      <c r="F914" s="86">
        <v>12292.6</v>
      </c>
      <c r="G914" s="87">
        <v>15.617584000000001</v>
      </c>
    </row>
    <row r="915" spans="1:7" x14ac:dyDescent="0.25">
      <c r="A915" s="84" t="s">
        <v>409</v>
      </c>
      <c r="B915" s="84" t="s">
        <v>80</v>
      </c>
      <c r="C915" s="84" t="s">
        <v>392</v>
      </c>
      <c r="D915" s="85">
        <v>2729</v>
      </c>
      <c r="E915" s="85">
        <v>22143</v>
      </c>
      <c r="F915" s="86">
        <v>3290</v>
      </c>
      <c r="G915" s="87">
        <v>14.857969000000001</v>
      </c>
    </row>
    <row r="916" spans="1:7" x14ac:dyDescent="0.25">
      <c r="A916" s="84" t="s">
        <v>413</v>
      </c>
      <c r="B916" s="84" t="s">
        <v>80</v>
      </c>
      <c r="C916" s="84" t="s">
        <v>392</v>
      </c>
      <c r="D916" s="85">
        <v>4352</v>
      </c>
      <c r="E916" s="85">
        <v>37855</v>
      </c>
      <c r="F916" s="86">
        <v>6480</v>
      </c>
      <c r="G916" s="87">
        <v>17.11795</v>
      </c>
    </row>
    <row r="917" spans="1:7" x14ac:dyDescent="0.25">
      <c r="A917" s="84" t="s">
        <v>414</v>
      </c>
      <c r="B917" s="84" t="s">
        <v>80</v>
      </c>
      <c r="C917" s="84" t="s">
        <v>392</v>
      </c>
      <c r="D917" s="85">
        <v>19724</v>
      </c>
      <c r="E917" s="85">
        <v>187317</v>
      </c>
      <c r="F917" s="86">
        <v>33605.9</v>
      </c>
      <c r="G917" s="87">
        <v>17.940657000000002</v>
      </c>
    </row>
    <row r="918" spans="1:7" x14ac:dyDescent="0.25">
      <c r="A918" s="84" t="s">
        <v>415</v>
      </c>
      <c r="B918" s="84" t="s">
        <v>80</v>
      </c>
      <c r="C918" s="84" t="s">
        <v>392</v>
      </c>
      <c r="D918" s="85">
        <v>19369</v>
      </c>
      <c r="E918" s="85">
        <v>143942</v>
      </c>
      <c r="F918" s="86">
        <v>23215.8</v>
      </c>
      <c r="G918" s="87">
        <v>16.128579999999999</v>
      </c>
    </row>
    <row r="919" spans="1:7" x14ac:dyDescent="0.25">
      <c r="A919" s="84" t="s">
        <v>416</v>
      </c>
      <c r="B919" s="84" t="s">
        <v>80</v>
      </c>
      <c r="C919" s="84" t="s">
        <v>392</v>
      </c>
      <c r="D919" s="85">
        <v>148</v>
      </c>
      <c r="E919" s="85">
        <v>45195</v>
      </c>
      <c r="F919" s="86">
        <v>5356.2</v>
      </c>
      <c r="G919" s="87">
        <v>11.851311000000001</v>
      </c>
    </row>
    <row r="920" spans="1:7" x14ac:dyDescent="0.25">
      <c r="A920" s="84" t="s">
        <v>421</v>
      </c>
      <c r="B920" s="84" t="s">
        <v>80</v>
      </c>
      <c r="C920" s="84" t="s">
        <v>392</v>
      </c>
      <c r="D920" s="85">
        <v>16967</v>
      </c>
      <c r="E920" s="85">
        <v>100004</v>
      </c>
      <c r="F920" s="86">
        <v>13748.3</v>
      </c>
      <c r="G920" s="87">
        <v>13.74775</v>
      </c>
    </row>
    <row r="921" spans="1:7" x14ac:dyDescent="0.25">
      <c r="A921" s="84" t="s">
        <v>1483</v>
      </c>
      <c r="B921" s="84" t="s">
        <v>83</v>
      </c>
      <c r="C921" s="84" t="s">
        <v>281</v>
      </c>
      <c r="D921" s="85">
        <v>18156</v>
      </c>
      <c r="E921" s="85">
        <v>228012</v>
      </c>
      <c r="F921" s="86">
        <v>36014</v>
      </c>
      <c r="G921" s="87">
        <v>15.794783000000001</v>
      </c>
    </row>
    <row r="922" spans="1:7" x14ac:dyDescent="0.25">
      <c r="A922" s="84" t="s">
        <v>1484</v>
      </c>
      <c r="B922" s="84" t="s">
        <v>83</v>
      </c>
      <c r="C922" s="84" t="s">
        <v>281</v>
      </c>
      <c r="D922" s="85">
        <v>14897</v>
      </c>
      <c r="E922" s="85">
        <v>741215</v>
      </c>
      <c r="F922" s="86">
        <v>55379.4</v>
      </c>
      <c r="G922" s="87">
        <v>7.4714353999999998</v>
      </c>
    </row>
    <row r="923" spans="1:7" x14ac:dyDescent="0.25">
      <c r="A923" s="84" t="s">
        <v>1485</v>
      </c>
      <c r="B923" s="84" t="s">
        <v>83</v>
      </c>
      <c r="C923" s="84" t="s">
        <v>283</v>
      </c>
      <c r="D923" s="85">
        <v>44713</v>
      </c>
      <c r="E923" s="85">
        <v>930019</v>
      </c>
      <c r="F923" s="86">
        <v>84798</v>
      </c>
      <c r="G923" s="87">
        <v>9.1178781999999998</v>
      </c>
    </row>
    <row r="924" spans="1:7" x14ac:dyDescent="0.25">
      <c r="A924" s="84" t="s">
        <v>1487</v>
      </c>
      <c r="B924" s="84" t="s">
        <v>83</v>
      </c>
      <c r="C924" s="84" t="s">
        <v>281</v>
      </c>
      <c r="D924" s="85">
        <v>24559</v>
      </c>
      <c r="E924" s="85">
        <v>619392</v>
      </c>
      <c r="F924" s="86">
        <v>56353</v>
      </c>
      <c r="G924" s="87">
        <v>9.0981155999999999</v>
      </c>
    </row>
    <row r="925" spans="1:7" x14ac:dyDescent="0.25">
      <c r="A925" s="84" t="s">
        <v>1488</v>
      </c>
      <c r="B925" s="84" t="s">
        <v>83</v>
      </c>
      <c r="C925" s="84" t="s">
        <v>278</v>
      </c>
      <c r="D925" s="85">
        <v>102145</v>
      </c>
      <c r="E925" s="85">
        <v>1705968</v>
      </c>
      <c r="F925" s="86">
        <v>166462</v>
      </c>
      <c r="G925" s="87">
        <v>9.7576272999999993</v>
      </c>
    </row>
    <row r="926" spans="1:7" x14ac:dyDescent="0.25">
      <c r="A926" s="84" t="s">
        <v>1489</v>
      </c>
      <c r="B926" s="84" t="s">
        <v>83</v>
      </c>
      <c r="C926" s="84" t="s">
        <v>281</v>
      </c>
      <c r="D926" s="85">
        <v>13285</v>
      </c>
      <c r="E926" s="85">
        <v>401337</v>
      </c>
      <c r="F926" s="86">
        <v>38467.599999999999</v>
      </c>
      <c r="G926" s="87">
        <v>9.5848625999999992</v>
      </c>
    </row>
    <row r="927" spans="1:7" x14ac:dyDescent="0.25">
      <c r="A927" s="84" t="s">
        <v>1490</v>
      </c>
      <c r="B927" s="84" t="s">
        <v>83</v>
      </c>
      <c r="C927" s="84" t="s">
        <v>281</v>
      </c>
      <c r="D927" s="85">
        <v>31163</v>
      </c>
      <c r="E927" s="85">
        <v>345162</v>
      </c>
      <c r="F927" s="86">
        <v>46192</v>
      </c>
      <c r="G927" s="87">
        <v>13.382701000000001</v>
      </c>
    </row>
    <row r="928" spans="1:7" x14ac:dyDescent="0.25">
      <c r="A928" s="84" t="s">
        <v>1491</v>
      </c>
      <c r="B928" s="84" t="s">
        <v>83</v>
      </c>
      <c r="C928" s="84" t="s">
        <v>281</v>
      </c>
      <c r="D928" s="85">
        <v>29696</v>
      </c>
      <c r="E928" s="85">
        <v>264153</v>
      </c>
      <c r="F928" s="86">
        <v>46714</v>
      </c>
      <c r="G928" s="87">
        <v>17.684448</v>
      </c>
    </row>
    <row r="929" spans="1:7" x14ac:dyDescent="0.25">
      <c r="A929" s="84" t="s">
        <v>1492</v>
      </c>
      <c r="B929" s="84" t="s">
        <v>83</v>
      </c>
      <c r="C929" s="84" t="s">
        <v>281</v>
      </c>
      <c r="D929" s="85">
        <v>11156</v>
      </c>
      <c r="E929" s="85">
        <v>709494</v>
      </c>
      <c r="F929" s="86">
        <v>49006</v>
      </c>
      <c r="G929" s="87">
        <v>6.9071761</v>
      </c>
    </row>
    <row r="930" spans="1:7" x14ac:dyDescent="0.25">
      <c r="A930" s="84" t="s">
        <v>1493</v>
      </c>
      <c r="B930" s="84" t="s">
        <v>83</v>
      </c>
      <c r="C930" s="84" t="s">
        <v>283</v>
      </c>
      <c r="D930" s="85">
        <v>8884</v>
      </c>
      <c r="E930" s="85">
        <v>539291</v>
      </c>
      <c r="F930" s="86">
        <v>38912.6</v>
      </c>
      <c r="G930" s="87">
        <v>7.2155107000000003</v>
      </c>
    </row>
    <row r="931" spans="1:7" x14ac:dyDescent="0.25">
      <c r="A931" s="84" t="s">
        <v>404</v>
      </c>
      <c r="B931" s="84" t="s">
        <v>83</v>
      </c>
      <c r="C931" s="84" t="s">
        <v>174</v>
      </c>
      <c r="D931" s="85">
        <v>10743</v>
      </c>
      <c r="E931" s="85">
        <v>134812</v>
      </c>
      <c r="F931" s="86">
        <v>18066</v>
      </c>
      <c r="G931" s="87">
        <v>13.400884</v>
      </c>
    </row>
    <row r="932" spans="1:7" x14ac:dyDescent="0.25">
      <c r="A932" s="84" t="s">
        <v>405</v>
      </c>
      <c r="B932" s="84" t="s">
        <v>83</v>
      </c>
      <c r="C932" s="84" t="s">
        <v>281</v>
      </c>
      <c r="D932" s="85">
        <v>1594</v>
      </c>
      <c r="E932" s="85">
        <v>10942</v>
      </c>
      <c r="F932" s="86">
        <v>1346</v>
      </c>
      <c r="G932" s="87">
        <v>12.301225000000001</v>
      </c>
    </row>
    <row r="933" spans="1:7" x14ac:dyDescent="0.25">
      <c r="A933" s="84" t="s">
        <v>1495</v>
      </c>
      <c r="B933" s="84" t="s">
        <v>83</v>
      </c>
      <c r="C933" s="84" t="s">
        <v>281</v>
      </c>
      <c r="D933" s="85">
        <v>19839</v>
      </c>
      <c r="E933" s="85">
        <v>193009</v>
      </c>
      <c r="F933" s="86">
        <v>34265.300000000003</v>
      </c>
      <c r="G933" s="87">
        <v>17.753214</v>
      </c>
    </row>
    <row r="934" spans="1:7" x14ac:dyDescent="0.25">
      <c r="A934" s="84" t="s">
        <v>1496</v>
      </c>
      <c r="B934" s="84" t="s">
        <v>83</v>
      </c>
      <c r="C934" s="84" t="s">
        <v>278</v>
      </c>
      <c r="D934" s="85">
        <v>535206</v>
      </c>
      <c r="E934" s="85">
        <v>8945883</v>
      </c>
      <c r="F934" s="86">
        <v>1004991.9</v>
      </c>
      <c r="G934" s="87">
        <v>11.234127000000001</v>
      </c>
    </row>
    <row r="935" spans="1:7" x14ac:dyDescent="0.25">
      <c r="A935" s="84" t="s">
        <v>1497</v>
      </c>
      <c r="B935" s="84" t="s">
        <v>83</v>
      </c>
      <c r="C935" s="84" t="s">
        <v>281</v>
      </c>
      <c r="D935" s="85">
        <v>328</v>
      </c>
      <c r="E935" s="85">
        <v>2977</v>
      </c>
      <c r="F935" s="86">
        <v>439.8</v>
      </c>
      <c r="G935" s="87">
        <v>14.773262000000001</v>
      </c>
    </row>
    <row r="936" spans="1:7" x14ac:dyDescent="0.25">
      <c r="A936" s="84" t="s">
        <v>1498</v>
      </c>
      <c r="B936" s="84" t="s">
        <v>83</v>
      </c>
      <c r="C936" s="84" t="s">
        <v>281</v>
      </c>
      <c r="D936" s="85">
        <v>6066</v>
      </c>
      <c r="E936" s="85">
        <v>168171</v>
      </c>
      <c r="F936" s="86">
        <v>17055</v>
      </c>
      <c r="G936" s="87">
        <v>10.141463</v>
      </c>
    </row>
    <row r="937" spans="1:7" x14ac:dyDescent="0.25">
      <c r="A937" s="84" t="s">
        <v>408</v>
      </c>
      <c r="B937" s="84" t="s">
        <v>83</v>
      </c>
      <c r="C937" s="84" t="s">
        <v>392</v>
      </c>
      <c r="D937" s="85">
        <v>1122</v>
      </c>
      <c r="E937" s="85">
        <v>14147</v>
      </c>
      <c r="F937" s="86">
        <v>1545.2</v>
      </c>
      <c r="G937" s="87">
        <v>10.922457</v>
      </c>
    </row>
    <row r="938" spans="1:7" x14ac:dyDescent="0.25">
      <c r="A938" s="84" t="s">
        <v>502</v>
      </c>
      <c r="B938" s="84" t="s">
        <v>83</v>
      </c>
      <c r="C938" s="84" t="s">
        <v>281</v>
      </c>
      <c r="D938" s="85">
        <v>2206</v>
      </c>
      <c r="E938" s="85">
        <v>320233</v>
      </c>
      <c r="F938" s="86">
        <v>26941.7</v>
      </c>
      <c r="G938" s="87">
        <v>8.4131554000000008</v>
      </c>
    </row>
    <row r="939" spans="1:7" x14ac:dyDescent="0.25">
      <c r="A939" s="84" t="s">
        <v>1501</v>
      </c>
      <c r="B939" s="84" t="s">
        <v>83</v>
      </c>
      <c r="C939" s="84" t="s">
        <v>278</v>
      </c>
      <c r="D939" s="85">
        <v>124121</v>
      </c>
      <c r="E939" s="85">
        <v>7287300</v>
      </c>
      <c r="F939" s="86">
        <v>453845.5</v>
      </c>
      <c r="G939" s="87">
        <v>6.2278964999999999</v>
      </c>
    </row>
    <row r="940" spans="1:7" x14ac:dyDescent="0.25">
      <c r="A940" s="84" t="s">
        <v>1502</v>
      </c>
      <c r="B940" s="84" t="s">
        <v>83</v>
      </c>
      <c r="C940" s="84" t="s">
        <v>281</v>
      </c>
      <c r="D940" s="85">
        <v>3047</v>
      </c>
      <c r="E940" s="85">
        <v>228717</v>
      </c>
      <c r="F940" s="86">
        <v>19735</v>
      </c>
      <c r="G940" s="87">
        <v>8.6285672000000009</v>
      </c>
    </row>
    <row r="941" spans="1:7" x14ac:dyDescent="0.25">
      <c r="A941" s="84" t="s">
        <v>414</v>
      </c>
      <c r="B941" s="84" t="s">
        <v>83</v>
      </c>
      <c r="C941" s="84" t="s">
        <v>392</v>
      </c>
      <c r="D941" s="85">
        <v>731</v>
      </c>
      <c r="E941" s="85">
        <v>7090</v>
      </c>
      <c r="F941" s="86">
        <v>1268.3</v>
      </c>
      <c r="G941" s="87">
        <v>17.888574999999999</v>
      </c>
    </row>
    <row r="942" spans="1:7" x14ac:dyDescent="0.25">
      <c r="A942" s="84" t="s">
        <v>415</v>
      </c>
      <c r="B942" s="84" t="s">
        <v>83</v>
      </c>
      <c r="C942" s="84" t="s">
        <v>392</v>
      </c>
      <c r="D942" s="85">
        <v>1244</v>
      </c>
      <c r="E942" s="85">
        <v>9678</v>
      </c>
      <c r="F942" s="86">
        <v>1353.8</v>
      </c>
      <c r="G942" s="87">
        <v>13.988427</v>
      </c>
    </row>
    <row r="943" spans="1:7" x14ac:dyDescent="0.25">
      <c r="A943" s="84" t="s">
        <v>2370</v>
      </c>
      <c r="B943" s="84" t="s">
        <v>83</v>
      </c>
      <c r="C943" s="84" t="s">
        <v>281</v>
      </c>
      <c r="D943" s="85">
        <v>6</v>
      </c>
      <c r="E943" s="85">
        <v>18</v>
      </c>
      <c r="F943" s="86">
        <v>3.9</v>
      </c>
      <c r="G943" s="87">
        <v>21.666667</v>
      </c>
    </row>
    <row r="944" spans="1:7" x14ac:dyDescent="0.25">
      <c r="A944" s="84" t="s">
        <v>421</v>
      </c>
      <c r="B944" s="84" t="s">
        <v>83</v>
      </c>
      <c r="C944" s="84" t="s">
        <v>392</v>
      </c>
      <c r="D944" s="85">
        <v>2445</v>
      </c>
      <c r="E944" s="85">
        <v>17844</v>
      </c>
      <c r="F944" s="86">
        <v>2007.3</v>
      </c>
      <c r="G944" s="87">
        <v>11.249159000000001</v>
      </c>
    </row>
    <row r="945" spans="1:7" x14ac:dyDescent="0.25">
      <c r="A945" s="84" t="s">
        <v>422</v>
      </c>
      <c r="B945" s="84" t="s">
        <v>83</v>
      </c>
      <c r="C945" s="84" t="s">
        <v>351</v>
      </c>
      <c r="D945" s="85">
        <v>5</v>
      </c>
      <c r="E945" s="85">
        <v>187457</v>
      </c>
      <c r="F945" s="86">
        <v>4924.2</v>
      </c>
      <c r="G945" s="87">
        <v>2.6268424000000001</v>
      </c>
    </row>
    <row r="946" spans="1:7" x14ac:dyDescent="0.25">
      <c r="A946" s="84" t="s">
        <v>1503</v>
      </c>
      <c r="B946" s="84" t="s">
        <v>75</v>
      </c>
      <c r="C946" s="84" t="s">
        <v>283</v>
      </c>
      <c r="D946" s="85">
        <v>8102</v>
      </c>
      <c r="E946" s="85">
        <v>154341</v>
      </c>
      <c r="F946" s="86">
        <v>17007</v>
      </c>
      <c r="G946" s="87">
        <v>11.019107</v>
      </c>
    </row>
    <row r="947" spans="1:7" x14ac:dyDescent="0.25">
      <c r="A947" s="84" t="s">
        <v>1504</v>
      </c>
      <c r="B947" s="84" t="s">
        <v>75</v>
      </c>
      <c r="C947" s="84" t="s">
        <v>174</v>
      </c>
      <c r="D947" s="85">
        <v>6</v>
      </c>
      <c r="E947" s="85">
        <v>628164</v>
      </c>
      <c r="F947" s="86">
        <v>16628.3</v>
      </c>
      <c r="G947" s="87">
        <v>2.6471271999999999</v>
      </c>
    </row>
    <row r="948" spans="1:7" x14ac:dyDescent="0.25">
      <c r="A948" s="84" t="s">
        <v>400</v>
      </c>
      <c r="B948" s="84" t="s">
        <v>75</v>
      </c>
      <c r="C948" s="84" t="s">
        <v>392</v>
      </c>
      <c r="D948" s="85">
        <v>8</v>
      </c>
      <c r="E948" s="85">
        <v>43</v>
      </c>
      <c r="F948" s="86">
        <v>4.8</v>
      </c>
      <c r="G948" s="87">
        <v>11.162791</v>
      </c>
    </row>
    <row r="949" spans="1:7" x14ac:dyDescent="0.25">
      <c r="A949" s="84" t="s">
        <v>2365</v>
      </c>
      <c r="B949" s="84" t="s">
        <v>75</v>
      </c>
      <c r="C949" s="84" t="s">
        <v>392</v>
      </c>
      <c r="D949" s="85">
        <v>1</v>
      </c>
      <c r="E949" s="85">
        <v>1689</v>
      </c>
      <c r="F949" s="86">
        <v>205.5</v>
      </c>
      <c r="G949" s="87">
        <v>12.166963000000001</v>
      </c>
    </row>
    <row r="950" spans="1:7" x14ac:dyDescent="0.25">
      <c r="A950" s="84" t="s">
        <v>1506</v>
      </c>
      <c r="B950" s="84" t="s">
        <v>75</v>
      </c>
      <c r="C950" s="84" t="s">
        <v>281</v>
      </c>
      <c r="D950" s="85">
        <v>7519</v>
      </c>
      <c r="E950" s="85">
        <v>577224</v>
      </c>
      <c r="F950" s="86">
        <v>38094</v>
      </c>
      <c r="G950" s="87">
        <v>6.5995176999999998</v>
      </c>
    </row>
    <row r="951" spans="1:7" x14ac:dyDescent="0.25">
      <c r="A951" s="84" t="s">
        <v>1507</v>
      </c>
      <c r="B951" s="84" t="s">
        <v>75</v>
      </c>
      <c r="C951" s="84" t="s">
        <v>278</v>
      </c>
      <c r="D951" s="85">
        <v>967407</v>
      </c>
      <c r="E951" s="85">
        <v>20144059</v>
      </c>
      <c r="F951" s="86">
        <v>2000174</v>
      </c>
      <c r="G951" s="87">
        <v>9.9293493999999995</v>
      </c>
    </row>
    <row r="952" spans="1:7" x14ac:dyDescent="0.25">
      <c r="A952" s="84" t="s">
        <v>1508</v>
      </c>
      <c r="B952" s="84" t="s">
        <v>75</v>
      </c>
      <c r="C952" s="84" t="s">
        <v>385</v>
      </c>
      <c r="D952" s="85">
        <v>16578</v>
      </c>
      <c r="E952" s="85">
        <v>386475</v>
      </c>
      <c r="F952" s="86">
        <v>38154</v>
      </c>
      <c r="G952" s="87">
        <v>9.8723074000000004</v>
      </c>
    </row>
    <row r="953" spans="1:7" x14ac:dyDescent="0.25">
      <c r="A953" s="84" t="s">
        <v>2378</v>
      </c>
      <c r="B953" s="84" t="s">
        <v>75</v>
      </c>
      <c r="C953" s="84" t="s">
        <v>281</v>
      </c>
      <c r="D953" s="85">
        <v>1788</v>
      </c>
      <c r="E953" s="85">
        <v>47648</v>
      </c>
      <c r="F953" s="86">
        <v>3618</v>
      </c>
      <c r="G953" s="87">
        <v>7.5931832999999997</v>
      </c>
    </row>
    <row r="954" spans="1:7" x14ac:dyDescent="0.25">
      <c r="A954" s="84" t="s">
        <v>1509</v>
      </c>
      <c r="B954" s="84" t="s">
        <v>75</v>
      </c>
      <c r="C954" s="84" t="s">
        <v>278</v>
      </c>
      <c r="D954" s="85">
        <v>358669</v>
      </c>
      <c r="E954" s="85">
        <v>9208624</v>
      </c>
      <c r="F954" s="86">
        <v>677918</v>
      </c>
      <c r="G954" s="87">
        <v>7.3617730999999997</v>
      </c>
    </row>
    <row r="955" spans="1:7" x14ac:dyDescent="0.25">
      <c r="A955" s="84" t="s">
        <v>408</v>
      </c>
      <c r="B955" s="84" t="s">
        <v>75</v>
      </c>
      <c r="C955" s="84" t="s">
        <v>392</v>
      </c>
      <c r="D955" s="85">
        <v>12393</v>
      </c>
      <c r="E955" s="85">
        <v>122821</v>
      </c>
      <c r="F955" s="86">
        <v>14178.6</v>
      </c>
      <c r="G955" s="87">
        <v>11.544117</v>
      </c>
    </row>
    <row r="956" spans="1:7" x14ac:dyDescent="0.25">
      <c r="A956" s="84" t="s">
        <v>409</v>
      </c>
      <c r="B956" s="84" t="s">
        <v>75</v>
      </c>
      <c r="C956" s="84" t="s">
        <v>392</v>
      </c>
      <c r="D956" s="85">
        <v>105</v>
      </c>
      <c r="E956" s="85">
        <v>1199</v>
      </c>
      <c r="F956" s="86">
        <v>152</v>
      </c>
      <c r="G956" s="87">
        <v>12.677231000000001</v>
      </c>
    </row>
    <row r="957" spans="1:7" x14ac:dyDescent="0.25">
      <c r="A957" s="84" t="s">
        <v>413</v>
      </c>
      <c r="B957" s="84" t="s">
        <v>75</v>
      </c>
      <c r="C957" s="84" t="s">
        <v>392</v>
      </c>
      <c r="D957" s="85">
        <v>722</v>
      </c>
      <c r="E957" s="85">
        <v>8494</v>
      </c>
      <c r="F957" s="86">
        <v>1198.3</v>
      </c>
      <c r="G957" s="87">
        <v>14.107605</v>
      </c>
    </row>
    <row r="958" spans="1:7" x14ac:dyDescent="0.25">
      <c r="A958" s="84" t="s">
        <v>414</v>
      </c>
      <c r="B958" s="84" t="s">
        <v>75</v>
      </c>
      <c r="C958" s="84" t="s">
        <v>392</v>
      </c>
      <c r="D958" s="85">
        <v>2432</v>
      </c>
      <c r="E958" s="85">
        <v>26446</v>
      </c>
      <c r="F958" s="86">
        <v>4121.8999999999996</v>
      </c>
      <c r="G958" s="87">
        <v>15.5861</v>
      </c>
    </row>
    <row r="959" spans="1:7" x14ac:dyDescent="0.25">
      <c r="A959" s="84" t="s">
        <v>415</v>
      </c>
      <c r="B959" s="84" t="s">
        <v>75</v>
      </c>
      <c r="C959" s="84" t="s">
        <v>392</v>
      </c>
      <c r="D959" s="85">
        <v>8713</v>
      </c>
      <c r="E959" s="85">
        <v>99611</v>
      </c>
      <c r="F959" s="86">
        <v>13192.3</v>
      </c>
      <c r="G959" s="87">
        <v>13.243817999999999</v>
      </c>
    </row>
    <row r="960" spans="1:7" x14ac:dyDescent="0.25">
      <c r="A960" s="84" t="s">
        <v>467</v>
      </c>
      <c r="B960" s="84" t="s">
        <v>75</v>
      </c>
      <c r="C960" s="84" t="s">
        <v>281</v>
      </c>
      <c r="D960" s="85">
        <v>10</v>
      </c>
      <c r="E960" s="85">
        <v>118</v>
      </c>
      <c r="F960" s="86">
        <v>12</v>
      </c>
      <c r="G960" s="87">
        <v>10.169492</v>
      </c>
    </row>
    <row r="961" spans="1:7" x14ac:dyDescent="0.25">
      <c r="A961" s="84" t="s">
        <v>470</v>
      </c>
      <c r="B961" s="84" t="s">
        <v>75</v>
      </c>
      <c r="C961" s="84" t="s">
        <v>281</v>
      </c>
      <c r="D961" s="85">
        <v>23302</v>
      </c>
      <c r="E961" s="85">
        <v>547944</v>
      </c>
      <c r="F961" s="86">
        <v>66214.899999999994</v>
      </c>
      <c r="G961" s="87">
        <v>12.084246</v>
      </c>
    </row>
    <row r="962" spans="1:7" x14ac:dyDescent="0.25">
      <c r="A962" s="84" t="s">
        <v>421</v>
      </c>
      <c r="B962" s="84" t="s">
        <v>75</v>
      </c>
      <c r="C962" s="84" t="s">
        <v>392</v>
      </c>
      <c r="D962" s="85">
        <v>3147</v>
      </c>
      <c r="E962" s="85">
        <v>30108</v>
      </c>
      <c r="F962" s="86">
        <v>3406</v>
      </c>
      <c r="G962" s="87">
        <v>11.312608000000001</v>
      </c>
    </row>
    <row r="963" spans="1:7" x14ac:dyDescent="0.25">
      <c r="A963" s="84" t="s">
        <v>422</v>
      </c>
      <c r="B963" s="84" t="s">
        <v>75</v>
      </c>
      <c r="C963" s="84" t="s">
        <v>351</v>
      </c>
      <c r="D963" s="85">
        <v>3</v>
      </c>
      <c r="E963" s="85">
        <v>26805</v>
      </c>
      <c r="F963" s="86">
        <v>360.5</v>
      </c>
      <c r="G963" s="87">
        <v>1.3448983000000001</v>
      </c>
    </row>
    <row r="964" spans="1:7" x14ac:dyDescent="0.25">
      <c r="A964" s="84" t="s">
        <v>1510</v>
      </c>
      <c r="B964" s="84" t="s">
        <v>75</v>
      </c>
      <c r="C964" s="84" t="s">
        <v>281</v>
      </c>
      <c r="D964" s="85">
        <v>5609</v>
      </c>
      <c r="E964" s="85">
        <v>745297</v>
      </c>
      <c r="F964" s="86">
        <v>41477.300000000003</v>
      </c>
      <c r="G964" s="87">
        <v>5.5652042000000002</v>
      </c>
    </row>
    <row r="965" spans="1:7" x14ac:dyDescent="0.25">
      <c r="A965" s="84" t="s">
        <v>1511</v>
      </c>
      <c r="B965" s="84" t="s">
        <v>86</v>
      </c>
      <c r="C965" s="84" t="s">
        <v>278</v>
      </c>
      <c r="D965" s="85">
        <v>244944</v>
      </c>
      <c r="E965" s="85">
        <v>2584095</v>
      </c>
      <c r="F965" s="86">
        <v>416744</v>
      </c>
      <c r="G965" s="87">
        <v>16.127271</v>
      </c>
    </row>
    <row r="966" spans="1:7" x14ac:dyDescent="0.25">
      <c r="A966" s="84" t="s">
        <v>1512</v>
      </c>
      <c r="B966" s="84" t="s">
        <v>86</v>
      </c>
      <c r="C966" s="84" t="s">
        <v>283</v>
      </c>
      <c r="D966" s="85">
        <v>10141</v>
      </c>
      <c r="E966" s="85">
        <v>469973</v>
      </c>
      <c r="F966" s="86">
        <v>18330.2</v>
      </c>
      <c r="G966" s="87">
        <v>3.9002666000000001</v>
      </c>
    </row>
    <row r="967" spans="1:7" x14ac:dyDescent="0.25">
      <c r="A967" s="84" t="s">
        <v>1514</v>
      </c>
      <c r="B967" s="84" t="s">
        <v>86</v>
      </c>
      <c r="C967" s="84" t="s">
        <v>278</v>
      </c>
      <c r="D967" s="85">
        <v>2827709</v>
      </c>
      <c r="E967" s="85">
        <v>20544059</v>
      </c>
      <c r="F967" s="86">
        <v>4804476</v>
      </c>
      <c r="G967" s="87">
        <v>23.386206000000001</v>
      </c>
    </row>
    <row r="968" spans="1:7" x14ac:dyDescent="0.25">
      <c r="A968" s="84" t="s">
        <v>1515</v>
      </c>
      <c r="B968" s="84" t="s">
        <v>86</v>
      </c>
      <c r="C968" s="84" t="s">
        <v>278</v>
      </c>
      <c r="D968" s="85">
        <v>761</v>
      </c>
      <c r="E968" s="85">
        <v>6675</v>
      </c>
      <c r="F968" s="86">
        <v>1939.7</v>
      </c>
      <c r="G968" s="87">
        <v>29.059176000000001</v>
      </c>
    </row>
    <row r="969" spans="1:7" x14ac:dyDescent="0.25">
      <c r="A969" s="84" t="s">
        <v>400</v>
      </c>
      <c r="B969" s="84" t="s">
        <v>86</v>
      </c>
      <c r="C969" s="84" t="s">
        <v>392</v>
      </c>
      <c r="D969" s="85">
        <v>47</v>
      </c>
      <c r="E969" s="85">
        <v>574</v>
      </c>
      <c r="F969" s="86">
        <v>86.4</v>
      </c>
      <c r="G969" s="87">
        <v>15.052265</v>
      </c>
    </row>
    <row r="970" spans="1:7" x14ac:dyDescent="0.25">
      <c r="A970" s="84" t="s">
        <v>2365</v>
      </c>
      <c r="B970" s="84" t="s">
        <v>86</v>
      </c>
      <c r="C970" s="84" t="s">
        <v>392</v>
      </c>
      <c r="D970" s="85">
        <v>2</v>
      </c>
      <c r="E970" s="85">
        <v>14790</v>
      </c>
      <c r="F970" s="86">
        <v>1520.4</v>
      </c>
      <c r="G970" s="87">
        <v>10.279919</v>
      </c>
    </row>
    <row r="971" spans="1:7" x14ac:dyDescent="0.25">
      <c r="A971" s="84" t="s">
        <v>1516</v>
      </c>
      <c r="B971" s="84" t="s">
        <v>86</v>
      </c>
      <c r="C971" s="84" t="s">
        <v>283</v>
      </c>
      <c r="D971" s="85">
        <v>18976</v>
      </c>
      <c r="E971" s="85">
        <v>404926</v>
      </c>
      <c r="F971" s="86">
        <v>33733</v>
      </c>
      <c r="G971" s="87">
        <v>8.3306579000000003</v>
      </c>
    </row>
    <row r="972" spans="1:7" x14ac:dyDescent="0.25">
      <c r="A972" s="84" t="s">
        <v>1518</v>
      </c>
      <c r="B972" s="84" t="s">
        <v>86</v>
      </c>
      <c r="C972" s="84" t="s">
        <v>174</v>
      </c>
      <c r="D972" s="85">
        <v>1142119</v>
      </c>
      <c r="E972" s="85">
        <v>18080399</v>
      </c>
      <c r="F972" s="86">
        <v>3619477.1</v>
      </c>
      <c r="G972" s="87">
        <v>20.018789999999999</v>
      </c>
    </row>
    <row r="973" spans="1:7" x14ac:dyDescent="0.25">
      <c r="A973" s="84" t="s">
        <v>401</v>
      </c>
      <c r="B973" s="84" t="s">
        <v>86</v>
      </c>
      <c r="C973" s="84" t="s">
        <v>392</v>
      </c>
      <c r="D973" s="85">
        <v>3</v>
      </c>
      <c r="E973" s="85">
        <v>1118</v>
      </c>
      <c r="F973" s="86">
        <v>203.8</v>
      </c>
      <c r="G973" s="87">
        <v>18.22898</v>
      </c>
    </row>
    <row r="974" spans="1:7" x14ac:dyDescent="0.25">
      <c r="A974" s="84" t="s">
        <v>1519</v>
      </c>
      <c r="B974" s="84" t="s">
        <v>86</v>
      </c>
      <c r="C974" s="84" t="s">
        <v>278</v>
      </c>
      <c r="D974" s="85">
        <v>736407</v>
      </c>
      <c r="E974" s="85">
        <v>7459396</v>
      </c>
      <c r="F974" s="86">
        <v>825018</v>
      </c>
      <c r="G974" s="87">
        <v>11.060117999999999</v>
      </c>
    </row>
    <row r="975" spans="1:7" x14ac:dyDescent="0.25">
      <c r="A975" s="84" t="s">
        <v>1520</v>
      </c>
      <c r="B975" s="84" t="s">
        <v>86</v>
      </c>
      <c r="C975" s="84" t="s">
        <v>278</v>
      </c>
      <c r="D975" s="85">
        <v>1421431</v>
      </c>
      <c r="E975" s="85">
        <v>14582571</v>
      </c>
      <c r="F975" s="86">
        <v>1635889.8</v>
      </c>
      <c r="G975" s="87">
        <v>11.218116</v>
      </c>
    </row>
    <row r="976" spans="1:7" x14ac:dyDescent="0.25">
      <c r="A976" s="84" t="s">
        <v>1522</v>
      </c>
      <c r="B976" s="84" t="s">
        <v>86</v>
      </c>
      <c r="C976" s="84" t="s">
        <v>278</v>
      </c>
      <c r="D976" s="85">
        <v>160614</v>
      </c>
      <c r="E976" s="85">
        <v>1742964</v>
      </c>
      <c r="F976" s="86">
        <v>288245</v>
      </c>
      <c r="G976" s="87">
        <v>16.537634000000001</v>
      </c>
    </row>
    <row r="977" spans="1:7" x14ac:dyDescent="0.25">
      <c r="A977" s="84" t="s">
        <v>1523</v>
      </c>
      <c r="B977" s="84" t="s">
        <v>86</v>
      </c>
      <c r="C977" s="84" t="s">
        <v>278</v>
      </c>
      <c r="D977" s="85">
        <v>3680</v>
      </c>
      <c r="E977" s="85">
        <v>49840</v>
      </c>
      <c r="F977" s="86">
        <v>4697.3999999999996</v>
      </c>
      <c r="G977" s="87">
        <v>9.4249598999999993</v>
      </c>
    </row>
    <row r="978" spans="1:7" x14ac:dyDescent="0.25">
      <c r="A978" s="84" t="s">
        <v>1524</v>
      </c>
      <c r="B978" s="84" t="s">
        <v>86</v>
      </c>
      <c r="C978" s="84" t="s">
        <v>278</v>
      </c>
      <c r="D978" s="85">
        <v>326373</v>
      </c>
      <c r="E978" s="85">
        <v>3147878</v>
      </c>
      <c r="F978" s="86">
        <v>384897.4</v>
      </c>
      <c r="G978" s="87">
        <v>12.227202</v>
      </c>
    </row>
    <row r="979" spans="1:7" x14ac:dyDescent="0.25">
      <c r="A979" s="84" t="s">
        <v>408</v>
      </c>
      <c r="B979" s="84" t="s">
        <v>86</v>
      </c>
      <c r="C979" s="84" t="s">
        <v>392</v>
      </c>
      <c r="D979" s="85">
        <v>17155</v>
      </c>
      <c r="E979" s="85">
        <v>137425</v>
      </c>
      <c r="F979" s="86">
        <v>21692</v>
      </c>
      <c r="G979" s="87">
        <v>15.784610000000001</v>
      </c>
    </row>
    <row r="980" spans="1:7" x14ac:dyDescent="0.25">
      <c r="A980" s="84" t="s">
        <v>409</v>
      </c>
      <c r="B980" s="84" t="s">
        <v>86</v>
      </c>
      <c r="C980" s="84" t="s">
        <v>392</v>
      </c>
      <c r="D980" s="85">
        <v>1643</v>
      </c>
      <c r="E980" s="85">
        <v>10772</v>
      </c>
      <c r="F980" s="86">
        <v>1906</v>
      </c>
      <c r="G980" s="87">
        <v>17.694022</v>
      </c>
    </row>
    <row r="981" spans="1:7" x14ac:dyDescent="0.25">
      <c r="A981" s="84" t="s">
        <v>413</v>
      </c>
      <c r="B981" s="84" t="s">
        <v>86</v>
      </c>
      <c r="C981" s="84" t="s">
        <v>392</v>
      </c>
      <c r="D981" s="85">
        <v>8493</v>
      </c>
      <c r="E981" s="85">
        <v>72971</v>
      </c>
      <c r="F981" s="86">
        <v>14388.2</v>
      </c>
      <c r="G981" s="87">
        <v>19.717696</v>
      </c>
    </row>
    <row r="982" spans="1:7" x14ac:dyDescent="0.25">
      <c r="A982" s="84" t="s">
        <v>414</v>
      </c>
      <c r="B982" s="84" t="s">
        <v>86</v>
      </c>
      <c r="C982" s="84" t="s">
        <v>392</v>
      </c>
      <c r="D982" s="85">
        <v>3795</v>
      </c>
      <c r="E982" s="85">
        <v>30668</v>
      </c>
      <c r="F982" s="86">
        <v>7317.5</v>
      </c>
      <c r="G982" s="87">
        <v>23.860375999999999</v>
      </c>
    </row>
    <row r="983" spans="1:7" x14ac:dyDescent="0.25">
      <c r="A983" s="84" t="s">
        <v>415</v>
      </c>
      <c r="B983" s="84" t="s">
        <v>86</v>
      </c>
      <c r="C983" s="84" t="s">
        <v>392</v>
      </c>
      <c r="D983" s="85">
        <v>18873</v>
      </c>
      <c r="E983" s="85">
        <v>117842</v>
      </c>
      <c r="F983" s="86">
        <v>23564.7</v>
      </c>
      <c r="G983" s="87">
        <v>19.996860000000002</v>
      </c>
    </row>
    <row r="984" spans="1:7" x14ac:dyDescent="0.25">
      <c r="A984" s="84" t="s">
        <v>416</v>
      </c>
      <c r="B984" s="84" t="s">
        <v>86</v>
      </c>
      <c r="C984" s="84" t="s">
        <v>392</v>
      </c>
      <c r="D984" s="85">
        <v>6</v>
      </c>
      <c r="E984" s="85">
        <v>1696</v>
      </c>
      <c r="F984" s="86">
        <v>220.5</v>
      </c>
      <c r="G984" s="87">
        <v>13.001179</v>
      </c>
    </row>
    <row r="985" spans="1:7" x14ac:dyDescent="0.25">
      <c r="A985" s="84" t="s">
        <v>1526</v>
      </c>
      <c r="B985" s="84" t="s">
        <v>86</v>
      </c>
      <c r="C985" s="84" t="s">
        <v>283</v>
      </c>
      <c r="D985" s="85">
        <v>9337</v>
      </c>
      <c r="E985" s="85">
        <v>196535</v>
      </c>
      <c r="F985" s="86">
        <v>9996.9</v>
      </c>
      <c r="G985" s="87">
        <v>5.0865748999999996</v>
      </c>
    </row>
    <row r="986" spans="1:7" x14ac:dyDescent="0.25">
      <c r="A986" s="84" t="s">
        <v>1528</v>
      </c>
      <c r="B986" s="84" t="s">
        <v>86</v>
      </c>
      <c r="C986" s="84" t="s">
        <v>283</v>
      </c>
      <c r="D986" s="85">
        <v>17766</v>
      </c>
      <c r="E986" s="85">
        <v>419515</v>
      </c>
      <c r="F986" s="86">
        <v>23454.2</v>
      </c>
      <c r="G986" s="87">
        <v>5.5907894000000002</v>
      </c>
    </row>
    <row r="987" spans="1:7" x14ac:dyDescent="0.25">
      <c r="A987" s="84" t="s">
        <v>1529</v>
      </c>
      <c r="B987" s="84" t="s">
        <v>86</v>
      </c>
      <c r="C987" s="84" t="s">
        <v>283</v>
      </c>
      <c r="D987" s="85">
        <v>15169</v>
      </c>
      <c r="E987" s="85">
        <v>248849</v>
      </c>
      <c r="F987" s="86">
        <v>31193</v>
      </c>
      <c r="G987" s="87">
        <v>12.534910999999999</v>
      </c>
    </row>
    <row r="988" spans="1:7" x14ac:dyDescent="0.25">
      <c r="A988" s="84" t="s">
        <v>1532</v>
      </c>
      <c r="B988" s="84" t="s">
        <v>86</v>
      </c>
      <c r="C988" s="84" t="s">
        <v>283</v>
      </c>
      <c r="D988" s="85">
        <v>5163</v>
      </c>
      <c r="E988" s="85">
        <v>543085</v>
      </c>
      <c r="F988" s="86">
        <v>25632.9</v>
      </c>
      <c r="G988" s="87">
        <v>4.7198688999999998</v>
      </c>
    </row>
    <row r="989" spans="1:7" x14ac:dyDescent="0.25">
      <c r="A989" s="84" t="s">
        <v>421</v>
      </c>
      <c r="B989" s="84" t="s">
        <v>86</v>
      </c>
      <c r="C989" s="84" t="s">
        <v>392</v>
      </c>
      <c r="D989" s="85">
        <v>14007</v>
      </c>
      <c r="E989" s="85">
        <v>88079</v>
      </c>
      <c r="F989" s="86">
        <v>14022.9</v>
      </c>
      <c r="G989" s="87">
        <v>15.920821</v>
      </c>
    </row>
    <row r="990" spans="1:7" x14ac:dyDescent="0.25">
      <c r="A990" s="84" t="s">
        <v>1534</v>
      </c>
      <c r="B990" s="84" t="s">
        <v>94</v>
      </c>
      <c r="C990" s="84" t="s">
        <v>281</v>
      </c>
      <c r="D990" s="85">
        <v>18550</v>
      </c>
      <c r="E990" s="85">
        <v>240795</v>
      </c>
      <c r="F990" s="86">
        <v>38952.5</v>
      </c>
      <c r="G990" s="87">
        <v>16.176622999999999</v>
      </c>
    </row>
    <row r="991" spans="1:7" x14ac:dyDescent="0.25">
      <c r="A991" s="84" t="s">
        <v>1535</v>
      </c>
      <c r="B991" s="84" t="s">
        <v>94</v>
      </c>
      <c r="C991" s="84" t="s">
        <v>281</v>
      </c>
      <c r="D991" s="85">
        <v>11548</v>
      </c>
      <c r="E991" s="85">
        <v>210088</v>
      </c>
      <c r="F991" s="86">
        <v>32977</v>
      </c>
      <c r="G991" s="87">
        <v>15.696756000000001</v>
      </c>
    </row>
    <row r="992" spans="1:7" x14ac:dyDescent="0.25">
      <c r="A992" s="84" t="s">
        <v>1538</v>
      </c>
      <c r="B992" s="84" t="s">
        <v>94</v>
      </c>
      <c r="C992" s="84" t="s">
        <v>283</v>
      </c>
      <c r="D992" s="85">
        <v>14755</v>
      </c>
      <c r="E992" s="85">
        <v>483454</v>
      </c>
      <c r="F992" s="86">
        <v>56697</v>
      </c>
      <c r="G992" s="87">
        <v>11.727486000000001</v>
      </c>
    </row>
    <row r="993" spans="1:7" x14ac:dyDescent="0.25">
      <c r="A993" s="84" t="s">
        <v>1540</v>
      </c>
      <c r="B993" s="84" t="s">
        <v>94</v>
      </c>
      <c r="C993" s="84" t="s">
        <v>283</v>
      </c>
      <c r="D993" s="85">
        <v>7906</v>
      </c>
      <c r="E993" s="85">
        <v>239968</v>
      </c>
      <c r="F993" s="86">
        <v>24384</v>
      </c>
      <c r="G993" s="87">
        <v>10.161355</v>
      </c>
    </row>
    <row r="994" spans="1:7" x14ac:dyDescent="0.25">
      <c r="A994" s="84" t="s">
        <v>1541</v>
      </c>
      <c r="B994" s="84" t="s">
        <v>94</v>
      </c>
      <c r="C994" s="84" t="s">
        <v>283</v>
      </c>
      <c r="D994" s="85">
        <v>74400</v>
      </c>
      <c r="E994" s="85">
        <v>1528964</v>
      </c>
      <c r="F994" s="86">
        <v>195496</v>
      </c>
      <c r="G994" s="87">
        <v>12.786174000000001</v>
      </c>
    </row>
    <row r="995" spans="1:7" x14ac:dyDescent="0.25">
      <c r="A995" s="84" t="s">
        <v>1542</v>
      </c>
      <c r="B995" s="84" t="s">
        <v>94</v>
      </c>
      <c r="C995" s="84" t="s">
        <v>283</v>
      </c>
      <c r="D995" s="85">
        <v>16465</v>
      </c>
      <c r="E995" s="85">
        <v>796873</v>
      </c>
      <c r="F995" s="86">
        <v>85226.4</v>
      </c>
      <c r="G995" s="87">
        <v>10.695104000000001</v>
      </c>
    </row>
    <row r="996" spans="1:7" x14ac:dyDescent="0.25">
      <c r="A996" s="84" t="s">
        <v>1543</v>
      </c>
      <c r="B996" s="84" t="s">
        <v>94</v>
      </c>
      <c r="C996" s="84" t="s">
        <v>283</v>
      </c>
      <c r="D996" s="85">
        <v>26003</v>
      </c>
      <c r="E996" s="85">
        <v>402639</v>
      </c>
      <c r="F996" s="86">
        <v>51249.599999999999</v>
      </c>
      <c r="G996" s="87">
        <v>12.728424</v>
      </c>
    </row>
    <row r="997" spans="1:7" x14ac:dyDescent="0.25">
      <c r="A997" s="84" t="s">
        <v>1544</v>
      </c>
      <c r="B997" s="84" t="s">
        <v>94</v>
      </c>
      <c r="C997" s="84" t="s">
        <v>283</v>
      </c>
      <c r="D997" s="85">
        <v>6829</v>
      </c>
      <c r="E997" s="85">
        <v>216891</v>
      </c>
      <c r="F997" s="86">
        <v>28077</v>
      </c>
      <c r="G997" s="87">
        <v>12.945212</v>
      </c>
    </row>
    <row r="998" spans="1:7" x14ac:dyDescent="0.25">
      <c r="A998" s="84" t="s">
        <v>1546</v>
      </c>
      <c r="B998" s="84" t="s">
        <v>94</v>
      </c>
      <c r="C998" s="84" t="s">
        <v>283</v>
      </c>
      <c r="D998" s="85">
        <v>29491</v>
      </c>
      <c r="E998" s="85">
        <v>547178</v>
      </c>
      <c r="F998" s="86">
        <v>72411</v>
      </c>
      <c r="G998" s="87">
        <v>13.233536000000001</v>
      </c>
    </row>
    <row r="999" spans="1:7" x14ac:dyDescent="0.25">
      <c r="A999" s="84" t="s">
        <v>1549</v>
      </c>
      <c r="B999" s="84" t="s">
        <v>94</v>
      </c>
      <c r="C999" s="84" t="s">
        <v>283</v>
      </c>
      <c r="D999" s="85">
        <v>9392</v>
      </c>
      <c r="E999" s="85">
        <v>349424</v>
      </c>
      <c r="F999" s="86">
        <v>30445</v>
      </c>
      <c r="G999" s="87">
        <v>8.7129104000000002</v>
      </c>
    </row>
    <row r="1000" spans="1:7" x14ac:dyDescent="0.25">
      <c r="A1000" s="84" t="s">
        <v>2401</v>
      </c>
      <c r="B1000" s="84" t="s">
        <v>94</v>
      </c>
      <c r="C1000" s="84" t="s">
        <v>283</v>
      </c>
      <c r="D1000" s="85">
        <v>12694</v>
      </c>
      <c r="E1000" s="85">
        <v>233316</v>
      </c>
      <c r="F1000" s="86">
        <v>18931</v>
      </c>
      <c r="G1000" s="87">
        <v>8.1138884999999998</v>
      </c>
    </row>
    <row r="1001" spans="1:7" x14ac:dyDescent="0.25">
      <c r="A1001" s="84" t="s">
        <v>1552</v>
      </c>
      <c r="B1001" s="84" t="s">
        <v>94</v>
      </c>
      <c r="C1001" s="84" t="s">
        <v>283</v>
      </c>
      <c r="D1001" s="85">
        <v>7444</v>
      </c>
      <c r="E1001" s="85">
        <v>280791</v>
      </c>
      <c r="F1001" s="86">
        <v>28885</v>
      </c>
      <c r="G1001" s="87">
        <v>10.287011</v>
      </c>
    </row>
    <row r="1002" spans="1:7" x14ac:dyDescent="0.25">
      <c r="A1002" s="84" t="s">
        <v>1553</v>
      </c>
      <c r="B1002" s="84" t="s">
        <v>94</v>
      </c>
      <c r="C1002" s="84" t="s">
        <v>283</v>
      </c>
      <c r="D1002" s="85">
        <v>12523</v>
      </c>
      <c r="E1002" s="85">
        <v>218358</v>
      </c>
      <c r="F1002" s="86">
        <v>29106.3</v>
      </c>
      <c r="G1002" s="87">
        <v>13.329624000000001</v>
      </c>
    </row>
    <row r="1003" spans="1:7" x14ac:dyDescent="0.25">
      <c r="A1003" s="84" t="s">
        <v>1554</v>
      </c>
      <c r="B1003" s="84" t="s">
        <v>94</v>
      </c>
      <c r="C1003" s="84" t="s">
        <v>283</v>
      </c>
      <c r="D1003" s="85">
        <v>10809</v>
      </c>
      <c r="E1003" s="85">
        <v>285883</v>
      </c>
      <c r="F1003" s="86">
        <v>27306.9</v>
      </c>
      <c r="G1003" s="87">
        <v>9.5517746999999993</v>
      </c>
    </row>
    <row r="1004" spans="1:7" x14ac:dyDescent="0.25">
      <c r="A1004" s="84" t="s">
        <v>1556</v>
      </c>
      <c r="B1004" s="84" t="s">
        <v>94</v>
      </c>
      <c r="C1004" s="84" t="s">
        <v>283</v>
      </c>
      <c r="D1004" s="85">
        <v>4222</v>
      </c>
      <c r="E1004" s="85">
        <v>187225</v>
      </c>
      <c r="F1004" s="86">
        <v>19166.099999999999</v>
      </c>
      <c r="G1004" s="87">
        <v>10.236934</v>
      </c>
    </row>
    <row r="1005" spans="1:7" x14ac:dyDescent="0.25">
      <c r="A1005" s="84" t="s">
        <v>1558</v>
      </c>
      <c r="B1005" s="84" t="s">
        <v>94</v>
      </c>
      <c r="C1005" s="84" t="s">
        <v>283</v>
      </c>
      <c r="D1005" s="85">
        <v>13214</v>
      </c>
      <c r="E1005" s="85">
        <v>269500</v>
      </c>
      <c r="F1005" s="86">
        <v>25103</v>
      </c>
      <c r="G1005" s="87">
        <v>9.3146567999999998</v>
      </c>
    </row>
    <row r="1006" spans="1:7" x14ac:dyDescent="0.25">
      <c r="A1006" s="84" t="s">
        <v>1559</v>
      </c>
      <c r="B1006" s="84" t="s">
        <v>94</v>
      </c>
      <c r="C1006" s="84" t="s">
        <v>283</v>
      </c>
      <c r="D1006" s="85">
        <v>5861</v>
      </c>
      <c r="E1006" s="85">
        <v>148831</v>
      </c>
      <c r="F1006" s="86">
        <v>18605</v>
      </c>
      <c r="G1006" s="87">
        <v>12.500756000000001</v>
      </c>
    </row>
    <row r="1007" spans="1:7" x14ac:dyDescent="0.25">
      <c r="A1007" s="84" t="s">
        <v>1560</v>
      </c>
      <c r="B1007" s="84" t="s">
        <v>94</v>
      </c>
      <c r="C1007" s="84" t="s">
        <v>283</v>
      </c>
      <c r="D1007" s="85">
        <v>17765</v>
      </c>
      <c r="E1007" s="85">
        <v>467626</v>
      </c>
      <c r="F1007" s="86">
        <v>49446</v>
      </c>
      <c r="G1007" s="87">
        <v>10.573835000000001</v>
      </c>
    </row>
    <row r="1008" spans="1:7" x14ac:dyDescent="0.25">
      <c r="A1008" s="84" t="s">
        <v>1561</v>
      </c>
      <c r="B1008" s="84" t="s">
        <v>94</v>
      </c>
      <c r="C1008" s="84" t="s">
        <v>278</v>
      </c>
      <c r="D1008" s="85">
        <v>182430</v>
      </c>
      <c r="E1008" s="85">
        <v>2046855</v>
      </c>
      <c r="F1008" s="86">
        <v>231335</v>
      </c>
      <c r="G1008" s="87">
        <v>11.301973</v>
      </c>
    </row>
    <row r="1009" spans="1:7" x14ac:dyDescent="0.25">
      <c r="A1009" s="84" t="s">
        <v>1562</v>
      </c>
      <c r="B1009" s="84" t="s">
        <v>94</v>
      </c>
      <c r="C1009" s="84" t="s">
        <v>283</v>
      </c>
      <c r="D1009" s="85">
        <v>3079</v>
      </c>
      <c r="E1009" s="85">
        <v>194949</v>
      </c>
      <c r="F1009" s="86">
        <v>17813</v>
      </c>
      <c r="G1009" s="87">
        <v>9.1372614999999993</v>
      </c>
    </row>
    <row r="1010" spans="1:7" x14ac:dyDescent="0.25">
      <c r="A1010" s="84" t="s">
        <v>1563</v>
      </c>
      <c r="B1010" s="84" t="s">
        <v>94</v>
      </c>
      <c r="C1010" s="84" t="s">
        <v>281</v>
      </c>
      <c r="D1010" s="85">
        <v>17999</v>
      </c>
      <c r="E1010" s="85">
        <v>396527</v>
      </c>
      <c r="F1010" s="86">
        <v>51189</v>
      </c>
      <c r="G1010" s="87">
        <v>12.909335</v>
      </c>
    </row>
    <row r="1011" spans="1:7" x14ac:dyDescent="0.25">
      <c r="A1011" s="84" t="s">
        <v>1565</v>
      </c>
      <c r="B1011" s="84" t="s">
        <v>94</v>
      </c>
      <c r="C1011" s="84" t="s">
        <v>278</v>
      </c>
      <c r="D1011" s="85">
        <v>273970</v>
      </c>
      <c r="E1011" s="85">
        <v>3870133</v>
      </c>
      <c r="F1011" s="86">
        <v>352426</v>
      </c>
      <c r="G1011" s="87">
        <v>9.1063019999999995</v>
      </c>
    </row>
    <row r="1012" spans="1:7" x14ac:dyDescent="0.25">
      <c r="A1012" s="84" t="s">
        <v>1566</v>
      </c>
      <c r="B1012" s="84" t="s">
        <v>94</v>
      </c>
      <c r="C1012" s="84" t="s">
        <v>278</v>
      </c>
      <c r="D1012" s="85">
        <v>281312</v>
      </c>
      <c r="E1012" s="85">
        <v>3707504</v>
      </c>
      <c r="F1012" s="86">
        <v>402430.9</v>
      </c>
      <c r="G1012" s="87">
        <v>10.854497</v>
      </c>
    </row>
    <row r="1013" spans="1:7" x14ac:dyDescent="0.25">
      <c r="A1013" s="84" t="s">
        <v>1569</v>
      </c>
      <c r="B1013" s="84" t="s">
        <v>94</v>
      </c>
      <c r="C1013" s="84" t="s">
        <v>281</v>
      </c>
      <c r="D1013" s="85">
        <v>16904</v>
      </c>
      <c r="E1013" s="85">
        <v>244827</v>
      </c>
      <c r="F1013" s="86">
        <v>34387</v>
      </c>
      <c r="G1013" s="87">
        <v>14.045427999999999</v>
      </c>
    </row>
    <row r="1014" spans="1:7" x14ac:dyDescent="0.25">
      <c r="A1014" s="84" t="s">
        <v>1570</v>
      </c>
      <c r="B1014" s="84" t="s">
        <v>94</v>
      </c>
      <c r="C1014" s="84" t="s">
        <v>281</v>
      </c>
      <c r="D1014" s="85">
        <v>13432</v>
      </c>
      <c r="E1014" s="85">
        <v>346231</v>
      </c>
      <c r="F1014" s="86">
        <v>43957.9</v>
      </c>
      <c r="G1014" s="87">
        <v>12.696118999999999</v>
      </c>
    </row>
    <row r="1015" spans="1:7" x14ac:dyDescent="0.25">
      <c r="A1015" s="84" t="s">
        <v>1571</v>
      </c>
      <c r="B1015" s="84" t="s">
        <v>94</v>
      </c>
      <c r="C1015" s="84" t="s">
        <v>281</v>
      </c>
      <c r="D1015" s="85">
        <v>17557</v>
      </c>
      <c r="E1015" s="85">
        <v>349090</v>
      </c>
      <c r="F1015" s="86">
        <v>43137.9</v>
      </c>
      <c r="G1015" s="87">
        <v>12.357243</v>
      </c>
    </row>
    <row r="1016" spans="1:7" x14ac:dyDescent="0.25">
      <c r="A1016" s="84" t="s">
        <v>1572</v>
      </c>
      <c r="B1016" s="84" t="s">
        <v>94</v>
      </c>
      <c r="C1016" s="84" t="s">
        <v>281</v>
      </c>
      <c r="D1016" s="85">
        <v>26344</v>
      </c>
      <c r="E1016" s="85">
        <v>396185</v>
      </c>
      <c r="F1016" s="86">
        <v>55361.5</v>
      </c>
      <c r="G1016" s="87">
        <v>13.973649</v>
      </c>
    </row>
    <row r="1017" spans="1:7" x14ac:dyDescent="0.25">
      <c r="A1017" s="84" t="s">
        <v>401</v>
      </c>
      <c r="B1017" s="84" t="s">
        <v>94</v>
      </c>
      <c r="C1017" s="84" t="s">
        <v>392</v>
      </c>
      <c r="D1017" s="85">
        <v>1</v>
      </c>
      <c r="E1017" s="85">
        <v>428</v>
      </c>
      <c r="F1017" s="86">
        <v>47.6</v>
      </c>
      <c r="G1017" s="87">
        <v>11.121494999999999</v>
      </c>
    </row>
    <row r="1018" spans="1:7" x14ac:dyDescent="0.25">
      <c r="A1018" s="84" t="s">
        <v>1574</v>
      </c>
      <c r="B1018" s="84" t="s">
        <v>94</v>
      </c>
      <c r="C1018" s="84" t="s">
        <v>281</v>
      </c>
      <c r="D1018" s="85">
        <v>16521</v>
      </c>
      <c r="E1018" s="85">
        <v>319011</v>
      </c>
      <c r="F1018" s="86">
        <v>38140.6</v>
      </c>
      <c r="G1018" s="87">
        <v>11.955889000000001</v>
      </c>
    </row>
    <row r="1019" spans="1:7" x14ac:dyDescent="0.25">
      <c r="A1019" s="84" t="s">
        <v>1576</v>
      </c>
      <c r="B1019" s="84" t="s">
        <v>94</v>
      </c>
      <c r="C1019" s="84" t="s">
        <v>281</v>
      </c>
      <c r="D1019" s="85">
        <v>10892</v>
      </c>
      <c r="E1019" s="85">
        <v>270521</v>
      </c>
      <c r="F1019" s="86">
        <v>30926.3</v>
      </c>
      <c r="G1019" s="87">
        <v>11.432124999999999</v>
      </c>
    </row>
    <row r="1020" spans="1:7" x14ac:dyDescent="0.25">
      <c r="A1020" s="84" t="s">
        <v>837</v>
      </c>
      <c r="B1020" s="84" t="s">
        <v>94</v>
      </c>
      <c r="C1020" s="84" t="s">
        <v>281</v>
      </c>
      <c r="D1020" s="85">
        <v>1060</v>
      </c>
      <c r="E1020" s="85">
        <v>16945</v>
      </c>
      <c r="F1020" s="86">
        <v>2480.5</v>
      </c>
      <c r="G1020" s="87">
        <v>14.638536</v>
      </c>
    </row>
    <row r="1021" spans="1:7" x14ac:dyDescent="0.25">
      <c r="A1021" s="84" t="s">
        <v>1388</v>
      </c>
      <c r="B1021" s="84" t="s">
        <v>94</v>
      </c>
      <c r="C1021" s="84" t="s">
        <v>281</v>
      </c>
      <c r="D1021" s="85">
        <v>9653</v>
      </c>
      <c r="E1021" s="85">
        <v>206447</v>
      </c>
      <c r="F1021" s="86">
        <v>25453.200000000001</v>
      </c>
      <c r="G1021" s="87">
        <v>12.329169</v>
      </c>
    </row>
    <row r="1022" spans="1:7" x14ac:dyDescent="0.25">
      <c r="A1022" s="84" t="s">
        <v>1578</v>
      </c>
      <c r="B1022" s="84" t="s">
        <v>94</v>
      </c>
      <c r="C1022" s="84" t="s">
        <v>278</v>
      </c>
      <c r="D1022" s="85">
        <v>330450</v>
      </c>
      <c r="E1022" s="85">
        <v>3963479</v>
      </c>
      <c r="F1022" s="86">
        <v>458412.5</v>
      </c>
      <c r="G1022" s="87">
        <v>11.565912000000001</v>
      </c>
    </row>
    <row r="1023" spans="1:7" x14ac:dyDescent="0.25">
      <c r="A1023" s="84" t="s">
        <v>1579</v>
      </c>
      <c r="B1023" s="84" t="s">
        <v>94</v>
      </c>
      <c r="C1023" s="84" t="s">
        <v>278</v>
      </c>
      <c r="D1023" s="85">
        <v>923769</v>
      </c>
      <c r="E1023" s="85">
        <v>11304989</v>
      </c>
      <c r="F1023" s="86">
        <v>1395177</v>
      </c>
      <c r="G1023" s="87">
        <v>12.34125</v>
      </c>
    </row>
    <row r="1024" spans="1:7" x14ac:dyDescent="0.25">
      <c r="A1024" s="84" t="s">
        <v>1580</v>
      </c>
      <c r="B1024" s="84" t="s">
        <v>94</v>
      </c>
      <c r="C1024" s="84" t="s">
        <v>278</v>
      </c>
      <c r="D1024" s="85">
        <v>1</v>
      </c>
      <c r="E1024" s="85">
        <v>109944</v>
      </c>
      <c r="F1024" s="86">
        <v>3266</v>
      </c>
      <c r="G1024" s="87">
        <v>2.9706032000000002</v>
      </c>
    </row>
    <row r="1025" spans="1:7" x14ac:dyDescent="0.25">
      <c r="A1025" s="84" t="s">
        <v>844</v>
      </c>
      <c r="B1025" s="84" t="s">
        <v>94</v>
      </c>
      <c r="C1025" s="84" t="s">
        <v>281</v>
      </c>
      <c r="D1025" s="85">
        <v>9562</v>
      </c>
      <c r="E1025" s="85">
        <v>254780</v>
      </c>
      <c r="F1025" s="86">
        <v>29484.799999999999</v>
      </c>
      <c r="G1025" s="87">
        <v>11.572651</v>
      </c>
    </row>
    <row r="1026" spans="1:7" x14ac:dyDescent="0.25">
      <c r="A1026" s="84" t="s">
        <v>1581</v>
      </c>
      <c r="B1026" s="84" t="s">
        <v>94</v>
      </c>
      <c r="C1026" s="84" t="s">
        <v>281</v>
      </c>
      <c r="D1026" s="85">
        <v>16885</v>
      </c>
      <c r="E1026" s="85">
        <v>607350</v>
      </c>
      <c r="F1026" s="86">
        <v>66656.3</v>
      </c>
      <c r="G1026" s="87">
        <v>10.97494</v>
      </c>
    </row>
    <row r="1027" spans="1:7" x14ac:dyDescent="0.25">
      <c r="A1027" s="84" t="s">
        <v>408</v>
      </c>
      <c r="B1027" s="84" t="s">
        <v>94</v>
      </c>
      <c r="C1027" s="84" t="s">
        <v>392</v>
      </c>
      <c r="D1027" s="85">
        <v>19</v>
      </c>
      <c r="E1027" s="85">
        <v>6739</v>
      </c>
      <c r="F1027" s="86">
        <v>553.5</v>
      </c>
      <c r="G1027" s="87">
        <v>8.2133848</v>
      </c>
    </row>
    <row r="1028" spans="1:7" x14ac:dyDescent="0.25">
      <c r="A1028" s="84" t="s">
        <v>1582</v>
      </c>
      <c r="B1028" s="84" t="s">
        <v>94</v>
      </c>
      <c r="C1028" s="84" t="s">
        <v>281</v>
      </c>
      <c r="D1028" s="85">
        <v>121608</v>
      </c>
      <c r="E1028" s="85">
        <v>2682081</v>
      </c>
      <c r="F1028" s="86">
        <v>299932.90000000002</v>
      </c>
      <c r="G1028" s="87">
        <v>11.182843</v>
      </c>
    </row>
    <row r="1029" spans="1:7" x14ac:dyDescent="0.25">
      <c r="A1029" s="84" t="s">
        <v>1583</v>
      </c>
      <c r="B1029" s="84" t="s">
        <v>94</v>
      </c>
      <c r="C1029" s="84" t="s">
        <v>278</v>
      </c>
      <c r="D1029" s="85">
        <v>97447</v>
      </c>
      <c r="E1029" s="85">
        <v>1090720</v>
      </c>
      <c r="F1029" s="86">
        <v>133288</v>
      </c>
      <c r="G1029" s="87">
        <v>12.220185000000001</v>
      </c>
    </row>
    <row r="1030" spans="1:7" x14ac:dyDescent="0.25">
      <c r="A1030" s="84" t="s">
        <v>1584</v>
      </c>
      <c r="B1030" s="84" t="s">
        <v>94</v>
      </c>
      <c r="C1030" s="84" t="s">
        <v>281</v>
      </c>
      <c r="D1030" s="85">
        <v>10748</v>
      </c>
      <c r="E1030" s="85">
        <v>502118</v>
      </c>
      <c r="F1030" s="86">
        <v>53556.9</v>
      </c>
      <c r="G1030" s="87">
        <v>10.666198</v>
      </c>
    </row>
    <row r="1031" spans="1:7" x14ac:dyDescent="0.25">
      <c r="A1031" s="84" t="s">
        <v>856</v>
      </c>
      <c r="B1031" s="84" t="s">
        <v>96</v>
      </c>
      <c r="C1031" s="84" t="s">
        <v>281</v>
      </c>
      <c r="D1031" s="85">
        <v>7594</v>
      </c>
      <c r="E1031" s="85">
        <v>505999</v>
      </c>
      <c r="F1031" s="86">
        <v>39545</v>
      </c>
      <c r="G1031" s="87">
        <v>7.8152328000000004</v>
      </c>
    </row>
    <row r="1032" spans="1:7" x14ac:dyDescent="0.25">
      <c r="A1032" s="84" t="s">
        <v>354</v>
      </c>
      <c r="B1032" s="84" t="s">
        <v>96</v>
      </c>
      <c r="C1032" s="84" t="s">
        <v>281</v>
      </c>
      <c r="D1032" s="85">
        <v>4813</v>
      </c>
      <c r="E1032" s="85">
        <v>84888</v>
      </c>
      <c r="F1032" s="86">
        <v>8750.9</v>
      </c>
      <c r="G1032" s="87">
        <v>10.308759999999999</v>
      </c>
    </row>
    <row r="1033" spans="1:7" x14ac:dyDescent="0.25">
      <c r="A1033" s="84" t="s">
        <v>1588</v>
      </c>
      <c r="B1033" s="84" t="s">
        <v>96</v>
      </c>
      <c r="C1033" s="84" t="s">
        <v>281</v>
      </c>
      <c r="D1033" s="85">
        <v>25967</v>
      </c>
      <c r="E1033" s="85">
        <v>619129</v>
      </c>
      <c r="F1033" s="86">
        <v>67922</v>
      </c>
      <c r="G1033" s="87">
        <v>10.970573</v>
      </c>
    </row>
    <row r="1034" spans="1:7" x14ac:dyDescent="0.25">
      <c r="A1034" s="84" t="s">
        <v>1589</v>
      </c>
      <c r="B1034" s="84" t="s">
        <v>96</v>
      </c>
      <c r="C1034" s="84" t="s">
        <v>281</v>
      </c>
      <c r="D1034" s="85">
        <v>25441</v>
      </c>
      <c r="E1034" s="85">
        <v>716346</v>
      </c>
      <c r="F1034" s="86">
        <v>61080.6</v>
      </c>
      <c r="G1034" s="87">
        <v>8.5266895999999992</v>
      </c>
    </row>
    <row r="1035" spans="1:7" x14ac:dyDescent="0.25">
      <c r="A1035" s="84" t="s">
        <v>1590</v>
      </c>
      <c r="B1035" s="84" t="s">
        <v>96</v>
      </c>
      <c r="C1035" s="84" t="s">
        <v>281</v>
      </c>
      <c r="D1035" s="85">
        <v>22319</v>
      </c>
      <c r="E1035" s="85">
        <v>514616</v>
      </c>
      <c r="F1035" s="86">
        <v>53809.8</v>
      </c>
      <c r="G1035" s="87">
        <v>10.456301</v>
      </c>
    </row>
    <row r="1036" spans="1:7" x14ac:dyDescent="0.25">
      <c r="A1036" s="84" t="s">
        <v>1591</v>
      </c>
      <c r="B1036" s="84" t="s">
        <v>96</v>
      </c>
      <c r="C1036" s="84" t="s">
        <v>281</v>
      </c>
      <c r="D1036" s="85">
        <v>19401</v>
      </c>
      <c r="E1036" s="85">
        <v>470023</v>
      </c>
      <c r="F1036" s="86">
        <v>46554.2</v>
      </c>
      <c r="G1036" s="87">
        <v>9.9046641999999991</v>
      </c>
    </row>
    <row r="1037" spans="1:7" x14ac:dyDescent="0.25">
      <c r="A1037" s="84" t="s">
        <v>1592</v>
      </c>
      <c r="B1037" s="84" t="s">
        <v>96</v>
      </c>
      <c r="C1037" s="84" t="s">
        <v>281</v>
      </c>
      <c r="D1037" s="85">
        <v>18029</v>
      </c>
      <c r="E1037" s="85">
        <v>597704</v>
      </c>
      <c r="F1037" s="86">
        <v>58198</v>
      </c>
      <c r="G1037" s="87">
        <v>9.7369266000000003</v>
      </c>
    </row>
    <row r="1038" spans="1:7" x14ac:dyDescent="0.25">
      <c r="A1038" s="84" t="s">
        <v>1594</v>
      </c>
      <c r="B1038" s="84" t="s">
        <v>96</v>
      </c>
      <c r="C1038" s="84" t="s">
        <v>283</v>
      </c>
      <c r="D1038" s="85">
        <v>12719</v>
      </c>
      <c r="E1038" s="85">
        <v>252930</v>
      </c>
      <c r="F1038" s="86">
        <v>25012</v>
      </c>
      <c r="G1038" s="87">
        <v>9.8889020999999993</v>
      </c>
    </row>
    <row r="1039" spans="1:7" x14ac:dyDescent="0.25">
      <c r="A1039" s="84" t="s">
        <v>1597</v>
      </c>
      <c r="B1039" s="84" t="s">
        <v>96</v>
      </c>
      <c r="C1039" s="84" t="s">
        <v>283</v>
      </c>
      <c r="D1039" s="85">
        <v>41932</v>
      </c>
      <c r="E1039" s="85">
        <v>869443</v>
      </c>
      <c r="F1039" s="86">
        <v>90556</v>
      </c>
      <c r="G1039" s="87">
        <v>10.415404000000001</v>
      </c>
    </row>
    <row r="1040" spans="1:7" x14ac:dyDescent="0.25">
      <c r="A1040" s="84" t="s">
        <v>1601</v>
      </c>
      <c r="B1040" s="84" t="s">
        <v>96</v>
      </c>
      <c r="C1040" s="84" t="s">
        <v>283</v>
      </c>
      <c r="D1040" s="85">
        <v>15851</v>
      </c>
      <c r="E1040" s="85">
        <v>348678</v>
      </c>
      <c r="F1040" s="86">
        <v>35200</v>
      </c>
      <c r="G1040" s="87">
        <v>10.095274</v>
      </c>
    </row>
    <row r="1041" spans="1:7" x14ac:dyDescent="0.25">
      <c r="A1041" s="84" t="s">
        <v>1605</v>
      </c>
      <c r="B1041" s="84" t="s">
        <v>96</v>
      </c>
      <c r="C1041" s="84" t="s">
        <v>281</v>
      </c>
      <c r="D1041" s="85">
        <v>18092</v>
      </c>
      <c r="E1041" s="85">
        <v>290214</v>
      </c>
      <c r="F1041" s="86">
        <v>34391</v>
      </c>
      <c r="G1041" s="87">
        <v>11.850220999999999</v>
      </c>
    </row>
    <row r="1042" spans="1:7" x14ac:dyDescent="0.25">
      <c r="A1042" s="84" t="s">
        <v>1606</v>
      </c>
      <c r="B1042" s="84" t="s">
        <v>96</v>
      </c>
      <c r="C1042" s="84" t="s">
        <v>281</v>
      </c>
      <c r="D1042" s="85">
        <v>22580</v>
      </c>
      <c r="E1042" s="85">
        <v>739132</v>
      </c>
      <c r="F1042" s="86">
        <v>64960.4</v>
      </c>
      <c r="G1042" s="87">
        <v>8.7887413999999993</v>
      </c>
    </row>
    <row r="1043" spans="1:7" x14ac:dyDescent="0.25">
      <c r="A1043" s="84" t="s">
        <v>1607</v>
      </c>
      <c r="B1043" s="84" t="s">
        <v>96</v>
      </c>
      <c r="C1043" s="84" t="s">
        <v>281</v>
      </c>
      <c r="D1043" s="85">
        <v>35098</v>
      </c>
      <c r="E1043" s="85">
        <v>516880</v>
      </c>
      <c r="F1043" s="86">
        <v>58341</v>
      </c>
      <c r="G1043" s="87">
        <v>11.287146</v>
      </c>
    </row>
    <row r="1044" spans="1:7" x14ac:dyDescent="0.25">
      <c r="A1044" s="84" t="s">
        <v>369</v>
      </c>
      <c r="B1044" s="84" t="s">
        <v>96</v>
      </c>
      <c r="C1044" s="84" t="s">
        <v>278</v>
      </c>
      <c r="D1044" s="85">
        <v>4730</v>
      </c>
      <c r="E1044" s="85">
        <v>141838</v>
      </c>
      <c r="F1044" s="86">
        <v>13140.4</v>
      </c>
      <c r="G1044" s="87">
        <v>9.2643719999999998</v>
      </c>
    </row>
    <row r="1045" spans="1:7" x14ac:dyDescent="0.25">
      <c r="A1045" s="84" t="s">
        <v>1608</v>
      </c>
      <c r="B1045" s="84" t="s">
        <v>96</v>
      </c>
      <c r="C1045" s="84" t="s">
        <v>174</v>
      </c>
      <c r="D1045" s="85">
        <v>82</v>
      </c>
      <c r="E1045" s="85">
        <v>2970244</v>
      </c>
      <c r="F1045" s="86">
        <v>129847.8</v>
      </c>
      <c r="G1045" s="87">
        <v>4.3716206</v>
      </c>
    </row>
    <row r="1046" spans="1:7" x14ac:dyDescent="0.25">
      <c r="A1046" s="84" t="s">
        <v>1609</v>
      </c>
      <c r="B1046" s="84" t="s">
        <v>96</v>
      </c>
      <c r="C1046" s="84" t="s">
        <v>281</v>
      </c>
      <c r="D1046" s="85">
        <v>19720</v>
      </c>
      <c r="E1046" s="85">
        <v>511013</v>
      </c>
      <c r="F1046" s="86">
        <v>48461</v>
      </c>
      <c r="G1046" s="87">
        <v>9.4833204000000002</v>
      </c>
    </row>
    <row r="1047" spans="1:7" x14ac:dyDescent="0.25">
      <c r="A1047" s="84" t="s">
        <v>1610</v>
      </c>
      <c r="B1047" s="84" t="s">
        <v>96</v>
      </c>
      <c r="C1047" s="84" t="s">
        <v>281</v>
      </c>
      <c r="D1047" s="85">
        <v>5785</v>
      </c>
      <c r="E1047" s="85">
        <v>371371</v>
      </c>
      <c r="F1047" s="86">
        <v>30813</v>
      </c>
      <c r="G1047" s="87">
        <v>8.2970936999999996</v>
      </c>
    </row>
    <row r="1048" spans="1:7" x14ac:dyDescent="0.25">
      <c r="A1048" s="84" t="s">
        <v>1611</v>
      </c>
      <c r="B1048" s="84" t="s">
        <v>96</v>
      </c>
      <c r="C1048" s="84" t="s">
        <v>281</v>
      </c>
      <c r="D1048" s="85">
        <v>22123</v>
      </c>
      <c r="E1048" s="85">
        <v>354460</v>
      </c>
      <c r="F1048" s="86">
        <v>39032</v>
      </c>
      <c r="G1048" s="87">
        <v>11.01168</v>
      </c>
    </row>
    <row r="1049" spans="1:7" x14ac:dyDescent="0.25">
      <c r="A1049" s="84" t="s">
        <v>1612</v>
      </c>
      <c r="B1049" s="84" t="s">
        <v>96</v>
      </c>
      <c r="C1049" s="84" t="s">
        <v>281</v>
      </c>
      <c r="D1049" s="85">
        <v>25075</v>
      </c>
      <c r="E1049" s="85">
        <v>405549</v>
      </c>
      <c r="F1049" s="86">
        <v>42047</v>
      </c>
      <c r="G1049" s="87">
        <v>10.367921000000001</v>
      </c>
    </row>
    <row r="1050" spans="1:7" x14ac:dyDescent="0.25">
      <c r="A1050" s="84" t="s">
        <v>2402</v>
      </c>
      <c r="B1050" s="84" t="s">
        <v>96</v>
      </c>
      <c r="C1050" s="84" t="s">
        <v>281</v>
      </c>
      <c r="D1050" s="85">
        <v>39705</v>
      </c>
      <c r="E1050" s="85">
        <v>655072</v>
      </c>
      <c r="F1050" s="86">
        <v>74282</v>
      </c>
      <c r="G1050" s="87">
        <v>11.339517000000001</v>
      </c>
    </row>
    <row r="1051" spans="1:7" x14ac:dyDescent="0.25">
      <c r="A1051" s="84" t="s">
        <v>1615</v>
      </c>
      <c r="B1051" s="84" t="s">
        <v>96</v>
      </c>
      <c r="C1051" s="84" t="s">
        <v>281</v>
      </c>
      <c r="D1051" s="85">
        <v>11848</v>
      </c>
      <c r="E1051" s="85">
        <v>310936</v>
      </c>
      <c r="F1051" s="86">
        <v>32384</v>
      </c>
      <c r="G1051" s="87">
        <v>10.415005000000001</v>
      </c>
    </row>
    <row r="1052" spans="1:7" x14ac:dyDescent="0.25">
      <c r="A1052" s="84" t="s">
        <v>1616</v>
      </c>
      <c r="B1052" s="84" t="s">
        <v>96</v>
      </c>
      <c r="C1052" s="84" t="s">
        <v>281</v>
      </c>
      <c r="D1052" s="85">
        <v>58478</v>
      </c>
      <c r="E1052" s="85">
        <v>1240913</v>
      </c>
      <c r="F1052" s="86">
        <v>130330</v>
      </c>
      <c r="G1052" s="87">
        <v>10.502751</v>
      </c>
    </row>
    <row r="1053" spans="1:7" x14ac:dyDescent="0.25">
      <c r="A1053" s="84" t="s">
        <v>374</v>
      </c>
      <c r="B1053" s="84" t="s">
        <v>96</v>
      </c>
      <c r="C1053" s="84" t="s">
        <v>278</v>
      </c>
      <c r="D1053" s="85">
        <v>794788</v>
      </c>
      <c r="E1053" s="85">
        <v>24590220</v>
      </c>
      <c r="F1053" s="86">
        <v>1732577.7</v>
      </c>
      <c r="G1053" s="87">
        <v>7.0457998999999996</v>
      </c>
    </row>
    <row r="1054" spans="1:7" x14ac:dyDescent="0.25">
      <c r="A1054" s="84" t="s">
        <v>376</v>
      </c>
      <c r="B1054" s="84" t="s">
        <v>96</v>
      </c>
      <c r="C1054" s="84" t="s">
        <v>281</v>
      </c>
      <c r="D1054" s="85">
        <v>12239</v>
      </c>
      <c r="E1054" s="85">
        <v>192821</v>
      </c>
      <c r="F1054" s="86">
        <v>22363</v>
      </c>
      <c r="G1054" s="87">
        <v>11.597803000000001</v>
      </c>
    </row>
    <row r="1055" spans="1:7" x14ac:dyDescent="0.25">
      <c r="A1055" s="84" t="s">
        <v>1617</v>
      </c>
      <c r="B1055" s="84" t="s">
        <v>96</v>
      </c>
      <c r="C1055" s="84" t="s">
        <v>281</v>
      </c>
      <c r="D1055" s="85">
        <v>22032</v>
      </c>
      <c r="E1055" s="85">
        <v>714524</v>
      </c>
      <c r="F1055" s="86">
        <v>65303.3</v>
      </c>
      <c r="G1055" s="87">
        <v>9.1394131000000005</v>
      </c>
    </row>
    <row r="1056" spans="1:7" x14ac:dyDescent="0.25">
      <c r="A1056" s="84" t="s">
        <v>1619</v>
      </c>
      <c r="B1056" s="84" t="s">
        <v>96</v>
      </c>
      <c r="C1056" s="84" t="s">
        <v>278</v>
      </c>
      <c r="D1056" s="85">
        <v>562618</v>
      </c>
      <c r="E1056" s="85">
        <v>17702245</v>
      </c>
      <c r="F1056" s="86">
        <v>1187464.8</v>
      </c>
      <c r="G1056" s="87">
        <v>6.7079899000000003</v>
      </c>
    </row>
    <row r="1057" spans="1:7" x14ac:dyDescent="0.25">
      <c r="A1057" s="84" t="s">
        <v>1620</v>
      </c>
      <c r="B1057" s="84" t="s">
        <v>96</v>
      </c>
      <c r="C1057" s="84" t="s">
        <v>281</v>
      </c>
      <c r="D1057" s="85">
        <v>16601</v>
      </c>
      <c r="E1057" s="85">
        <v>415851</v>
      </c>
      <c r="F1057" s="86">
        <v>36822</v>
      </c>
      <c r="G1057" s="87">
        <v>8.8546137999999992</v>
      </c>
    </row>
    <row r="1058" spans="1:7" x14ac:dyDescent="0.25">
      <c r="A1058" s="84" t="s">
        <v>1621</v>
      </c>
      <c r="B1058" s="84" t="s">
        <v>96</v>
      </c>
      <c r="C1058" s="84" t="s">
        <v>281</v>
      </c>
      <c r="D1058" s="85">
        <v>11967</v>
      </c>
      <c r="E1058" s="85">
        <v>437242</v>
      </c>
      <c r="F1058" s="86">
        <v>37373.5</v>
      </c>
      <c r="G1058" s="87">
        <v>8.5475548999999997</v>
      </c>
    </row>
    <row r="1059" spans="1:7" x14ac:dyDescent="0.25">
      <c r="A1059" s="84" t="s">
        <v>1622</v>
      </c>
      <c r="B1059" s="84" t="s">
        <v>96</v>
      </c>
      <c r="C1059" s="84" t="s">
        <v>281</v>
      </c>
      <c r="D1059" s="85">
        <v>15535</v>
      </c>
      <c r="E1059" s="85">
        <v>395618</v>
      </c>
      <c r="F1059" s="86">
        <v>34057</v>
      </c>
      <c r="G1059" s="87">
        <v>8.6085566999999994</v>
      </c>
    </row>
    <row r="1060" spans="1:7" x14ac:dyDescent="0.25">
      <c r="A1060" s="84" t="s">
        <v>381</v>
      </c>
      <c r="B1060" s="84" t="s">
        <v>96</v>
      </c>
      <c r="C1060" s="84" t="s">
        <v>281</v>
      </c>
      <c r="D1060" s="85">
        <v>232</v>
      </c>
      <c r="E1060" s="85">
        <v>2769</v>
      </c>
      <c r="F1060" s="86">
        <v>296.10000000000002</v>
      </c>
      <c r="G1060" s="87">
        <v>10.693391</v>
      </c>
    </row>
    <row r="1061" spans="1:7" x14ac:dyDescent="0.25">
      <c r="A1061" s="84" t="s">
        <v>502</v>
      </c>
      <c r="B1061" s="84" t="s">
        <v>96</v>
      </c>
      <c r="C1061" s="84" t="s">
        <v>281</v>
      </c>
      <c r="D1061" s="85">
        <v>17</v>
      </c>
      <c r="E1061" s="85">
        <v>942</v>
      </c>
      <c r="F1061" s="86">
        <v>117</v>
      </c>
      <c r="G1061" s="87">
        <v>12.420382</v>
      </c>
    </row>
    <row r="1062" spans="1:7" x14ac:dyDescent="0.25">
      <c r="A1062" s="84" t="s">
        <v>1624</v>
      </c>
      <c r="B1062" s="84" t="s">
        <v>96</v>
      </c>
      <c r="C1062" s="84" t="s">
        <v>283</v>
      </c>
      <c r="D1062" s="85">
        <v>21567</v>
      </c>
      <c r="E1062" s="85">
        <v>425244</v>
      </c>
      <c r="F1062" s="86">
        <v>43364</v>
      </c>
      <c r="G1062" s="87">
        <v>10.19744</v>
      </c>
    </row>
    <row r="1063" spans="1:7" x14ac:dyDescent="0.25">
      <c r="A1063" s="84" t="s">
        <v>2370</v>
      </c>
      <c r="B1063" s="84" t="s">
        <v>96</v>
      </c>
      <c r="C1063" s="84" t="s">
        <v>281</v>
      </c>
      <c r="D1063" s="85">
        <v>24202</v>
      </c>
      <c r="E1063" s="85">
        <v>765111</v>
      </c>
      <c r="F1063" s="86">
        <v>78144.399999999994</v>
      </c>
      <c r="G1063" s="87">
        <v>10.213471999999999</v>
      </c>
    </row>
    <row r="1064" spans="1:7" x14ac:dyDescent="0.25">
      <c r="A1064" s="84" t="s">
        <v>1626</v>
      </c>
      <c r="B1064" s="84" t="s">
        <v>96</v>
      </c>
      <c r="C1064" s="84" t="s">
        <v>281</v>
      </c>
      <c r="D1064" s="85">
        <v>37534</v>
      </c>
      <c r="E1064" s="85">
        <v>662525</v>
      </c>
      <c r="F1064" s="86">
        <v>69872.600000000006</v>
      </c>
      <c r="G1064" s="87">
        <v>10.54641</v>
      </c>
    </row>
    <row r="1065" spans="1:7" x14ac:dyDescent="0.25">
      <c r="A1065" s="84" t="s">
        <v>1629</v>
      </c>
      <c r="B1065" s="84" t="s">
        <v>98</v>
      </c>
      <c r="C1065" s="84" t="s">
        <v>351</v>
      </c>
      <c r="D1065" s="85">
        <v>1</v>
      </c>
      <c r="E1065" s="85">
        <v>5795</v>
      </c>
      <c r="F1065" s="86">
        <v>224.9</v>
      </c>
      <c r="G1065" s="87">
        <v>3.8809317999999999</v>
      </c>
    </row>
    <row r="1066" spans="1:7" x14ac:dyDescent="0.25">
      <c r="A1066" s="84" t="s">
        <v>1631</v>
      </c>
      <c r="B1066" s="84" t="s">
        <v>98</v>
      </c>
      <c r="C1066" s="84" t="s">
        <v>281</v>
      </c>
      <c r="D1066" s="85">
        <v>35659</v>
      </c>
      <c r="E1066" s="85">
        <v>753497</v>
      </c>
      <c r="F1066" s="86">
        <v>64819</v>
      </c>
      <c r="G1066" s="87">
        <v>8.6024230999999993</v>
      </c>
    </row>
    <row r="1067" spans="1:7" x14ac:dyDescent="0.25">
      <c r="A1067" s="84" t="s">
        <v>1632</v>
      </c>
      <c r="B1067" s="84" t="s">
        <v>98</v>
      </c>
      <c r="C1067" s="84" t="s">
        <v>385</v>
      </c>
      <c r="D1067" s="85">
        <v>40267</v>
      </c>
      <c r="E1067" s="85">
        <v>1254427</v>
      </c>
      <c r="F1067" s="86">
        <v>91740</v>
      </c>
      <c r="G1067" s="87">
        <v>7.3132992000000003</v>
      </c>
    </row>
    <row r="1068" spans="1:7" x14ac:dyDescent="0.25">
      <c r="A1068" s="84" t="s">
        <v>1635</v>
      </c>
      <c r="B1068" s="84" t="s">
        <v>98</v>
      </c>
      <c r="C1068" s="84" t="s">
        <v>283</v>
      </c>
      <c r="D1068" s="85">
        <v>95604</v>
      </c>
      <c r="E1068" s="85">
        <v>2261295</v>
      </c>
      <c r="F1068" s="86">
        <v>204354</v>
      </c>
      <c r="G1068" s="87">
        <v>9.0370340999999996</v>
      </c>
    </row>
    <row r="1069" spans="1:7" x14ac:dyDescent="0.25">
      <c r="A1069" s="84" t="s">
        <v>1636</v>
      </c>
      <c r="B1069" s="84" t="s">
        <v>98</v>
      </c>
      <c r="C1069" s="84" t="s">
        <v>283</v>
      </c>
      <c r="D1069" s="85">
        <v>10465</v>
      </c>
      <c r="E1069" s="85">
        <v>249112</v>
      </c>
      <c r="F1069" s="86">
        <v>19668</v>
      </c>
      <c r="G1069" s="87">
        <v>7.8952438999999996</v>
      </c>
    </row>
    <row r="1070" spans="1:7" x14ac:dyDescent="0.25">
      <c r="A1070" s="84" t="s">
        <v>1638</v>
      </c>
      <c r="B1070" s="84" t="s">
        <v>98</v>
      </c>
      <c r="C1070" s="84" t="s">
        <v>283</v>
      </c>
      <c r="D1070" s="85">
        <v>16917</v>
      </c>
      <c r="E1070" s="85">
        <v>697188</v>
      </c>
      <c r="F1070" s="86">
        <v>44010</v>
      </c>
      <c r="G1070" s="87">
        <v>6.3125011000000004</v>
      </c>
    </row>
    <row r="1071" spans="1:7" x14ac:dyDescent="0.25">
      <c r="A1071" s="84" t="s">
        <v>1641</v>
      </c>
      <c r="B1071" s="84" t="s">
        <v>98</v>
      </c>
      <c r="C1071" s="84" t="s">
        <v>283</v>
      </c>
      <c r="D1071" s="85">
        <v>32483</v>
      </c>
      <c r="E1071" s="85">
        <v>743098</v>
      </c>
      <c r="F1071" s="86">
        <v>52713.9</v>
      </c>
      <c r="G1071" s="87">
        <v>7.0938018999999999</v>
      </c>
    </row>
    <row r="1072" spans="1:7" x14ac:dyDescent="0.25">
      <c r="A1072" s="84" t="s">
        <v>1642</v>
      </c>
      <c r="B1072" s="84" t="s">
        <v>98</v>
      </c>
      <c r="C1072" s="84" t="s">
        <v>385</v>
      </c>
      <c r="D1072" s="85">
        <v>4261</v>
      </c>
      <c r="E1072" s="85">
        <v>984467</v>
      </c>
      <c r="F1072" s="86">
        <v>52681.5</v>
      </c>
      <c r="G1072" s="87">
        <v>5.3512712999999996</v>
      </c>
    </row>
    <row r="1073" spans="1:7" x14ac:dyDescent="0.25">
      <c r="A1073" s="84" t="s">
        <v>1645</v>
      </c>
      <c r="B1073" s="84" t="s">
        <v>98</v>
      </c>
      <c r="C1073" s="84" t="s">
        <v>385</v>
      </c>
      <c r="D1073" s="85">
        <v>16768</v>
      </c>
      <c r="E1073" s="85">
        <v>467178</v>
      </c>
      <c r="F1073" s="86">
        <v>34512</v>
      </c>
      <c r="G1073" s="87">
        <v>7.3873341999999997</v>
      </c>
    </row>
    <row r="1074" spans="1:7" x14ac:dyDescent="0.25">
      <c r="A1074" s="84" t="s">
        <v>1646</v>
      </c>
      <c r="B1074" s="84" t="s">
        <v>98</v>
      </c>
      <c r="C1074" s="84" t="s">
        <v>281</v>
      </c>
      <c r="D1074" s="85">
        <v>135</v>
      </c>
      <c r="E1074" s="85">
        <v>5906</v>
      </c>
      <c r="F1074" s="86">
        <v>571.70000000000005</v>
      </c>
      <c r="G1074" s="87">
        <v>9.6799865</v>
      </c>
    </row>
    <row r="1075" spans="1:7" x14ac:dyDescent="0.25">
      <c r="A1075" s="84" t="s">
        <v>1647</v>
      </c>
      <c r="B1075" s="84" t="s">
        <v>98</v>
      </c>
      <c r="C1075" s="84" t="s">
        <v>281</v>
      </c>
      <c r="D1075" s="85">
        <v>22811</v>
      </c>
      <c r="E1075" s="85">
        <v>400166</v>
      </c>
      <c r="F1075" s="86">
        <v>40858.5</v>
      </c>
      <c r="G1075" s="87">
        <v>10.210388</v>
      </c>
    </row>
    <row r="1076" spans="1:7" x14ac:dyDescent="0.25">
      <c r="A1076" s="84" t="s">
        <v>1648</v>
      </c>
      <c r="B1076" s="84" t="s">
        <v>98</v>
      </c>
      <c r="C1076" s="84" t="s">
        <v>281</v>
      </c>
      <c r="D1076" s="85">
        <v>18203</v>
      </c>
      <c r="E1076" s="85">
        <v>331863</v>
      </c>
      <c r="F1076" s="86">
        <v>37980.800000000003</v>
      </c>
      <c r="G1076" s="87">
        <v>11.444723</v>
      </c>
    </row>
    <row r="1077" spans="1:7" x14ac:dyDescent="0.25">
      <c r="A1077" s="84" t="s">
        <v>1650</v>
      </c>
      <c r="B1077" s="84" t="s">
        <v>98</v>
      </c>
      <c r="C1077" s="84" t="s">
        <v>385</v>
      </c>
      <c r="D1077" s="85">
        <v>21957</v>
      </c>
      <c r="E1077" s="85">
        <v>477134</v>
      </c>
      <c r="F1077" s="86">
        <v>47492.9</v>
      </c>
      <c r="G1077" s="87">
        <v>9.9537866000000008</v>
      </c>
    </row>
    <row r="1078" spans="1:7" x14ac:dyDescent="0.25">
      <c r="A1078" s="84" t="s">
        <v>748</v>
      </c>
      <c r="B1078" s="84" t="s">
        <v>98</v>
      </c>
      <c r="C1078" s="84" t="s">
        <v>278</v>
      </c>
      <c r="D1078" s="85">
        <v>19403</v>
      </c>
      <c r="E1078" s="85">
        <v>668085</v>
      </c>
      <c r="F1078" s="86">
        <v>51246.5</v>
      </c>
      <c r="G1078" s="87">
        <v>7.6706557000000002</v>
      </c>
    </row>
    <row r="1079" spans="1:7" x14ac:dyDescent="0.25">
      <c r="A1079" s="84" t="s">
        <v>1652</v>
      </c>
      <c r="B1079" s="84" t="s">
        <v>98</v>
      </c>
      <c r="C1079" s="84" t="s">
        <v>281</v>
      </c>
      <c r="D1079" s="85">
        <v>12974</v>
      </c>
      <c r="E1079" s="85">
        <v>239069</v>
      </c>
      <c r="F1079" s="86">
        <v>26924</v>
      </c>
      <c r="G1079" s="87">
        <v>11.262021000000001</v>
      </c>
    </row>
    <row r="1080" spans="1:7" x14ac:dyDescent="0.25">
      <c r="A1080" s="84" t="s">
        <v>401</v>
      </c>
      <c r="B1080" s="84" t="s">
        <v>98</v>
      </c>
      <c r="C1080" s="84" t="s">
        <v>392</v>
      </c>
      <c r="D1080" s="85">
        <v>24</v>
      </c>
      <c r="E1080" s="85">
        <v>1744</v>
      </c>
      <c r="F1080" s="86">
        <v>104.6</v>
      </c>
      <c r="G1080" s="87">
        <v>5.9977064000000002</v>
      </c>
    </row>
    <row r="1081" spans="1:7" x14ac:dyDescent="0.25">
      <c r="A1081" s="84" t="s">
        <v>1653</v>
      </c>
      <c r="B1081" s="84" t="s">
        <v>98</v>
      </c>
      <c r="C1081" s="84" t="s">
        <v>281</v>
      </c>
      <c r="D1081" s="85">
        <v>19972</v>
      </c>
      <c r="E1081" s="85">
        <v>418598</v>
      </c>
      <c r="F1081" s="86">
        <v>35451</v>
      </c>
      <c r="G1081" s="87">
        <v>8.4689846000000006</v>
      </c>
    </row>
    <row r="1082" spans="1:7" x14ac:dyDescent="0.25">
      <c r="A1082" s="84" t="s">
        <v>1654</v>
      </c>
      <c r="B1082" s="84" t="s">
        <v>98</v>
      </c>
      <c r="C1082" s="84" t="s">
        <v>385</v>
      </c>
      <c r="D1082" s="85">
        <v>10286</v>
      </c>
      <c r="E1082" s="85">
        <v>981049</v>
      </c>
      <c r="F1082" s="86">
        <v>54038.8</v>
      </c>
      <c r="G1082" s="87">
        <v>5.5082671999999997</v>
      </c>
    </row>
    <row r="1083" spans="1:7" x14ac:dyDescent="0.25">
      <c r="A1083" s="84" t="s">
        <v>1655</v>
      </c>
      <c r="B1083" s="84" t="s">
        <v>98</v>
      </c>
      <c r="C1083" s="84" t="s">
        <v>281</v>
      </c>
      <c r="D1083" s="85">
        <v>31398</v>
      </c>
      <c r="E1083" s="85">
        <v>639533</v>
      </c>
      <c r="F1083" s="86">
        <v>55188.5</v>
      </c>
      <c r="G1083" s="87">
        <v>8.6295000000000002</v>
      </c>
    </row>
    <row r="1084" spans="1:7" x14ac:dyDescent="0.25">
      <c r="A1084" s="84" t="s">
        <v>457</v>
      </c>
      <c r="B1084" s="84" t="s">
        <v>98</v>
      </c>
      <c r="C1084" s="84" t="s">
        <v>278</v>
      </c>
      <c r="D1084" s="85">
        <v>603955</v>
      </c>
      <c r="E1084" s="85">
        <v>12993460</v>
      </c>
      <c r="F1084" s="86">
        <v>1244124.5</v>
      </c>
      <c r="G1084" s="87">
        <v>9.5750054000000002</v>
      </c>
    </row>
    <row r="1085" spans="1:7" x14ac:dyDescent="0.25">
      <c r="A1085" s="84" t="s">
        <v>1656</v>
      </c>
      <c r="B1085" s="84" t="s">
        <v>98</v>
      </c>
      <c r="C1085" s="84" t="s">
        <v>278</v>
      </c>
      <c r="D1085" s="85">
        <v>901603</v>
      </c>
      <c r="E1085" s="85">
        <v>17423803</v>
      </c>
      <c r="F1085" s="86">
        <v>1800113.3</v>
      </c>
      <c r="G1085" s="87">
        <v>10.331346</v>
      </c>
    </row>
    <row r="1086" spans="1:7" x14ac:dyDescent="0.25">
      <c r="A1086" s="84" t="s">
        <v>1657</v>
      </c>
      <c r="B1086" s="84" t="s">
        <v>98</v>
      </c>
      <c r="C1086" s="84" t="s">
        <v>281</v>
      </c>
      <c r="D1086" s="85">
        <v>20412</v>
      </c>
      <c r="E1086" s="85">
        <v>316666</v>
      </c>
      <c r="F1086" s="86">
        <v>29672.799999999999</v>
      </c>
      <c r="G1086" s="87">
        <v>9.3703775999999994</v>
      </c>
    </row>
    <row r="1087" spans="1:7" x14ac:dyDescent="0.25">
      <c r="A1087" s="84" t="s">
        <v>408</v>
      </c>
      <c r="B1087" s="84" t="s">
        <v>98</v>
      </c>
      <c r="C1087" s="84" t="s">
        <v>392</v>
      </c>
      <c r="D1087" s="85">
        <v>3707</v>
      </c>
      <c r="E1087" s="85">
        <v>27862</v>
      </c>
      <c r="F1087" s="86">
        <v>2646.3</v>
      </c>
      <c r="G1087" s="87">
        <v>9.4978823999999999</v>
      </c>
    </row>
    <row r="1088" spans="1:7" x14ac:dyDescent="0.25">
      <c r="A1088" s="84" t="s">
        <v>415</v>
      </c>
      <c r="B1088" s="84" t="s">
        <v>98</v>
      </c>
      <c r="C1088" s="84" t="s">
        <v>392</v>
      </c>
      <c r="D1088" s="85">
        <v>94</v>
      </c>
      <c r="E1088" s="85">
        <v>435</v>
      </c>
      <c r="F1088" s="86">
        <v>55.6</v>
      </c>
      <c r="G1088" s="87">
        <v>12.781609</v>
      </c>
    </row>
    <row r="1089" spans="1:7" x14ac:dyDescent="0.25">
      <c r="A1089" s="84" t="s">
        <v>467</v>
      </c>
      <c r="B1089" s="84" t="s">
        <v>98</v>
      </c>
      <c r="C1089" s="84" t="s">
        <v>281</v>
      </c>
      <c r="D1089" s="85">
        <v>1788</v>
      </c>
      <c r="E1089" s="85">
        <v>39848</v>
      </c>
      <c r="F1089" s="86">
        <v>3724.5</v>
      </c>
      <c r="G1089" s="87">
        <v>9.3467676999999991</v>
      </c>
    </row>
    <row r="1090" spans="1:7" x14ac:dyDescent="0.25">
      <c r="A1090" s="84" t="s">
        <v>416</v>
      </c>
      <c r="B1090" s="84" t="s">
        <v>98</v>
      </c>
      <c r="C1090" s="84" t="s">
        <v>392</v>
      </c>
      <c r="D1090" s="85">
        <v>3</v>
      </c>
      <c r="E1090" s="85">
        <v>1134</v>
      </c>
      <c r="F1090" s="86">
        <v>83.2</v>
      </c>
      <c r="G1090" s="87">
        <v>7.3368606999999999</v>
      </c>
    </row>
    <row r="1091" spans="1:7" x14ac:dyDescent="0.25">
      <c r="A1091" s="84" t="s">
        <v>1658</v>
      </c>
      <c r="B1091" s="84" t="s">
        <v>98</v>
      </c>
      <c r="C1091" s="84" t="s">
        <v>385</v>
      </c>
      <c r="D1091" s="85">
        <v>21564</v>
      </c>
      <c r="E1091" s="85">
        <v>480390</v>
      </c>
      <c r="F1091" s="86">
        <v>41081</v>
      </c>
      <c r="G1091" s="87">
        <v>8.5515934999999992</v>
      </c>
    </row>
    <row r="1092" spans="1:7" x14ac:dyDescent="0.25">
      <c r="A1092" s="84" t="s">
        <v>1659</v>
      </c>
      <c r="B1092" s="84" t="s">
        <v>98</v>
      </c>
      <c r="C1092" s="84" t="s">
        <v>281</v>
      </c>
      <c r="D1092" s="85">
        <v>15797</v>
      </c>
      <c r="E1092" s="85">
        <v>3771463</v>
      </c>
      <c r="F1092" s="86">
        <v>173478.9</v>
      </c>
      <c r="G1092" s="87">
        <v>4.5997773000000004</v>
      </c>
    </row>
    <row r="1093" spans="1:7" x14ac:dyDescent="0.25">
      <c r="A1093" s="84" t="s">
        <v>1661</v>
      </c>
      <c r="B1093" s="84" t="s">
        <v>101</v>
      </c>
      <c r="C1093" s="84" t="s">
        <v>281</v>
      </c>
      <c r="D1093" s="85">
        <v>32951</v>
      </c>
      <c r="E1093" s="85">
        <v>548849</v>
      </c>
      <c r="F1093" s="86">
        <v>66164</v>
      </c>
      <c r="G1093" s="87">
        <v>12.055046000000001</v>
      </c>
    </row>
    <row r="1094" spans="1:7" x14ac:dyDescent="0.25">
      <c r="A1094" s="84" t="s">
        <v>1662</v>
      </c>
      <c r="B1094" s="84" t="s">
        <v>101</v>
      </c>
      <c r="C1094" s="84" t="s">
        <v>281</v>
      </c>
      <c r="D1094" s="85">
        <v>9420</v>
      </c>
      <c r="E1094" s="85">
        <v>348453</v>
      </c>
      <c r="F1094" s="86">
        <v>29047</v>
      </c>
      <c r="G1094" s="87">
        <v>8.3359878999999992</v>
      </c>
    </row>
    <row r="1095" spans="1:7" x14ac:dyDescent="0.25">
      <c r="A1095" s="84" t="s">
        <v>1663</v>
      </c>
      <c r="B1095" s="84" t="s">
        <v>101</v>
      </c>
      <c r="C1095" s="84" t="s">
        <v>283</v>
      </c>
      <c r="D1095" s="85">
        <v>12259</v>
      </c>
      <c r="E1095" s="85">
        <v>298723</v>
      </c>
      <c r="F1095" s="86">
        <v>26879</v>
      </c>
      <c r="G1095" s="87">
        <v>8.9979680000000002</v>
      </c>
    </row>
    <row r="1096" spans="1:7" x14ac:dyDescent="0.25">
      <c r="A1096" s="84" t="s">
        <v>1667</v>
      </c>
      <c r="B1096" s="84" t="s">
        <v>101</v>
      </c>
      <c r="C1096" s="84" t="s">
        <v>281</v>
      </c>
      <c r="D1096" s="85">
        <v>25416</v>
      </c>
      <c r="E1096" s="85">
        <v>300496</v>
      </c>
      <c r="F1096" s="86">
        <v>42195</v>
      </c>
      <c r="G1096" s="87">
        <v>14.041784</v>
      </c>
    </row>
    <row r="1097" spans="1:7" x14ac:dyDescent="0.25">
      <c r="A1097" s="84" t="s">
        <v>1668</v>
      </c>
      <c r="B1097" s="84" t="s">
        <v>101</v>
      </c>
      <c r="C1097" s="84" t="s">
        <v>278</v>
      </c>
      <c r="D1097" s="85">
        <v>6958</v>
      </c>
      <c r="E1097" s="85">
        <v>116315</v>
      </c>
      <c r="F1097" s="86">
        <v>12702</v>
      </c>
      <c r="G1097" s="87">
        <v>10.920346</v>
      </c>
    </row>
    <row r="1098" spans="1:7" x14ac:dyDescent="0.25">
      <c r="A1098" s="84" t="s">
        <v>1669</v>
      </c>
      <c r="B1098" s="84" t="s">
        <v>101</v>
      </c>
      <c r="C1098" s="84" t="s">
        <v>281</v>
      </c>
      <c r="D1098" s="85">
        <v>18831</v>
      </c>
      <c r="E1098" s="85">
        <v>371051</v>
      </c>
      <c r="F1098" s="86">
        <v>37028</v>
      </c>
      <c r="G1098" s="87">
        <v>9.9792211999999996</v>
      </c>
    </row>
    <row r="1099" spans="1:7" x14ac:dyDescent="0.25">
      <c r="A1099" s="84" t="s">
        <v>1670</v>
      </c>
      <c r="B1099" s="84" t="s">
        <v>101</v>
      </c>
      <c r="C1099" s="84" t="s">
        <v>278</v>
      </c>
      <c r="D1099" s="85">
        <v>441239</v>
      </c>
      <c r="E1099" s="85">
        <v>4225254</v>
      </c>
      <c r="F1099" s="86">
        <v>613463.9</v>
      </c>
      <c r="G1099" s="87">
        <v>14.518983</v>
      </c>
    </row>
    <row r="1100" spans="1:7" x14ac:dyDescent="0.25">
      <c r="A1100" s="84" t="s">
        <v>2365</v>
      </c>
      <c r="B1100" s="84" t="s">
        <v>101</v>
      </c>
      <c r="C1100" s="84" t="s">
        <v>392</v>
      </c>
      <c r="D1100" s="85">
        <v>1</v>
      </c>
      <c r="E1100" s="85">
        <v>7617</v>
      </c>
      <c r="F1100" s="86">
        <v>629.79999999999995</v>
      </c>
      <c r="G1100" s="87">
        <v>8.2683470999999997</v>
      </c>
    </row>
    <row r="1101" spans="1:7" x14ac:dyDescent="0.25">
      <c r="A1101" s="84" t="s">
        <v>401</v>
      </c>
      <c r="B1101" s="84" t="s">
        <v>101</v>
      </c>
      <c r="C1101" s="84" t="s">
        <v>392</v>
      </c>
      <c r="D1101" s="85">
        <v>5</v>
      </c>
      <c r="E1101" s="85">
        <v>1986</v>
      </c>
      <c r="F1101" s="86">
        <v>267.5</v>
      </c>
      <c r="G1101" s="87">
        <v>13.469284999999999</v>
      </c>
    </row>
    <row r="1102" spans="1:7" x14ac:dyDescent="0.25">
      <c r="A1102" s="84" t="s">
        <v>1671</v>
      </c>
      <c r="B1102" s="84" t="s">
        <v>101</v>
      </c>
      <c r="C1102" s="84" t="s">
        <v>278</v>
      </c>
      <c r="D1102" s="85">
        <v>412139</v>
      </c>
      <c r="E1102" s="85">
        <v>5026699</v>
      </c>
      <c r="F1102" s="86">
        <v>589001.5</v>
      </c>
      <c r="G1102" s="87">
        <v>11.717461</v>
      </c>
    </row>
    <row r="1103" spans="1:7" x14ac:dyDescent="0.25">
      <c r="A1103" s="84" t="s">
        <v>1672</v>
      </c>
      <c r="B1103" s="84" t="s">
        <v>101</v>
      </c>
      <c r="C1103" s="84" t="s">
        <v>281</v>
      </c>
      <c r="D1103" s="85">
        <v>19537</v>
      </c>
      <c r="E1103" s="85">
        <v>247980</v>
      </c>
      <c r="F1103" s="86">
        <v>32388</v>
      </c>
      <c r="G1103" s="87">
        <v>13.060731000000001</v>
      </c>
    </row>
    <row r="1104" spans="1:7" x14ac:dyDescent="0.25">
      <c r="A1104" s="84" t="s">
        <v>1673</v>
      </c>
      <c r="B1104" s="84" t="s">
        <v>101</v>
      </c>
      <c r="C1104" s="84" t="s">
        <v>278</v>
      </c>
      <c r="D1104" s="85">
        <v>1179727</v>
      </c>
      <c r="E1104" s="85">
        <v>12672004</v>
      </c>
      <c r="F1104" s="86">
        <v>1494034</v>
      </c>
      <c r="G1104" s="87">
        <v>11.790037</v>
      </c>
    </row>
    <row r="1105" spans="1:7" x14ac:dyDescent="0.25">
      <c r="A1105" s="84" t="s">
        <v>1674</v>
      </c>
      <c r="B1105" s="84" t="s">
        <v>101</v>
      </c>
      <c r="C1105" s="84" t="s">
        <v>278</v>
      </c>
      <c r="D1105" s="85">
        <v>881096</v>
      </c>
      <c r="E1105" s="85">
        <v>10559053</v>
      </c>
      <c r="F1105" s="86">
        <v>1328774.3999999999</v>
      </c>
      <c r="G1105" s="87">
        <v>12.584218999999999</v>
      </c>
    </row>
    <row r="1106" spans="1:7" x14ac:dyDescent="0.25">
      <c r="A1106" s="84" t="s">
        <v>1523</v>
      </c>
      <c r="B1106" s="84" t="s">
        <v>101</v>
      </c>
      <c r="C1106" s="84" t="s">
        <v>278</v>
      </c>
      <c r="D1106" s="85">
        <v>431622</v>
      </c>
      <c r="E1106" s="85">
        <v>4139190</v>
      </c>
      <c r="F1106" s="86">
        <v>567883.1</v>
      </c>
      <c r="G1106" s="87">
        <v>13.719666999999999</v>
      </c>
    </row>
    <row r="1107" spans="1:7" x14ac:dyDescent="0.25">
      <c r="A1107" s="84" t="s">
        <v>1675</v>
      </c>
      <c r="B1107" s="84" t="s">
        <v>101</v>
      </c>
      <c r="C1107" s="84" t="s">
        <v>278</v>
      </c>
      <c r="D1107" s="85">
        <v>125449</v>
      </c>
      <c r="E1107" s="85">
        <v>1604844</v>
      </c>
      <c r="F1107" s="86">
        <v>196973.5</v>
      </c>
      <c r="G1107" s="87">
        <v>12.273685</v>
      </c>
    </row>
    <row r="1108" spans="1:7" x14ac:dyDescent="0.25">
      <c r="A1108" s="84" t="s">
        <v>1676</v>
      </c>
      <c r="B1108" s="84" t="s">
        <v>101</v>
      </c>
      <c r="C1108" s="84" t="s">
        <v>278</v>
      </c>
      <c r="D1108" s="85">
        <v>3518</v>
      </c>
      <c r="E1108" s="85">
        <v>52125</v>
      </c>
      <c r="F1108" s="86">
        <v>5793.4</v>
      </c>
      <c r="G1108" s="87">
        <v>11.114436</v>
      </c>
    </row>
    <row r="1109" spans="1:7" x14ac:dyDescent="0.25">
      <c r="A1109" s="84" t="s">
        <v>1677</v>
      </c>
      <c r="B1109" s="84" t="s">
        <v>101</v>
      </c>
      <c r="C1109" s="84" t="s">
        <v>281</v>
      </c>
      <c r="D1109" s="85">
        <v>22691</v>
      </c>
      <c r="E1109" s="85">
        <v>373621</v>
      </c>
      <c r="F1109" s="86">
        <v>44026</v>
      </c>
      <c r="G1109" s="87">
        <v>11.783599000000001</v>
      </c>
    </row>
    <row r="1110" spans="1:7" x14ac:dyDescent="0.25">
      <c r="A1110" s="84" t="s">
        <v>408</v>
      </c>
      <c r="B1110" s="84" t="s">
        <v>101</v>
      </c>
      <c r="C1110" s="84" t="s">
        <v>392</v>
      </c>
      <c r="D1110" s="85">
        <v>6963</v>
      </c>
      <c r="E1110" s="85">
        <v>62444</v>
      </c>
      <c r="F1110" s="86">
        <v>8558.6</v>
      </c>
      <c r="G1110" s="87">
        <v>13.706041000000001</v>
      </c>
    </row>
    <row r="1111" spans="1:7" x14ac:dyDescent="0.25">
      <c r="A1111" s="84" t="s">
        <v>1678</v>
      </c>
      <c r="B1111" s="84" t="s">
        <v>101</v>
      </c>
      <c r="C1111" s="84" t="s">
        <v>281</v>
      </c>
      <c r="D1111" s="85">
        <v>13694</v>
      </c>
      <c r="E1111" s="85">
        <v>195830</v>
      </c>
      <c r="F1111" s="86">
        <v>21447</v>
      </c>
      <c r="G1111" s="87">
        <v>10.951846</v>
      </c>
    </row>
    <row r="1112" spans="1:7" x14ac:dyDescent="0.25">
      <c r="A1112" s="84" t="s">
        <v>413</v>
      </c>
      <c r="B1112" s="84" t="s">
        <v>101</v>
      </c>
      <c r="C1112" s="84" t="s">
        <v>392</v>
      </c>
      <c r="D1112" s="85">
        <v>52</v>
      </c>
      <c r="E1112" s="85">
        <v>508</v>
      </c>
      <c r="F1112" s="86">
        <v>27.8</v>
      </c>
      <c r="G1112" s="87">
        <v>5.4724408999999996</v>
      </c>
    </row>
    <row r="1113" spans="1:7" x14ac:dyDescent="0.25">
      <c r="A1113" s="84" t="s">
        <v>414</v>
      </c>
      <c r="B1113" s="84" t="s">
        <v>101</v>
      </c>
      <c r="C1113" s="84" t="s">
        <v>392</v>
      </c>
      <c r="D1113" s="85">
        <v>2016</v>
      </c>
      <c r="E1113" s="85">
        <v>21606</v>
      </c>
      <c r="F1113" s="86">
        <v>3807.6</v>
      </c>
      <c r="G1113" s="87">
        <v>17.622883000000002</v>
      </c>
    </row>
    <row r="1114" spans="1:7" x14ac:dyDescent="0.25">
      <c r="A1114" s="84" t="s">
        <v>415</v>
      </c>
      <c r="B1114" s="84" t="s">
        <v>101</v>
      </c>
      <c r="C1114" s="84" t="s">
        <v>392</v>
      </c>
      <c r="D1114" s="85">
        <v>1849</v>
      </c>
      <c r="E1114" s="85">
        <v>16224</v>
      </c>
      <c r="F1114" s="86">
        <v>2512.6</v>
      </c>
      <c r="G1114" s="87">
        <v>15.486933000000001</v>
      </c>
    </row>
    <row r="1115" spans="1:7" x14ac:dyDescent="0.25">
      <c r="A1115" s="84" t="s">
        <v>416</v>
      </c>
      <c r="B1115" s="84" t="s">
        <v>101</v>
      </c>
      <c r="C1115" s="84" t="s">
        <v>392</v>
      </c>
      <c r="D1115" s="85">
        <v>19</v>
      </c>
      <c r="E1115" s="85">
        <v>5127</v>
      </c>
      <c r="F1115" s="86">
        <v>459.1</v>
      </c>
      <c r="G1115" s="87">
        <v>8.9545542999999999</v>
      </c>
    </row>
    <row r="1116" spans="1:7" x14ac:dyDescent="0.25">
      <c r="A1116" s="84" t="s">
        <v>2403</v>
      </c>
      <c r="B1116" s="84" t="s">
        <v>101</v>
      </c>
      <c r="C1116" s="84" t="s">
        <v>281</v>
      </c>
      <c r="D1116" s="85">
        <v>19417</v>
      </c>
      <c r="E1116" s="85">
        <v>216077</v>
      </c>
      <c r="F1116" s="86">
        <v>29568</v>
      </c>
      <c r="G1116" s="87">
        <v>13.684011</v>
      </c>
    </row>
    <row r="1117" spans="1:7" x14ac:dyDescent="0.25">
      <c r="A1117" s="84" t="s">
        <v>1680</v>
      </c>
      <c r="B1117" s="84" t="s">
        <v>101</v>
      </c>
      <c r="C1117" s="84" t="s">
        <v>278</v>
      </c>
      <c r="D1117" s="85">
        <v>62796</v>
      </c>
      <c r="E1117" s="85">
        <v>747640</v>
      </c>
      <c r="F1117" s="86">
        <v>79440.399999999994</v>
      </c>
      <c r="G1117" s="87">
        <v>10.625488000000001</v>
      </c>
    </row>
    <row r="1118" spans="1:7" x14ac:dyDescent="0.25">
      <c r="A1118" s="84" t="s">
        <v>1682</v>
      </c>
      <c r="B1118" s="84" t="s">
        <v>101</v>
      </c>
      <c r="C1118" s="84" t="s">
        <v>281</v>
      </c>
      <c r="D1118" s="85">
        <v>22126</v>
      </c>
      <c r="E1118" s="85">
        <v>282552</v>
      </c>
      <c r="F1118" s="86">
        <v>35373</v>
      </c>
      <c r="G1118" s="87">
        <v>12.519112</v>
      </c>
    </row>
    <row r="1119" spans="1:7" x14ac:dyDescent="0.25">
      <c r="A1119" s="84" t="s">
        <v>421</v>
      </c>
      <c r="B1119" s="84" t="s">
        <v>101</v>
      </c>
      <c r="C1119" s="84" t="s">
        <v>392</v>
      </c>
      <c r="D1119" s="85">
        <v>2903</v>
      </c>
      <c r="E1119" s="85">
        <v>18693</v>
      </c>
      <c r="F1119" s="86">
        <v>2479.1999999999998</v>
      </c>
      <c r="G1119" s="87">
        <v>13.262719000000001</v>
      </c>
    </row>
    <row r="1120" spans="1:7" x14ac:dyDescent="0.25">
      <c r="A1120" s="84" t="s">
        <v>1683</v>
      </c>
      <c r="B1120" s="84" t="s">
        <v>101</v>
      </c>
      <c r="C1120" s="84" t="s">
        <v>278</v>
      </c>
      <c r="D1120" s="85">
        <v>6294</v>
      </c>
      <c r="E1120" s="85">
        <v>74855</v>
      </c>
      <c r="F1120" s="86">
        <v>9755</v>
      </c>
      <c r="G1120" s="87">
        <v>13.031862</v>
      </c>
    </row>
    <row r="1121" spans="1:7" x14ac:dyDescent="0.25">
      <c r="A1121" s="84" t="s">
        <v>2404</v>
      </c>
      <c r="B1121" s="84" t="s">
        <v>101</v>
      </c>
      <c r="C1121" s="84" t="s">
        <v>278</v>
      </c>
      <c r="D1121" s="85">
        <v>551474</v>
      </c>
      <c r="E1121" s="85">
        <v>7045020</v>
      </c>
      <c r="F1121" s="86">
        <v>707982.4</v>
      </c>
      <c r="G1121" s="87">
        <v>10.049402000000001</v>
      </c>
    </row>
    <row r="1122" spans="1:7" x14ac:dyDescent="0.25">
      <c r="A1122" s="84" t="s">
        <v>2405</v>
      </c>
      <c r="B1122" s="84" t="s">
        <v>104</v>
      </c>
      <c r="C1122" s="84" t="s">
        <v>385</v>
      </c>
      <c r="D1122" s="85">
        <v>1966</v>
      </c>
      <c r="E1122" s="85">
        <v>13046</v>
      </c>
      <c r="F1122" s="86">
        <v>5292</v>
      </c>
      <c r="G1122" s="87">
        <v>40.564157999999999</v>
      </c>
    </row>
    <row r="1123" spans="1:7" x14ac:dyDescent="0.25">
      <c r="A1123" s="84" t="s">
        <v>2365</v>
      </c>
      <c r="B1123" s="84" t="s">
        <v>104</v>
      </c>
      <c r="C1123" s="84" t="s">
        <v>392</v>
      </c>
      <c r="D1123" s="85">
        <v>1</v>
      </c>
      <c r="E1123" s="85">
        <v>186</v>
      </c>
      <c r="F1123" s="86">
        <v>14.8</v>
      </c>
      <c r="G1123" s="87">
        <v>7.9569891999999998</v>
      </c>
    </row>
    <row r="1124" spans="1:7" x14ac:dyDescent="0.25">
      <c r="A1124" s="84" t="s">
        <v>1686</v>
      </c>
      <c r="B1124" s="84" t="s">
        <v>104</v>
      </c>
      <c r="C1124" s="84" t="s">
        <v>283</v>
      </c>
      <c r="D1124" s="85">
        <v>4896</v>
      </c>
      <c r="E1124" s="85">
        <v>54494</v>
      </c>
      <c r="F1124" s="86">
        <v>7975</v>
      </c>
      <c r="G1124" s="87">
        <v>14.634639</v>
      </c>
    </row>
    <row r="1125" spans="1:7" x14ac:dyDescent="0.25">
      <c r="A1125" s="84" t="s">
        <v>408</v>
      </c>
      <c r="B1125" s="84" t="s">
        <v>104</v>
      </c>
      <c r="C1125" s="84" t="s">
        <v>392</v>
      </c>
      <c r="D1125" s="85">
        <v>309</v>
      </c>
      <c r="E1125" s="85">
        <v>3075</v>
      </c>
      <c r="F1125" s="86">
        <v>392.4</v>
      </c>
      <c r="G1125" s="87">
        <v>12.760975999999999</v>
      </c>
    </row>
    <row r="1126" spans="1:7" x14ac:dyDescent="0.25">
      <c r="A1126" s="84" t="s">
        <v>414</v>
      </c>
      <c r="B1126" s="84" t="s">
        <v>104</v>
      </c>
      <c r="C1126" s="84" t="s">
        <v>392</v>
      </c>
      <c r="D1126" s="85">
        <v>896</v>
      </c>
      <c r="E1126" s="85">
        <v>6216</v>
      </c>
      <c r="F1126" s="86">
        <v>1162</v>
      </c>
      <c r="G1126" s="87">
        <v>18.693694000000001</v>
      </c>
    </row>
    <row r="1127" spans="1:7" x14ac:dyDescent="0.25">
      <c r="A1127" s="84" t="s">
        <v>415</v>
      </c>
      <c r="B1127" s="84" t="s">
        <v>104</v>
      </c>
      <c r="C1127" s="84" t="s">
        <v>392</v>
      </c>
      <c r="D1127" s="85">
        <v>510</v>
      </c>
      <c r="E1127" s="85">
        <v>3394</v>
      </c>
      <c r="F1127" s="86">
        <v>764.7</v>
      </c>
      <c r="G1127" s="87">
        <v>22.530937000000002</v>
      </c>
    </row>
    <row r="1128" spans="1:7" x14ac:dyDescent="0.25">
      <c r="A1128" s="84" t="s">
        <v>1687</v>
      </c>
      <c r="B1128" s="84" t="s">
        <v>104</v>
      </c>
      <c r="C1128" s="84" t="s">
        <v>278</v>
      </c>
      <c r="D1128" s="85">
        <v>437256</v>
      </c>
      <c r="E1128" s="85">
        <v>3986031</v>
      </c>
      <c r="F1128" s="86">
        <v>799214.8</v>
      </c>
      <c r="G1128" s="87">
        <v>20.050391000000001</v>
      </c>
    </row>
    <row r="1129" spans="1:7" x14ac:dyDescent="0.25">
      <c r="A1129" s="84" t="s">
        <v>421</v>
      </c>
      <c r="B1129" s="84" t="s">
        <v>104</v>
      </c>
      <c r="C1129" s="84" t="s">
        <v>392</v>
      </c>
      <c r="D1129" s="85">
        <v>123</v>
      </c>
      <c r="E1129" s="85">
        <v>628</v>
      </c>
      <c r="F1129" s="86">
        <v>114.9</v>
      </c>
      <c r="G1129" s="87">
        <v>18.296178000000001</v>
      </c>
    </row>
    <row r="1130" spans="1:7" x14ac:dyDescent="0.25">
      <c r="A1130" s="84" t="s">
        <v>1688</v>
      </c>
      <c r="B1130" s="84" t="s">
        <v>106</v>
      </c>
      <c r="C1130" s="84" t="s">
        <v>281</v>
      </c>
      <c r="D1130" s="85">
        <v>49307</v>
      </c>
      <c r="E1130" s="85">
        <v>900029</v>
      </c>
      <c r="F1130" s="86">
        <v>109814</v>
      </c>
      <c r="G1130" s="87">
        <v>12.201162</v>
      </c>
    </row>
    <row r="1131" spans="1:7" x14ac:dyDescent="0.25">
      <c r="A1131" s="84" t="s">
        <v>1689</v>
      </c>
      <c r="B1131" s="84" t="s">
        <v>106</v>
      </c>
      <c r="C1131" s="84" t="s">
        <v>281</v>
      </c>
      <c r="D1131" s="85">
        <v>108196</v>
      </c>
      <c r="E1131" s="85">
        <v>3586238</v>
      </c>
      <c r="F1131" s="86">
        <v>333671</v>
      </c>
      <c r="G1131" s="87">
        <v>9.3042067999999993</v>
      </c>
    </row>
    <row r="1132" spans="1:7" x14ac:dyDescent="0.25">
      <c r="A1132" s="84" t="s">
        <v>1690</v>
      </c>
      <c r="B1132" s="84" t="s">
        <v>106</v>
      </c>
      <c r="C1132" s="84" t="s">
        <v>281</v>
      </c>
      <c r="D1132" s="85">
        <v>33136</v>
      </c>
      <c r="E1132" s="85">
        <v>675895</v>
      </c>
      <c r="F1132" s="86">
        <v>75841.8</v>
      </c>
      <c r="G1132" s="87">
        <v>11.220943999999999</v>
      </c>
    </row>
    <row r="1133" spans="1:7" x14ac:dyDescent="0.25">
      <c r="A1133" s="84" t="s">
        <v>1691</v>
      </c>
      <c r="B1133" s="84" t="s">
        <v>106</v>
      </c>
      <c r="C1133" s="84" t="s">
        <v>281</v>
      </c>
      <c r="D1133" s="85">
        <v>67589</v>
      </c>
      <c r="E1133" s="85">
        <v>1050089</v>
      </c>
      <c r="F1133" s="86">
        <v>146566.9</v>
      </c>
      <c r="G1133" s="87">
        <v>13.957568999999999</v>
      </c>
    </row>
    <row r="1134" spans="1:7" x14ac:dyDescent="0.25">
      <c r="A1134" s="84" t="s">
        <v>1315</v>
      </c>
      <c r="B1134" s="84" t="s">
        <v>106</v>
      </c>
      <c r="C1134" s="84" t="s">
        <v>281</v>
      </c>
      <c r="D1134" s="85">
        <v>22436</v>
      </c>
      <c r="E1134" s="85">
        <v>374182</v>
      </c>
      <c r="F1134" s="86">
        <v>49744</v>
      </c>
      <c r="G1134" s="87">
        <v>13.294065</v>
      </c>
    </row>
    <row r="1135" spans="1:7" x14ac:dyDescent="0.25">
      <c r="A1135" s="84" t="s">
        <v>1694</v>
      </c>
      <c r="B1135" s="84" t="s">
        <v>106</v>
      </c>
      <c r="C1135" s="84" t="s">
        <v>283</v>
      </c>
      <c r="D1135" s="85">
        <v>6722</v>
      </c>
      <c r="E1135" s="85">
        <v>215155</v>
      </c>
      <c r="F1135" s="86">
        <v>22929</v>
      </c>
      <c r="G1135" s="87">
        <v>10.656968000000001</v>
      </c>
    </row>
    <row r="1136" spans="1:7" x14ac:dyDescent="0.25">
      <c r="A1136" s="84" t="s">
        <v>1697</v>
      </c>
      <c r="B1136" s="84" t="s">
        <v>106</v>
      </c>
      <c r="C1136" s="84" t="s">
        <v>283</v>
      </c>
      <c r="D1136" s="85">
        <v>4967</v>
      </c>
      <c r="E1136" s="85">
        <v>206595</v>
      </c>
      <c r="F1136" s="86">
        <v>24225.1</v>
      </c>
      <c r="G1136" s="87">
        <v>11.725889</v>
      </c>
    </row>
    <row r="1137" spans="1:7" x14ac:dyDescent="0.25">
      <c r="A1137" s="84" t="s">
        <v>1698</v>
      </c>
      <c r="B1137" s="84" t="s">
        <v>106</v>
      </c>
      <c r="C1137" s="84" t="s">
        <v>283</v>
      </c>
      <c r="D1137" s="85">
        <v>24507</v>
      </c>
      <c r="E1137" s="85">
        <v>800411</v>
      </c>
      <c r="F1137" s="86">
        <v>79160.2</v>
      </c>
      <c r="G1137" s="87">
        <v>9.8899439999999998</v>
      </c>
    </row>
    <row r="1138" spans="1:7" x14ac:dyDescent="0.25">
      <c r="A1138" s="84" t="s">
        <v>1699</v>
      </c>
      <c r="B1138" s="84" t="s">
        <v>106</v>
      </c>
      <c r="C1138" s="84" t="s">
        <v>283</v>
      </c>
      <c r="D1138" s="85">
        <v>39933</v>
      </c>
      <c r="E1138" s="85">
        <v>839050</v>
      </c>
      <c r="F1138" s="86">
        <v>109071</v>
      </c>
      <c r="G1138" s="87">
        <v>12.999344000000001</v>
      </c>
    </row>
    <row r="1139" spans="1:7" x14ac:dyDescent="0.25">
      <c r="A1139" s="84" t="s">
        <v>2406</v>
      </c>
      <c r="B1139" s="84" t="s">
        <v>106</v>
      </c>
      <c r="C1139" s="84" t="s">
        <v>278</v>
      </c>
      <c r="D1139" s="85">
        <v>758495</v>
      </c>
      <c r="E1139" s="85">
        <v>21261356</v>
      </c>
      <c r="F1139" s="86">
        <v>2269774.7000000002</v>
      </c>
      <c r="G1139" s="87">
        <v>10.675587999999999</v>
      </c>
    </row>
    <row r="1140" spans="1:7" x14ac:dyDescent="0.25">
      <c r="A1140" s="84" t="s">
        <v>1338</v>
      </c>
      <c r="B1140" s="84" t="s">
        <v>106</v>
      </c>
      <c r="C1140" s="84" t="s">
        <v>278</v>
      </c>
      <c r="D1140" s="85">
        <v>617774</v>
      </c>
      <c r="E1140" s="85">
        <v>20013838</v>
      </c>
      <c r="F1140" s="86">
        <v>1705530</v>
      </c>
      <c r="G1140" s="87">
        <v>8.5217538000000008</v>
      </c>
    </row>
    <row r="1141" spans="1:7" x14ac:dyDescent="0.25">
      <c r="A1141" s="84" t="s">
        <v>1339</v>
      </c>
      <c r="B1141" s="84" t="s">
        <v>106</v>
      </c>
      <c r="C1141" s="84" t="s">
        <v>278</v>
      </c>
      <c r="D1141" s="85">
        <v>171560</v>
      </c>
      <c r="E1141" s="85">
        <v>5956348</v>
      </c>
      <c r="F1141" s="86">
        <v>544895.69999999995</v>
      </c>
      <c r="G1141" s="87">
        <v>9.1481507999999998</v>
      </c>
    </row>
    <row r="1142" spans="1:7" x14ac:dyDescent="0.25">
      <c r="A1142" s="84" t="s">
        <v>1704</v>
      </c>
      <c r="B1142" s="84" t="s">
        <v>106</v>
      </c>
      <c r="C1142" s="84" t="s">
        <v>283</v>
      </c>
      <c r="D1142" s="85">
        <v>15197</v>
      </c>
      <c r="E1142" s="85">
        <v>279754</v>
      </c>
      <c r="F1142" s="86">
        <v>34874</v>
      </c>
      <c r="G1142" s="87">
        <v>12.465952</v>
      </c>
    </row>
    <row r="1143" spans="1:7" x14ac:dyDescent="0.25">
      <c r="A1143" s="84" t="s">
        <v>1705</v>
      </c>
      <c r="B1143" s="84" t="s">
        <v>106</v>
      </c>
      <c r="C1143" s="84" t="s">
        <v>281</v>
      </c>
      <c r="D1143" s="85">
        <v>20550</v>
      </c>
      <c r="E1143" s="85">
        <v>342833</v>
      </c>
      <c r="F1143" s="86">
        <v>48189.1</v>
      </c>
      <c r="G1143" s="87">
        <v>14.056144</v>
      </c>
    </row>
    <row r="1144" spans="1:7" x14ac:dyDescent="0.25">
      <c r="A1144" s="84" t="s">
        <v>1706</v>
      </c>
      <c r="B1144" s="84" t="s">
        <v>106</v>
      </c>
      <c r="C1144" s="84" t="s">
        <v>281</v>
      </c>
      <c r="D1144" s="85">
        <v>30450</v>
      </c>
      <c r="E1144" s="85">
        <v>630870</v>
      </c>
      <c r="F1144" s="86">
        <v>71579</v>
      </c>
      <c r="G1144" s="87">
        <v>11.346078</v>
      </c>
    </row>
    <row r="1145" spans="1:7" x14ac:dyDescent="0.25">
      <c r="A1145" s="84" t="s">
        <v>2365</v>
      </c>
      <c r="B1145" s="84" t="s">
        <v>106</v>
      </c>
      <c r="C1145" s="84" t="s">
        <v>392</v>
      </c>
      <c r="D1145" s="85">
        <v>1</v>
      </c>
      <c r="E1145" s="85">
        <v>3697</v>
      </c>
      <c r="F1145" s="86">
        <v>342.4</v>
      </c>
      <c r="G1145" s="87">
        <v>9.2615634</v>
      </c>
    </row>
    <row r="1146" spans="1:7" x14ac:dyDescent="0.25">
      <c r="A1146" s="84" t="s">
        <v>1707</v>
      </c>
      <c r="B1146" s="84" t="s">
        <v>106</v>
      </c>
      <c r="C1146" s="84" t="s">
        <v>283</v>
      </c>
      <c r="D1146" s="85">
        <v>14245</v>
      </c>
      <c r="E1146" s="85">
        <v>287042</v>
      </c>
      <c r="F1146" s="86">
        <v>21335</v>
      </c>
      <c r="G1146" s="87">
        <v>7.4327101999999998</v>
      </c>
    </row>
    <row r="1147" spans="1:7" x14ac:dyDescent="0.25">
      <c r="A1147" s="84" t="s">
        <v>1708</v>
      </c>
      <c r="B1147" s="84" t="s">
        <v>106</v>
      </c>
      <c r="C1147" s="84" t="s">
        <v>283</v>
      </c>
      <c r="D1147" s="85">
        <v>33975</v>
      </c>
      <c r="E1147" s="85">
        <v>371667</v>
      </c>
      <c r="F1147" s="86">
        <v>45670</v>
      </c>
      <c r="G1147" s="87">
        <v>12.287881</v>
      </c>
    </row>
    <row r="1148" spans="1:7" x14ac:dyDescent="0.25">
      <c r="A1148" s="84" t="s">
        <v>622</v>
      </c>
      <c r="B1148" s="84" t="s">
        <v>106</v>
      </c>
      <c r="C1148" s="84" t="s">
        <v>281</v>
      </c>
      <c r="D1148" s="85">
        <v>14</v>
      </c>
      <c r="E1148" s="85">
        <v>87</v>
      </c>
      <c r="F1148" s="86">
        <v>15</v>
      </c>
      <c r="G1148" s="87">
        <v>17.241378999999998</v>
      </c>
    </row>
    <row r="1149" spans="1:7" x14ac:dyDescent="0.25">
      <c r="A1149" s="84" t="s">
        <v>1709</v>
      </c>
      <c r="B1149" s="84" t="s">
        <v>106</v>
      </c>
      <c r="C1149" s="84" t="s">
        <v>281</v>
      </c>
      <c r="D1149" s="85">
        <v>84507</v>
      </c>
      <c r="E1149" s="85">
        <v>1206314</v>
      </c>
      <c r="F1149" s="86">
        <v>164067</v>
      </c>
      <c r="G1149" s="87">
        <v>13.600688</v>
      </c>
    </row>
    <row r="1150" spans="1:7" x14ac:dyDescent="0.25">
      <c r="A1150" s="84" t="s">
        <v>1710</v>
      </c>
      <c r="B1150" s="84" t="s">
        <v>106</v>
      </c>
      <c r="C1150" s="84" t="s">
        <v>281</v>
      </c>
      <c r="D1150" s="85">
        <v>60308</v>
      </c>
      <c r="E1150" s="85">
        <v>1066052</v>
      </c>
      <c r="F1150" s="86">
        <v>135223</v>
      </c>
      <c r="G1150" s="87">
        <v>12.684466</v>
      </c>
    </row>
    <row r="1151" spans="1:7" x14ac:dyDescent="0.25">
      <c r="A1151" s="84" t="s">
        <v>1712</v>
      </c>
      <c r="B1151" s="84" t="s">
        <v>106</v>
      </c>
      <c r="C1151" s="84" t="s">
        <v>278</v>
      </c>
      <c r="D1151" s="85">
        <v>6165</v>
      </c>
      <c r="E1151" s="85">
        <v>208175</v>
      </c>
      <c r="F1151" s="86">
        <v>19669.400000000001</v>
      </c>
      <c r="G1151" s="87">
        <v>9.4484928999999998</v>
      </c>
    </row>
    <row r="1152" spans="1:7" x14ac:dyDescent="0.25">
      <c r="A1152" s="84" t="s">
        <v>1713</v>
      </c>
      <c r="B1152" s="84" t="s">
        <v>106</v>
      </c>
      <c r="C1152" s="84" t="s">
        <v>281</v>
      </c>
      <c r="D1152" s="85">
        <v>21324</v>
      </c>
      <c r="E1152" s="85">
        <v>438762</v>
      </c>
      <c r="F1152" s="86">
        <v>50523</v>
      </c>
      <c r="G1152" s="87">
        <v>11.514899</v>
      </c>
    </row>
    <row r="1153" spans="1:7" x14ac:dyDescent="0.25">
      <c r="A1153" s="84" t="s">
        <v>1714</v>
      </c>
      <c r="B1153" s="84" t="s">
        <v>106</v>
      </c>
      <c r="C1153" s="84" t="s">
        <v>281</v>
      </c>
      <c r="D1153" s="85">
        <v>6528</v>
      </c>
      <c r="E1153" s="85">
        <v>810547</v>
      </c>
      <c r="F1153" s="86">
        <v>58130</v>
      </c>
      <c r="G1153" s="87">
        <v>7.1717000999999998</v>
      </c>
    </row>
    <row r="1154" spans="1:7" x14ac:dyDescent="0.25">
      <c r="A1154" s="84" t="s">
        <v>1715</v>
      </c>
      <c r="B1154" s="84" t="s">
        <v>106</v>
      </c>
      <c r="C1154" s="84" t="s">
        <v>281</v>
      </c>
      <c r="D1154" s="85">
        <v>57785</v>
      </c>
      <c r="E1154" s="85">
        <v>1006213</v>
      </c>
      <c r="F1154" s="86">
        <v>126053</v>
      </c>
      <c r="G1154" s="87">
        <v>12.527467</v>
      </c>
    </row>
    <row r="1155" spans="1:7" x14ac:dyDescent="0.25">
      <c r="A1155" s="84" t="s">
        <v>1716</v>
      </c>
      <c r="B1155" s="84" t="s">
        <v>106</v>
      </c>
      <c r="C1155" s="84" t="s">
        <v>281</v>
      </c>
      <c r="D1155" s="85">
        <v>13205</v>
      </c>
      <c r="E1155" s="85">
        <v>348797</v>
      </c>
      <c r="F1155" s="86">
        <v>39419</v>
      </c>
      <c r="G1155" s="87">
        <v>11.301416</v>
      </c>
    </row>
    <row r="1156" spans="1:7" x14ac:dyDescent="0.25">
      <c r="A1156" s="84" t="s">
        <v>1717</v>
      </c>
      <c r="B1156" s="84" t="s">
        <v>106</v>
      </c>
      <c r="C1156" s="84" t="s">
        <v>281</v>
      </c>
      <c r="D1156" s="85">
        <v>75203</v>
      </c>
      <c r="E1156" s="85">
        <v>1478506</v>
      </c>
      <c r="F1156" s="86">
        <v>168134</v>
      </c>
      <c r="G1156" s="87">
        <v>11.371885000000001</v>
      </c>
    </row>
    <row r="1157" spans="1:7" x14ac:dyDescent="0.25">
      <c r="A1157" s="84" t="s">
        <v>1718</v>
      </c>
      <c r="B1157" s="84" t="s">
        <v>106</v>
      </c>
      <c r="C1157" s="84" t="s">
        <v>281</v>
      </c>
      <c r="D1157" s="85">
        <v>30785</v>
      </c>
      <c r="E1157" s="85">
        <v>685201</v>
      </c>
      <c r="F1157" s="86">
        <v>70858</v>
      </c>
      <c r="G1157" s="87">
        <v>10.341199</v>
      </c>
    </row>
    <row r="1158" spans="1:7" x14ac:dyDescent="0.25">
      <c r="A1158" s="84" t="s">
        <v>1719</v>
      </c>
      <c r="B1158" s="84" t="s">
        <v>106</v>
      </c>
      <c r="C1158" s="84" t="s">
        <v>281</v>
      </c>
      <c r="D1158" s="85">
        <v>43664</v>
      </c>
      <c r="E1158" s="85">
        <v>1201329</v>
      </c>
      <c r="F1158" s="86">
        <v>128943.3</v>
      </c>
      <c r="G1158" s="87">
        <v>10.733388</v>
      </c>
    </row>
    <row r="1159" spans="1:7" x14ac:dyDescent="0.25">
      <c r="A1159" s="84" t="s">
        <v>1721</v>
      </c>
      <c r="B1159" s="84" t="s">
        <v>106</v>
      </c>
      <c r="C1159" s="84" t="s">
        <v>174</v>
      </c>
      <c r="D1159" s="85">
        <v>191785</v>
      </c>
      <c r="E1159" s="85">
        <v>7669358</v>
      </c>
      <c r="F1159" s="86">
        <v>580526</v>
      </c>
      <c r="G1159" s="87">
        <v>7.5694210999999996</v>
      </c>
    </row>
    <row r="1160" spans="1:7" x14ac:dyDescent="0.25">
      <c r="A1160" s="84" t="s">
        <v>414</v>
      </c>
      <c r="B1160" s="84" t="s">
        <v>106</v>
      </c>
      <c r="C1160" s="84" t="s">
        <v>392</v>
      </c>
      <c r="D1160" s="85">
        <v>33</v>
      </c>
      <c r="E1160" s="85">
        <v>269</v>
      </c>
      <c r="F1160" s="86">
        <v>36.5</v>
      </c>
      <c r="G1160" s="87">
        <v>13.568773</v>
      </c>
    </row>
    <row r="1161" spans="1:7" x14ac:dyDescent="0.25">
      <c r="A1161" s="84" t="s">
        <v>415</v>
      </c>
      <c r="B1161" s="84" t="s">
        <v>106</v>
      </c>
      <c r="C1161" s="84" t="s">
        <v>392</v>
      </c>
      <c r="D1161" s="85">
        <v>7128</v>
      </c>
      <c r="E1161" s="85">
        <v>68586</v>
      </c>
      <c r="F1161" s="86">
        <v>10787.9</v>
      </c>
      <c r="G1161" s="87">
        <v>15.729012000000001</v>
      </c>
    </row>
    <row r="1162" spans="1:7" x14ac:dyDescent="0.25">
      <c r="A1162" s="84" t="s">
        <v>2407</v>
      </c>
      <c r="B1162" s="84" t="s">
        <v>106</v>
      </c>
      <c r="C1162" s="84" t="s">
        <v>281</v>
      </c>
      <c r="D1162" s="85">
        <v>18278</v>
      </c>
      <c r="E1162" s="85">
        <v>295660</v>
      </c>
      <c r="F1162" s="86">
        <v>43362</v>
      </c>
      <c r="G1162" s="87">
        <v>14.666171</v>
      </c>
    </row>
    <row r="1163" spans="1:7" x14ac:dyDescent="0.25">
      <c r="A1163" s="84" t="s">
        <v>421</v>
      </c>
      <c r="B1163" s="84" t="s">
        <v>106</v>
      </c>
      <c r="C1163" s="84" t="s">
        <v>392</v>
      </c>
      <c r="D1163" s="85">
        <v>899</v>
      </c>
      <c r="E1163" s="85">
        <v>6901</v>
      </c>
      <c r="F1163" s="86">
        <v>951.2</v>
      </c>
      <c r="G1163" s="87">
        <v>13.78351</v>
      </c>
    </row>
    <row r="1164" spans="1:7" x14ac:dyDescent="0.25">
      <c r="A1164" s="84" t="s">
        <v>1375</v>
      </c>
      <c r="B1164" s="84" t="s">
        <v>106</v>
      </c>
      <c r="C1164" s="84" t="s">
        <v>281</v>
      </c>
      <c r="D1164" s="85">
        <v>64416</v>
      </c>
      <c r="E1164" s="85">
        <v>1048826</v>
      </c>
      <c r="F1164" s="86">
        <v>124741</v>
      </c>
      <c r="G1164" s="87">
        <v>11.893393</v>
      </c>
    </row>
    <row r="1165" spans="1:7" x14ac:dyDescent="0.25">
      <c r="A1165" s="84" t="s">
        <v>1722</v>
      </c>
      <c r="B1165" s="84" t="s">
        <v>109</v>
      </c>
      <c r="C1165" s="84" t="s">
        <v>281</v>
      </c>
      <c r="D1165" s="85">
        <v>10343</v>
      </c>
      <c r="E1165" s="85">
        <v>151309</v>
      </c>
      <c r="F1165" s="86">
        <v>21369.1</v>
      </c>
      <c r="G1165" s="87">
        <v>14.122821999999999</v>
      </c>
    </row>
    <row r="1166" spans="1:7" x14ac:dyDescent="0.25">
      <c r="A1166" s="84" t="s">
        <v>1291</v>
      </c>
      <c r="B1166" s="84" t="s">
        <v>109</v>
      </c>
      <c r="C1166" s="84" t="s">
        <v>278</v>
      </c>
      <c r="D1166" s="85">
        <v>71008</v>
      </c>
      <c r="E1166" s="85">
        <v>1465737</v>
      </c>
      <c r="F1166" s="86">
        <v>177156</v>
      </c>
      <c r="G1166" s="87">
        <v>12.086479000000001</v>
      </c>
    </row>
    <row r="1167" spans="1:7" x14ac:dyDescent="0.25">
      <c r="A1167" s="84" t="s">
        <v>1726</v>
      </c>
      <c r="B1167" s="84" t="s">
        <v>109</v>
      </c>
      <c r="C1167" s="84" t="s">
        <v>281</v>
      </c>
      <c r="D1167" s="85">
        <v>7217</v>
      </c>
      <c r="E1167" s="85">
        <v>333306</v>
      </c>
      <c r="F1167" s="86">
        <v>32099.3</v>
      </c>
      <c r="G1167" s="87">
        <v>9.6305797000000002</v>
      </c>
    </row>
    <row r="1168" spans="1:7" x14ac:dyDescent="0.25">
      <c r="A1168" s="84" t="s">
        <v>1729</v>
      </c>
      <c r="B1168" s="84" t="s">
        <v>109</v>
      </c>
      <c r="C1168" s="84" t="s">
        <v>283</v>
      </c>
      <c r="D1168" s="85">
        <v>11401</v>
      </c>
      <c r="E1168" s="85">
        <v>313540</v>
      </c>
      <c r="F1168" s="86">
        <v>29366</v>
      </c>
      <c r="G1168" s="87">
        <v>9.3659500999999992</v>
      </c>
    </row>
    <row r="1169" spans="1:7" x14ac:dyDescent="0.25">
      <c r="A1169" s="84" t="s">
        <v>1732</v>
      </c>
      <c r="B1169" s="84" t="s">
        <v>109</v>
      </c>
      <c r="C1169" s="84" t="s">
        <v>283</v>
      </c>
      <c r="D1169" s="85">
        <v>3328</v>
      </c>
      <c r="E1169" s="85">
        <v>99474</v>
      </c>
      <c r="F1169" s="86">
        <v>10366</v>
      </c>
      <c r="G1169" s="87">
        <v>10.420813000000001</v>
      </c>
    </row>
    <row r="1170" spans="1:7" x14ac:dyDescent="0.25">
      <c r="A1170" s="84" t="s">
        <v>1734</v>
      </c>
      <c r="B1170" s="84" t="s">
        <v>109</v>
      </c>
      <c r="C1170" s="84" t="s">
        <v>283</v>
      </c>
      <c r="D1170" s="85">
        <v>7335</v>
      </c>
      <c r="E1170" s="85">
        <v>167577</v>
      </c>
      <c r="F1170" s="86">
        <v>14838.2</v>
      </c>
      <c r="G1170" s="87">
        <v>8.8545563999999999</v>
      </c>
    </row>
    <row r="1171" spans="1:7" x14ac:dyDescent="0.25">
      <c r="A1171" s="84" t="s">
        <v>1737</v>
      </c>
      <c r="B1171" s="84" t="s">
        <v>109</v>
      </c>
      <c r="C1171" s="84" t="s">
        <v>283</v>
      </c>
      <c r="D1171" s="85">
        <v>1156</v>
      </c>
      <c r="E1171" s="85">
        <v>59768</v>
      </c>
      <c r="F1171" s="86">
        <v>5669.4</v>
      </c>
      <c r="G1171" s="87">
        <v>9.4856780000000001</v>
      </c>
    </row>
    <row r="1172" spans="1:7" x14ac:dyDescent="0.25">
      <c r="A1172" s="84" t="s">
        <v>1740</v>
      </c>
      <c r="B1172" s="84" t="s">
        <v>109</v>
      </c>
      <c r="C1172" s="84" t="s">
        <v>281</v>
      </c>
      <c r="D1172" s="85">
        <v>3579</v>
      </c>
      <c r="E1172" s="85">
        <v>230603</v>
      </c>
      <c r="F1172" s="86">
        <v>23487.8</v>
      </c>
      <c r="G1172" s="87">
        <v>10.185384000000001</v>
      </c>
    </row>
    <row r="1173" spans="1:7" x14ac:dyDescent="0.25">
      <c r="A1173" s="84" t="s">
        <v>723</v>
      </c>
      <c r="B1173" s="84" t="s">
        <v>109</v>
      </c>
      <c r="C1173" s="84" t="s">
        <v>278</v>
      </c>
      <c r="D1173" s="85">
        <v>5156</v>
      </c>
      <c r="E1173" s="85">
        <v>251134</v>
      </c>
      <c r="F1173" s="86">
        <v>15730.1</v>
      </c>
      <c r="G1173" s="87">
        <v>6.2636282000000003</v>
      </c>
    </row>
    <row r="1174" spans="1:7" x14ac:dyDescent="0.25">
      <c r="A1174" s="84" t="s">
        <v>1303</v>
      </c>
      <c r="B1174" s="84" t="s">
        <v>109</v>
      </c>
      <c r="C1174" s="84" t="s">
        <v>278</v>
      </c>
      <c r="D1174" s="85">
        <v>8501</v>
      </c>
      <c r="E1174" s="85">
        <v>141840</v>
      </c>
      <c r="F1174" s="86">
        <v>14626</v>
      </c>
      <c r="G1174" s="87">
        <v>10.311619</v>
      </c>
    </row>
    <row r="1175" spans="1:7" x14ac:dyDescent="0.25">
      <c r="A1175" s="84" t="s">
        <v>1452</v>
      </c>
      <c r="B1175" s="84" t="s">
        <v>109</v>
      </c>
      <c r="C1175" s="84" t="s">
        <v>385</v>
      </c>
      <c r="D1175" s="85">
        <v>1316</v>
      </c>
      <c r="E1175" s="85">
        <v>37445</v>
      </c>
      <c r="F1175" s="86">
        <v>2955</v>
      </c>
      <c r="G1175" s="87">
        <v>7.8915743000000003</v>
      </c>
    </row>
    <row r="1176" spans="1:7" x14ac:dyDescent="0.25">
      <c r="A1176" s="84" t="s">
        <v>1745</v>
      </c>
      <c r="B1176" s="84" t="s">
        <v>109</v>
      </c>
      <c r="C1176" s="84" t="s">
        <v>278</v>
      </c>
      <c r="D1176" s="85">
        <v>63869</v>
      </c>
      <c r="E1176" s="85">
        <v>1675490</v>
      </c>
      <c r="F1176" s="86">
        <v>170351</v>
      </c>
      <c r="G1176" s="87">
        <v>10.167235</v>
      </c>
    </row>
    <row r="1177" spans="1:7" x14ac:dyDescent="0.25">
      <c r="A1177" s="84" t="s">
        <v>1746</v>
      </c>
      <c r="B1177" s="84" t="s">
        <v>109</v>
      </c>
      <c r="C1177" s="84" t="s">
        <v>281</v>
      </c>
      <c r="D1177" s="85">
        <v>6446</v>
      </c>
      <c r="E1177" s="85">
        <v>308150</v>
      </c>
      <c r="F1177" s="86">
        <v>28107.8</v>
      </c>
      <c r="G1177" s="87">
        <v>9.1214668000000003</v>
      </c>
    </row>
    <row r="1178" spans="1:7" x14ac:dyDescent="0.25">
      <c r="A1178" s="84" t="s">
        <v>1153</v>
      </c>
      <c r="B1178" s="84" t="s">
        <v>109</v>
      </c>
      <c r="C1178" s="84" t="s">
        <v>278</v>
      </c>
      <c r="D1178" s="85">
        <v>96928</v>
      </c>
      <c r="E1178" s="85">
        <v>2153990</v>
      </c>
      <c r="F1178" s="86">
        <v>217649.1</v>
      </c>
      <c r="G1178" s="87">
        <v>10.104462</v>
      </c>
    </row>
    <row r="1179" spans="1:7" x14ac:dyDescent="0.25">
      <c r="A1179" s="84" t="s">
        <v>1155</v>
      </c>
      <c r="B1179" s="84" t="s">
        <v>109</v>
      </c>
      <c r="C1179" s="84" t="s">
        <v>278</v>
      </c>
      <c r="D1179" s="85">
        <v>11737</v>
      </c>
      <c r="E1179" s="85">
        <v>478845</v>
      </c>
      <c r="F1179" s="86">
        <v>36534.9</v>
      </c>
      <c r="G1179" s="87">
        <v>7.6297967</v>
      </c>
    </row>
    <row r="1180" spans="1:7" x14ac:dyDescent="0.25">
      <c r="A1180" s="84" t="s">
        <v>1748</v>
      </c>
      <c r="B1180" s="84" t="s">
        <v>109</v>
      </c>
      <c r="C1180" s="84" t="s">
        <v>281</v>
      </c>
      <c r="D1180" s="85">
        <v>5519</v>
      </c>
      <c r="E1180" s="85">
        <v>88090</v>
      </c>
      <c r="F1180" s="86">
        <v>8308.1</v>
      </c>
      <c r="G1180" s="87">
        <v>9.4313769999999995</v>
      </c>
    </row>
    <row r="1181" spans="1:7" x14ac:dyDescent="0.25">
      <c r="A1181" s="84" t="s">
        <v>1168</v>
      </c>
      <c r="B1181" s="84" t="s">
        <v>109</v>
      </c>
      <c r="C1181" s="84" t="s">
        <v>281</v>
      </c>
      <c r="D1181" s="85">
        <v>22725</v>
      </c>
      <c r="E1181" s="85">
        <v>719909</v>
      </c>
      <c r="F1181" s="86">
        <v>71777.100000000006</v>
      </c>
      <c r="G1181" s="87">
        <v>9.9703017999999997</v>
      </c>
    </row>
    <row r="1182" spans="1:7" x14ac:dyDescent="0.25">
      <c r="A1182" s="84" t="s">
        <v>1749</v>
      </c>
      <c r="B1182" s="84" t="s">
        <v>109</v>
      </c>
      <c r="C1182" s="84" t="s">
        <v>281</v>
      </c>
      <c r="D1182" s="85">
        <v>19205</v>
      </c>
      <c r="E1182" s="85">
        <v>630576</v>
      </c>
      <c r="F1182" s="86">
        <v>60884.1</v>
      </c>
      <c r="G1182" s="87">
        <v>9.6553150999999993</v>
      </c>
    </row>
    <row r="1183" spans="1:7" x14ac:dyDescent="0.25">
      <c r="A1183" s="84" t="s">
        <v>422</v>
      </c>
      <c r="B1183" s="84" t="s">
        <v>109</v>
      </c>
      <c r="C1183" s="84" t="s">
        <v>351</v>
      </c>
      <c r="D1183" s="85">
        <v>22</v>
      </c>
      <c r="E1183" s="85">
        <v>334247</v>
      </c>
      <c r="F1183" s="86">
        <v>7846.5</v>
      </c>
      <c r="G1183" s="87">
        <v>2.3475155000000001</v>
      </c>
    </row>
    <row r="1184" spans="1:7" x14ac:dyDescent="0.25">
      <c r="A1184" s="84" t="s">
        <v>1752</v>
      </c>
      <c r="B1184" s="84" t="s">
        <v>109</v>
      </c>
      <c r="C1184" s="84" t="s">
        <v>283</v>
      </c>
      <c r="D1184" s="85">
        <v>13271</v>
      </c>
      <c r="E1184" s="85">
        <v>373266</v>
      </c>
      <c r="F1184" s="86">
        <v>30005</v>
      </c>
      <c r="G1184" s="87">
        <v>8.0385033999999997</v>
      </c>
    </row>
    <row r="1185" spans="1:7" x14ac:dyDescent="0.25">
      <c r="A1185" s="84" t="s">
        <v>1754</v>
      </c>
      <c r="B1185" s="84" t="s">
        <v>109</v>
      </c>
      <c r="C1185" s="84" t="s">
        <v>281</v>
      </c>
      <c r="D1185" s="85">
        <v>18159</v>
      </c>
      <c r="E1185" s="85">
        <v>296639</v>
      </c>
      <c r="F1185" s="86">
        <v>38404</v>
      </c>
      <c r="G1185" s="87">
        <v>12.946376000000001</v>
      </c>
    </row>
    <row r="1186" spans="1:7" x14ac:dyDescent="0.25">
      <c r="A1186" s="84" t="s">
        <v>1757</v>
      </c>
      <c r="B1186" s="84" t="s">
        <v>112</v>
      </c>
      <c r="C1186" s="84" t="s">
        <v>281</v>
      </c>
      <c r="D1186" s="85">
        <v>47715</v>
      </c>
      <c r="E1186" s="85">
        <v>914954</v>
      </c>
      <c r="F1186" s="86">
        <v>99731</v>
      </c>
      <c r="G1186" s="87">
        <v>10.900111000000001</v>
      </c>
    </row>
    <row r="1187" spans="1:7" x14ac:dyDescent="0.25">
      <c r="A1187" s="84" t="s">
        <v>1758</v>
      </c>
      <c r="B1187" s="84" t="s">
        <v>112</v>
      </c>
      <c r="C1187" s="84" t="s">
        <v>283</v>
      </c>
      <c r="D1187" s="85">
        <v>13509</v>
      </c>
      <c r="E1187" s="85">
        <v>628755</v>
      </c>
      <c r="F1187" s="86">
        <v>47349</v>
      </c>
      <c r="G1187" s="87">
        <v>7.5305961999999997</v>
      </c>
    </row>
    <row r="1188" spans="1:7" x14ac:dyDescent="0.25">
      <c r="A1188" s="84" t="s">
        <v>1759</v>
      </c>
      <c r="B1188" s="84" t="s">
        <v>112</v>
      </c>
      <c r="C1188" s="84" t="s">
        <v>283</v>
      </c>
      <c r="D1188" s="85">
        <v>10254</v>
      </c>
      <c r="E1188" s="85">
        <v>184422</v>
      </c>
      <c r="F1188" s="86">
        <v>23154</v>
      </c>
      <c r="G1188" s="87">
        <v>12.554900999999999</v>
      </c>
    </row>
    <row r="1189" spans="1:7" x14ac:dyDescent="0.25">
      <c r="A1189" s="84" t="s">
        <v>1760</v>
      </c>
      <c r="B1189" s="84" t="s">
        <v>112</v>
      </c>
      <c r="C1189" s="84" t="s">
        <v>283</v>
      </c>
      <c r="D1189" s="85">
        <v>11246</v>
      </c>
      <c r="E1189" s="85">
        <v>212008</v>
      </c>
      <c r="F1189" s="86">
        <v>25401</v>
      </c>
      <c r="G1189" s="87">
        <v>11.981152</v>
      </c>
    </row>
    <row r="1190" spans="1:7" x14ac:dyDescent="0.25">
      <c r="A1190" s="84" t="s">
        <v>1761</v>
      </c>
      <c r="B1190" s="84" t="s">
        <v>112</v>
      </c>
      <c r="C1190" s="84" t="s">
        <v>281</v>
      </c>
      <c r="D1190" s="85">
        <v>33366</v>
      </c>
      <c r="E1190" s="85">
        <v>565717</v>
      </c>
      <c r="F1190" s="86">
        <v>64750</v>
      </c>
      <c r="G1190" s="87">
        <v>11.445652000000001</v>
      </c>
    </row>
    <row r="1191" spans="1:7" x14ac:dyDescent="0.25">
      <c r="A1191" s="84" t="s">
        <v>1762</v>
      </c>
      <c r="B1191" s="84" t="s">
        <v>112</v>
      </c>
      <c r="C1191" s="84" t="s">
        <v>283</v>
      </c>
      <c r="D1191" s="85">
        <v>15658</v>
      </c>
      <c r="E1191" s="85">
        <v>444357</v>
      </c>
      <c r="F1191" s="86">
        <v>36295</v>
      </c>
      <c r="G1191" s="87">
        <v>8.1679820999999997</v>
      </c>
    </row>
    <row r="1192" spans="1:7" x14ac:dyDescent="0.25">
      <c r="A1192" s="84" t="s">
        <v>1763</v>
      </c>
      <c r="B1192" s="84" t="s">
        <v>112</v>
      </c>
      <c r="C1192" s="84" t="s">
        <v>281</v>
      </c>
      <c r="D1192" s="85">
        <v>21158</v>
      </c>
      <c r="E1192" s="85">
        <v>489793</v>
      </c>
      <c r="F1192" s="86">
        <v>45850</v>
      </c>
      <c r="G1192" s="87">
        <v>9.3610974000000002</v>
      </c>
    </row>
    <row r="1193" spans="1:7" x14ac:dyDescent="0.25">
      <c r="A1193" s="84" t="s">
        <v>1764</v>
      </c>
      <c r="B1193" s="84" t="s">
        <v>112</v>
      </c>
      <c r="C1193" s="84" t="s">
        <v>283</v>
      </c>
      <c r="D1193" s="85">
        <v>30185</v>
      </c>
      <c r="E1193" s="85">
        <v>597611</v>
      </c>
      <c r="F1193" s="86">
        <v>63584</v>
      </c>
      <c r="G1193" s="87">
        <v>10.639697</v>
      </c>
    </row>
    <row r="1194" spans="1:7" x14ac:dyDescent="0.25">
      <c r="A1194" s="84" t="s">
        <v>1765</v>
      </c>
      <c r="B1194" s="84" t="s">
        <v>112</v>
      </c>
      <c r="C1194" s="84" t="s">
        <v>283</v>
      </c>
      <c r="D1194" s="85">
        <v>33843</v>
      </c>
      <c r="E1194" s="85">
        <v>845272</v>
      </c>
      <c r="F1194" s="86">
        <v>81007</v>
      </c>
      <c r="G1194" s="87">
        <v>9.5835422999999995</v>
      </c>
    </row>
    <row r="1195" spans="1:7" x14ac:dyDescent="0.25">
      <c r="A1195" s="84" t="s">
        <v>1766</v>
      </c>
      <c r="B1195" s="84" t="s">
        <v>112</v>
      </c>
      <c r="C1195" s="84" t="s">
        <v>283</v>
      </c>
      <c r="D1195" s="85">
        <v>5404</v>
      </c>
      <c r="E1195" s="85">
        <v>195316</v>
      </c>
      <c r="F1195" s="86">
        <v>15498</v>
      </c>
      <c r="G1195" s="87">
        <v>7.9348337999999998</v>
      </c>
    </row>
    <row r="1196" spans="1:7" x14ac:dyDescent="0.25">
      <c r="A1196" s="84" t="s">
        <v>589</v>
      </c>
      <c r="B1196" s="84" t="s">
        <v>112</v>
      </c>
      <c r="C1196" s="84" t="s">
        <v>283</v>
      </c>
      <c r="D1196" s="85">
        <v>178595</v>
      </c>
      <c r="E1196" s="85">
        <v>5185817</v>
      </c>
      <c r="F1196" s="86">
        <v>497394</v>
      </c>
      <c r="G1196" s="87">
        <v>9.5914298999999996</v>
      </c>
    </row>
    <row r="1197" spans="1:7" x14ac:dyDescent="0.25">
      <c r="A1197" s="84" t="s">
        <v>1767</v>
      </c>
      <c r="B1197" s="84" t="s">
        <v>112</v>
      </c>
      <c r="C1197" s="84" t="s">
        <v>283</v>
      </c>
      <c r="D1197" s="85">
        <v>73620</v>
      </c>
      <c r="E1197" s="85">
        <v>1495990</v>
      </c>
      <c r="F1197" s="86">
        <v>162525</v>
      </c>
      <c r="G1197" s="87">
        <v>10.864043000000001</v>
      </c>
    </row>
    <row r="1198" spans="1:7" x14ac:dyDescent="0.25">
      <c r="A1198" s="84" t="s">
        <v>1768</v>
      </c>
      <c r="B1198" s="84" t="s">
        <v>112</v>
      </c>
      <c r="C1198" s="84" t="s">
        <v>283</v>
      </c>
      <c r="D1198" s="85">
        <v>32064</v>
      </c>
      <c r="E1198" s="85">
        <v>986277</v>
      </c>
      <c r="F1198" s="86">
        <v>95748</v>
      </c>
      <c r="G1198" s="87">
        <v>9.7080231999999995</v>
      </c>
    </row>
    <row r="1199" spans="1:7" x14ac:dyDescent="0.25">
      <c r="A1199" s="84" t="s">
        <v>1769</v>
      </c>
      <c r="B1199" s="84" t="s">
        <v>112</v>
      </c>
      <c r="C1199" s="84" t="s">
        <v>283</v>
      </c>
      <c r="D1199" s="85">
        <v>30102</v>
      </c>
      <c r="E1199" s="85">
        <v>753816</v>
      </c>
      <c r="F1199" s="86">
        <v>74508</v>
      </c>
      <c r="G1199" s="87">
        <v>9.8841096999999998</v>
      </c>
    </row>
    <row r="1200" spans="1:7" x14ac:dyDescent="0.25">
      <c r="A1200" s="84" t="s">
        <v>1770</v>
      </c>
      <c r="B1200" s="84" t="s">
        <v>112</v>
      </c>
      <c r="C1200" s="84" t="s">
        <v>283</v>
      </c>
      <c r="D1200" s="85">
        <v>18678</v>
      </c>
      <c r="E1200" s="85">
        <v>545770</v>
      </c>
      <c r="F1200" s="86">
        <v>50626</v>
      </c>
      <c r="G1200" s="87">
        <v>9.2760686999999997</v>
      </c>
    </row>
    <row r="1201" spans="1:7" x14ac:dyDescent="0.25">
      <c r="A1201" s="84" t="s">
        <v>1771</v>
      </c>
      <c r="B1201" s="84" t="s">
        <v>112</v>
      </c>
      <c r="C1201" s="84" t="s">
        <v>283</v>
      </c>
      <c r="D1201" s="85">
        <v>4710</v>
      </c>
      <c r="E1201" s="85">
        <v>237383</v>
      </c>
      <c r="F1201" s="86">
        <v>19530</v>
      </c>
      <c r="G1201" s="87">
        <v>8.2272108999999993</v>
      </c>
    </row>
    <row r="1202" spans="1:7" x14ac:dyDescent="0.25">
      <c r="A1202" s="84" t="s">
        <v>1772</v>
      </c>
      <c r="B1202" s="84" t="s">
        <v>112</v>
      </c>
      <c r="C1202" s="84" t="s">
        <v>283</v>
      </c>
      <c r="D1202" s="85">
        <v>10835</v>
      </c>
      <c r="E1202" s="85">
        <v>269744</v>
      </c>
      <c r="F1202" s="86">
        <v>25991</v>
      </c>
      <c r="G1202" s="87">
        <v>9.6354320999999992</v>
      </c>
    </row>
    <row r="1203" spans="1:7" x14ac:dyDescent="0.25">
      <c r="A1203" s="84" t="s">
        <v>1773</v>
      </c>
      <c r="B1203" s="84" t="s">
        <v>112</v>
      </c>
      <c r="C1203" s="84" t="s">
        <v>283</v>
      </c>
      <c r="D1203" s="85">
        <v>36325</v>
      </c>
      <c r="E1203" s="85">
        <v>807648</v>
      </c>
      <c r="F1203" s="86">
        <v>79588</v>
      </c>
      <c r="G1203" s="87">
        <v>9.8542930000000002</v>
      </c>
    </row>
    <row r="1204" spans="1:7" x14ac:dyDescent="0.25">
      <c r="A1204" s="84" t="s">
        <v>1774</v>
      </c>
      <c r="B1204" s="84" t="s">
        <v>112</v>
      </c>
      <c r="C1204" s="84" t="s">
        <v>283</v>
      </c>
      <c r="D1204" s="85">
        <v>11942</v>
      </c>
      <c r="E1204" s="85">
        <v>379073</v>
      </c>
      <c r="F1204" s="86">
        <v>34590</v>
      </c>
      <c r="G1204" s="87">
        <v>9.1248915000000004</v>
      </c>
    </row>
    <row r="1205" spans="1:7" x14ac:dyDescent="0.25">
      <c r="A1205" s="84" t="s">
        <v>1775</v>
      </c>
      <c r="B1205" s="84" t="s">
        <v>112</v>
      </c>
      <c r="C1205" s="84" t="s">
        <v>283</v>
      </c>
      <c r="D1205" s="85">
        <v>26515</v>
      </c>
      <c r="E1205" s="85">
        <v>493193</v>
      </c>
      <c r="F1205" s="86">
        <v>51307</v>
      </c>
      <c r="G1205" s="87">
        <v>10.403027</v>
      </c>
    </row>
    <row r="1206" spans="1:7" x14ac:dyDescent="0.25">
      <c r="A1206" s="84" t="s">
        <v>1776</v>
      </c>
      <c r="B1206" s="84" t="s">
        <v>112</v>
      </c>
      <c r="C1206" s="84" t="s">
        <v>283</v>
      </c>
      <c r="D1206" s="85">
        <v>5133</v>
      </c>
      <c r="E1206" s="85">
        <v>250707</v>
      </c>
      <c r="F1206" s="86">
        <v>19481</v>
      </c>
      <c r="G1206" s="87">
        <v>7.7704252</v>
      </c>
    </row>
    <row r="1207" spans="1:7" x14ac:dyDescent="0.25">
      <c r="A1207" s="84" t="s">
        <v>1777</v>
      </c>
      <c r="B1207" s="84" t="s">
        <v>112</v>
      </c>
      <c r="C1207" s="84" t="s">
        <v>283</v>
      </c>
      <c r="D1207" s="85">
        <v>18756</v>
      </c>
      <c r="E1207" s="85">
        <v>427948</v>
      </c>
      <c r="F1207" s="86">
        <v>43666</v>
      </c>
      <c r="G1207" s="87">
        <v>10.203576</v>
      </c>
    </row>
    <row r="1208" spans="1:7" x14ac:dyDescent="0.25">
      <c r="A1208" s="84" t="s">
        <v>1778</v>
      </c>
      <c r="B1208" s="84" t="s">
        <v>112</v>
      </c>
      <c r="C1208" s="84" t="s">
        <v>283</v>
      </c>
      <c r="D1208" s="85">
        <v>22382</v>
      </c>
      <c r="E1208" s="85">
        <v>737134</v>
      </c>
      <c r="F1208" s="86">
        <v>61257</v>
      </c>
      <c r="G1208" s="87">
        <v>8.3101579999999995</v>
      </c>
    </row>
    <row r="1209" spans="1:7" x14ac:dyDescent="0.25">
      <c r="A1209" s="84" t="s">
        <v>1779</v>
      </c>
      <c r="B1209" s="84" t="s">
        <v>112</v>
      </c>
      <c r="C1209" s="84" t="s">
        <v>283</v>
      </c>
      <c r="D1209" s="85">
        <v>38705</v>
      </c>
      <c r="E1209" s="85">
        <v>1098624</v>
      </c>
      <c r="F1209" s="86">
        <v>95682</v>
      </c>
      <c r="G1209" s="87">
        <v>8.7092580999999996</v>
      </c>
    </row>
    <row r="1210" spans="1:7" x14ac:dyDescent="0.25">
      <c r="A1210" s="84" t="s">
        <v>1780</v>
      </c>
      <c r="B1210" s="84" t="s">
        <v>112</v>
      </c>
      <c r="C1210" s="84" t="s">
        <v>283</v>
      </c>
      <c r="D1210" s="85">
        <v>10991</v>
      </c>
      <c r="E1210" s="85">
        <v>186842</v>
      </c>
      <c r="F1210" s="86">
        <v>23116</v>
      </c>
      <c r="G1210" s="87">
        <v>12.371950999999999</v>
      </c>
    </row>
    <row r="1211" spans="1:7" x14ac:dyDescent="0.25">
      <c r="A1211" s="84" t="s">
        <v>1781</v>
      </c>
      <c r="B1211" s="84" t="s">
        <v>112</v>
      </c>
      <c r="C1211" s="84" t="s">
        <v>283</v>
      </c>
      <c r="D1211" s="85">
        <v>4411</v>
      </c>
      <c r="E1211" s="85">
        <v>139378</v>
      </c>
      <c r="F1211" s="86">
        <v>12861</v>
      </c>
      <c r="G1211" s="87">
        <v>9.2274247000000003</v>
      </c>
    </row>
    <row r="1212" spans="1:7" x14ac:dyDescent="0.25">
      <c r="A1212" s="84" t="s">
        <v>1782</v>
      </c>
      <c r="B1212" s="84" t="s">
        <v>112</v>
      </c>
      <c r="C1212" s="84" t="s">
        <v>283</v>
      </c>
      <c r="D1212" s="85">
        <v>36482</v>
      </c>
      <c r="E1212" s="85">
        <v>1601025</v>
      </c>
      <c r="F1212" s="86">
        <v>132662</v>
      </c>
      <c r="G1212" s="87">
        <v>8.2860666999999992</v>
      </c>
    </row>
    <row r="1213" spans="1:7" x14ac:dyDescent="0.25">
      <c r="A1213" s="84" t="s">
        <v>932</v>
      </c>
      <c r="B1213" s="84" t="s">
        <v>112</v>
      </c>
      <c r="C1213" s="84" t="s">
        <v>283</v>
      </c>
      <c r="D1213" s="85">
        <v>2339</v>
      </c>
      <c r="E1213" s="85">
        <v>40374</v>
      </c>
      <c r="F1213" s="86">
        <v>4311</v>
      </c>
      <c r="G1213" s="87">
        <v>10.677664</v>
      </c>
    </row>
    <row r="1214" spans="1:7" x14ac:dyDescent="0.25">
      <c r="A1214" s="84" t="s">
        <v>1783</v>
      </c>
      <c r="B1214" s="84" t="s">
        <v>112</v>
      </c>
      <c r="C1214" s="84" t="s">
        <v>283</v>
      </c>
      <c r="D1214" s="85">
        <v>22446</v>
      </c>
      <c r="E1214" s="85">
        <v>379154</v>
      </c>
      <c r="F1214" s="86">
        <v>46112</v>
      </c>
      <c r="G1214" s="87">
        <v>12.161813</v>
      </c>
    </row>
    <row r="1215" spans="1:7" x14ac:dyDescent="0.25">
      <c r="A1215" s="84" t="s">
        <v>1784</v>
      </c>
      <c r="B1215" s="84" t="s">
        <v>112</v>
      </c>
      <c r="C1215" s="84" t="s">
        <v>283</v>
      </c>
      <c r="D1215" s="85">
        <v>20799</v>
      </c>
      <c r="E1215" s="85">
        <v>468869</v>
      </c>
      <c r="F1215" s="86">
        <v>49560</v>
      </c>
      <c r="G1215" s="87">
        <v>10.570117</v>
      </c>
    </row>
    <row r="1216" spans="1:7" x14ac:dyDescent="0.25">
      <c r="A1216" s="84" t="s">
        <v>1785</v>
      </c>
      <c r="B1216" s="84" t="s">
        <v>112</v>
      </c>
      <c r="C1216" s="84" t="s">
        <v>283</v>
      </c>
      <c r="D1216" s="85">
        <v>69105</v>
      </c>
      <c r="E1216" s="85">
        <v>1605140</v>
      </c>
      <c r="F1216" s="86">
        <v>165756</v>
      </c>
      <c r="G1216" s="87">
        <v>10.326575999999999</v>
      </c>
    </row>
    <row r="1217" spans="1:7" x14ac:dyDescent="0.25">
      <c r="A1217" s="84" t="s">
        <v>1786</v>
      </c>
      <c r="B1217" s="84" t="s">
        <v>112</v>
      </c>
      <c r="C1217" s="84" t="s">
        <v>283</v>
      </c>
      <c r="D1217" s="85">
        <v>6389</v>
      </c>
      <c r="E1217" s="85">
        <v>288695</v>
      </c>
      <c r="F1217" s="86">
        <v>23665</v>
      </c>
      <c r="G1217" s="87">
        <v>8.1972324000000008</v>
      </c>
    </row>
    <row r="1218" spans="1:7" x14ac:dyDescent="0.25">
      <c r="A1218" s="84" t="s">
        <v>1787</v>
      </c>
      <c r="B1218" s="84" t="s">
        <v>112</v>
      </c>
      <c r="C1218" s="84" t="s">
        <v>283</v>
      </c>
      <c r="D1218" s="85">
        <v>22660</v>
      </c>
      <c r="E1218" s="85">
        <v>403910</v>
      </c>
      <c r="F1218" s="86">
        <v>43189</v>
      </c>
      <c r="G1218" s="87">
        <v>10.692729</v>
      </c>
    </row>
    <row r="1219" spans="1:7" x14ac:dyDescent="0.25">
      <c r="A1219" s="84" t="s">
        <v>1788</v>
      </c>
      <c r="B1219" s="84" t="s">
        <v>112</v>
      </c>
      <c r="C1219" s="84" t="s">
        <v>283</v>
      </c>
      <c r="D1219" s="85">
        <v>419568</v>
      </c>
      <c r="E1219" s="85">
        <v>12774178</v>
      </c>
      <c r="F1219" s="86">
        <v>1200275</v>
      </c>
      <c r="G1219" s="87">
        <v>9.3961036</v>
      </c>
    </row>
    <row r="1220" spans="1:7" x14ac:dyDescent="0.25">
      <c r="A1220" s="84" t="s">
        <v>1789</v>
      </c>
      <c r="B1220" s="84" t="s">
        <v>112</v>
      </c>
      <c r="C1220" s="84" t="s">
        <v>283</v>
      </c>
      <c r="D1220" s="85">
        <v>8295</v>
      </c>
      <c r="E1220" s="85">
        <v>171932</v>
      </c>
      <c r="F1220" s="86">
        <v>17717</v>
      </c>
      <c r="G1220" s="87">
        <v>10.304655</v>
      </c>
    </row>
    <row r="1221" spans="1:7" x14ac:dyDescent="0.25">
      <c r="A1221" s="84" t="s">
        <v>1790</v>
      </c>
      <c r="B1221" s="84" t="s">
        <v>112</v>
      </c>
      <c r="C1221" s="84" t="s">
        <v>283</v>
      </c>
      <c r="D1221" s="85">
        <v>15192</v>
      </c>
      <c r="E1221" s="85">
        <v>859676</v>
      </c>
      <c r="F1221" s="86">
        <v>73114</v>
      </c>
      <c r="G1221" s="87">
        <v>8.5048320999999998</v>
      </c>
    </row>
    <row r="1222" spans="1:7" x14ac:dyDescent="0.25">
      <c r="A1222" s="84" t="s">
        <v>1791</v>
      </c>
      <c r="B1222" s="84" t="s">
        <v>112</v>
      </c>
      <c r="C1222" s="84" t="s">
        <v>283</v>
      </c>
      <c r="D1222" s="85">
        <v>4102</v>
      </c>
      <c r="E1222" s="85">
        <v>129291</v>
      </c>
      <c r="F1222" s="86">
        <v>13268</v>
      </c>
      <c r="G1222" s="87">
        <v>10.262122</v>
      </c>
    </row>
    <row r="1223" spans="1:7" x14ac:dyDescent="0.25">
      <c r="A1223" s="84" t="s">
        <v>1793</v>
      </c>
      <c r="B1223" s="84" t="s">
        <v>112</v>
      </c>
      <c r="C1223" s="84" t="s">
        <v>283</v>
      </c>
      <c r="D1223" s="85">
        <v>1818</v>
      </c>
      <c r="E1223" s="85">
        <v>97555</v>
      </c>
      <c r="F1223" s="86">
        <v>7520</v>
      </c>
      <c r="G1223" s="87">
        <v>7.7084720999999998</v>
      </c>
    </row>
    <row r="1224" spans="1:7" x14ac:dyDescent="0.25">
      <c r="A1224" s="84" t="s">
        <v>1794</v>
      </c>
      <c r="B1224" s="84" t="s">
        <v>112</v>
      </c>
      <c r="C1224" s="84" t="s">
        <v>283</v>
      </c>
      <c r="D1224" s="85">
        <v>22400</v>
      </c>
      <c r="E1224" s="85">
        <v>535761</v>
      </c>
      <c r="F1224" s="86">
        <v>52147</v>
      </c>
      <c r="G1224" s="87">
        <v>9.7332578999999999</v>
      </c>
    </row>
    <row r="1225" spans="1:7" x14ac:dyDescent="0.25">
      <c r="A1225" s="84" t="s">
        <v>1795</v>
      </c>
      <c r="B1225" s="84" t="s">
        <v>112</v>
      </c>
      <c r="C1225" s="84" t="s">
        <v>283</v>
      </c>
      <c r="D1225" s="85">
        <v>16358</v>
      </c>
      <c r="E1225" s="85">
        <v>469024</v>
      </c>
      <c r="F1225" s="86">
        <v>51218</v>
      </c>
      <c r="G1225" s="87">
        <v>10.920123</v>
      </c>
    </row>
    <row r="1226" spans="1:7" x14ac:dyDescent="0.25">
      <c r="A1226" s="84" t="s">
        <v>1796</v>
      </c>
      <c r="B1226" s="84" t="s">
        <v>112</v>
      </c>
      <c r="C1226" s="84" t="s">
        <v>283</v>
      </c>
      <c r="D1226" s="85">
        <v>21800</v>
      </c>
      <c r="E1226" s="85">
        <v>430329</v>
      </c>
      <c r="F1226" s="86">
        <v>43282</v>
      </c>
      <c r="G1226" s="87">
        <v>10.057886</v>
      </c>
    </row>
    <row r="1227" spans="1:7" x14ac:dyDescent="0.25">
      <c r="A1227" s="84" t="s">
        <v>1797</v>
      </c>
      <c r="B1227" s="84" t="s">
        <v>112</v>
      </c>
      <c r="C1227" s="84" t="s">
        <v>283</v>
      </c>
      <c r="D1227" s="85">
        <v>14808</v>
      </c>
      <c r="E1227" s="85">
        <v>383316</v>
      </c>
      <c r="F1227" s="86">
        <v>40310</v>
      </c>
      <c r="G1227" s="87">
        <v>10.516128</v>
      </c>
    </row>
    <row r="1228" spans="1:7" x14ac:dyDescent="0.25">
      <c r="A1228" s="84" t="s">
        <v>1798</v>
      </c>
      <c r="B1228" s="84" t="s">
        <v>112</v>
      </c>
      <c r="C1228" s="84" t="s">
        <v>283</v>
      </c>
      <c r="D1228" s="85">
        <v>6670</v>
      </c>
      <c r="E1228" s="85">
        <v>177444</v>
      </c>
      <c r="F1228" s="86">
        <v>17611</v>
      </c>
      <c r="G1228" s="87">
        <v>9.9248214000000008</v>
      </c>
    </row>
    <row r="1229" spans="1:7" x14ac:dyDescent="0.25">
      <c r="A1229" s="84" t="s">
        <v>1799</v>
      </c>
      <c r="B1229" s="84" t="s">
        <v>112</v>
      </c>
      <c r="C1229" s="84" t="s">
        <v>283</v>
      </c>
      <c r="D1229" s="85">
        <v>14844</v>
      </c>
      <c r="E1229" s="85">
        <v>294267</v>
      </c>
      <c r="F1229" s="86">
        <v>32072</v>
      </c>
      <c r="G1229" s="87">
        <v>10.898946</v>
      </c>
    </row>
    <row r="1230" spans="1:7" x14ac:dyDescent="0.25">
      <c r="A1230" s="84" t="s">
        <v>1800</v>
      </c>
      <c r="B1230" s="84" t="s">
        <v>112</v>
      </c>
      <c r="C1230" s="84" t="s">
        <v>283</v>
      </c>
      <c r="D1230" s="85">
        <v>10670</v>
      </c>
      <c r="E1230" s="85">
        <v>340730</v>
      </c>
      <c r="F1230" s="86">
        <v>31232</v>
      </c>
      <c r="G1230" s="87">
        <v>9.1662020000000002</v>
      </c>
    </row>
    <row r="1231" spans="1:7" x14ac:dyDescent="0.25">
      <c r="A1231" s="84" t="s">
        <v>1801</v>
      </c>
      <c r="B1231" s="84" t="s">
        <v>112</v>
      </c>
      <c r="C1231" s="84" t="s">
        <v>283</v>
      </c>
      <c r="D1231" s="85">
        <v>2842</v>
      </c>
      <c r="E1231" s="85">
        <v>115876</v>
      </c>
      <c r="F1231" s="86">
        <v>10146</v>
      </c>
      <c r="G1231" s="87">
        <v>8.7559114999999998</v>
      </c>
    </row>
    <row r="1232" spans="1:7" x14ac:dyDescent="0.25">
      <c r="A1232" s="84" t="s">
        <v>1802</v>
      </c>
      <c r="B1232" s="84" t="s">
        <v>112</v>
      </c>
      <c r="C1232" s="84" t="s">
        <v>283</v>
      </c>
      <c r="D1232" s="85">
        <v>3011</v>
      </c>
      <c r="E1232" s="85">
        <v>117290</v>
      </c>
      <c r="F1232" s="86">
        <v>10955</v>
      </c>
      <c r="G1232" s="87">
        <v>9.3400972000000007</v>
      </c>
    </row>
    <row r="1233" spans="1:7" x14ac:dyDescent="0.25">
      <c r="A1233" s="84" t="s">
        <v>1803</v>
      </c>
      <c r="B1233" s="84" t="s">
        <v>112</v>
      </c>
      <c r="C1233" s="84" t="s">
        <v>283</v>
      </c>
      <c r="D1233" s="85">
        <v>8544</v>
      </c>
      <c r="E1233" s="85">
        <v>270907</v>
      </c>
      <c r="F1233" s="86">
        <v>25334</v>
      </c>
      <c r="G1233" s="87">
        <v>9.3515487000000004</v>
      </c>
    </row>
    <row r="1234" spans="1:7" x14ac:dyDescent="0.25">
      <c r="A1234" s="84" t="s">
        <v>1804</v>
      </c>
      <c r="B1234" s="84" t="s">
        <v>112</v>
      </c>
      <c r="C1234" s="84" t="s">
        <v>283</v>
      </c>
      <c r="D1234" s="85">
        <v>9245</v>
      </c>
      <c r="E1234" s="85">
        <v>237011</v>
      </c>
      <c r="F1234" s="86">
        <v>23237</v>
      </c>
      <c r="G1234" s="87">
        <v>9.8041862999999996</v>
      </c>
    </row>
    <row r="1235" spans="1:7" x14ac:dyDescent="0.25">
      <c r="A1235" s="84" t="s">
        <v>1805</v>
      </c>
      <c r="B1235" s="84" t="s">
        <v>112</v>
      </c>
      <c r="C1235" s="84" t="s">
        <v>283</v>
      </c>
      <c r="D1235" s="85">
        <v>2417</v>
      </c>
      <c r="E1235" s="85">
        <v>62251</v>
      </c>
      <c r="F1235" s="86">
        <v>6465</v>
      </c>
      <c r="G1235" s="87">
        <v>10.385375</v>
      </c>
    </row>
    <row r="1236" spans="1:7" x14ac:dyDescent="0.25">
      <c r="A1236" s="84" t="s">
        <v>1806</v>
      </c>
      <c r="B1236" s="84" t="s">
        <v>112</v>
      </c>
      <c r="C1236" s="84" t="s">
        <v>283</v>
      </c>
      <c r="D1236" s="85">
        <v>6405</v>
      </c>
      <c r="E1236" s="85">
        <v>299766</v>
      </c>
      <c r="F1236" s="86">
        <v>24854</v>
      </c>
      <c r="G1236" s="87">
        <v>8.2911338000000008</v>
      </c>
    </row>
    <row r="1237" spans="1:7" x14ac:dyDescent="0.25">
      <c r="A1237" s="84" t="s">
        <v>1807</v>
      </c>
      <c r="B1237" s="84" t="s">
        <v>112</v>
      </c>
      <c r="C1237" s="84" t="s">
        <v>283</v>
      </c>
      <c r="D1237" s="85">
        <v>6396</v>
      </c>
      <c r="E1237" s="85">
        <v>165757</v>
      </c>
      <c r="F1237" s="86">
        <v>16889</v>
      </c>
      <c r="G1237" s="87">
        <v>10.189012</v>
      </c>
    </row>
    <row r="1238" spans="1:7" x14ac:dyDescent="0.25">
      <c r="A1238" s="84" t="s">
        <v>1808</v>
      </c>
      <c r="B1238" s="84" t="s">
        <v>112</v>
      </c>
      <c r="C1238" s="84" t="s">
        <v>283</v>
      </c>
      <c r="D1238" s="85">
        <v>31744</v>
      </c>
      <c r="E1238" s="85">
        <v>642604</v>
      </c>
      <c r="F1238" s="86">
        <v>67263</v>
      </c>
      <c r="G1238" s="87">
        <v>10.467255</v>
      </c>
    </row>
    <row r="1239" spans="1:7" x14ac:dyDescent="0.25">
      <c r="A1239" s="84" t="s">
        <v>1809</v>
      </c>
      <c r="B1239" s="84" t="s">
        <v>112</v>
      </c>
      <c r="C1239" s="84" t="s">
        <v>281</v>
      </c>
      <c r="D1239" s="85">
        <v>101145</v>
      </c>
      <c r="E1239" s="85">
        <v>2638350</v>
      </c>
      <c r="F1239" s="86">
        <v>269448</v>
      </c>
      <c r="G1239" s="87">
        <v>10.212747</v>
      </c>
    </row>
    <row r="1240" spans="1:7" x14ac:dyDescent="0.25">
      <c r="A1240" s="84" t="s">
        <v>941</v>
      </c>
      <c r="B1240" s="84" t="s">
        <v>112</v>
      </c>
      <c r="C1240" s="84" t="s">
        <v>281</v>
      </c>
      <c r="D1240" s="85">
        <v>72</v>
      </c>
      <c r="E1240" s="85">
        <v>694</v>
      </c>
      <c r="F1240" s="86">
        <v>79</v>
      </c>
      <c r="G1240" s="87">
        <v>11.383285000000001</v>
      </c>
    </row>
    <row r="1241" spans="1:7" x14ac:dyDescent="0.25">
      <c r="A1241" s="84" t="s">
        <v>1810</v>
      </c>
      <c r="B1241" s="84" t="s">
        <v>112</v>
      </c>
      <c r="C1241" s="84" t="s">
        <v>281</v>
      </c>
      <c r="D1241" s="85">
        <v>77922</v>
      </c>
      <c r="E1241" s="85">
        <v>1781192</v>
      </c>
      <c r="F1241" s="86">
        <v>186189</v>
      </c>
      <c r="G1241" s="87">
        <v>10.453056</v>
      </c>
    </row>
    <row r="1242" spans="1:7" x14ac:dyDescent="0.25">
      <c r="A1242" s="84" t="s">
        <v>2363</v>
      </c>
      <c r="B1242" s="84" t="s">
        <v>112</v>
      </c>
      <c r="C1242" s="84" t="s">
        <v>278</v>
      </c>
      <c r="D1242" s="85">
        <v>7</v>
      </c>
      <c r="E1242" s="85">
        <v>44</v>
      </c>
      <c r="F1242" s="86">
        <v>7.1</v>
      </c>
      <c r="G1242" s="87">
        <v>16.136364</v>
      </c>
    </row>
    <row r="1243" spans="1:7" x14ac:dyDescent="0.25">
      <c r="A1243" s="84" t="s">
        <v>1811</v>
      </c>
      <c r="B1243" s="84" t="s">
        <v>112</v>
      </c>
      <c r="C1243" s="84" t="s">
        <v>281</v>
      </c>
      <c r="D1243" s="85">
        <v>10011</v>
      </c>
      <c r="E1243" s="85">
        <v>171016</v>
      </c>
      <c r="F1243" s="86">
        <v>20548</v>
      </c>
      <c r="G1243" s="87">
        <v>12.01525</v>
      </c>
    </row>
    <row r="1244" spans="1:7" x14ac:dyDescent="0.25">
      <c r="A1244" s="84" t="s">
        <v>1812</v>
      </c>
      <c r="B1244" s="84" t="s">
        <v>112</v>
      </c>
      <c r="C1244" s="84" t="s">
        <v>281</v>
      </c>
      <c r="D1244" s="85">
        <v>33666</v>
      </c>
      <c r="E1244" s="85">
        <v>602227</v>
      </c>
      <c r="F1244" s="86">
        <v>66287</v>
      </c>
      <c r="G1244" s="87">
        <v>11.006978999999999</v>
      </c>
    </row>
    <row r="1245" spans="1:7" x14ac:dyDescent="0.25">
      <c r="A1245" s="84" t="s">
        <v>1344</v>
      </c>
      <c r="B1245" s="84" t="s">
        <v>112</v>
      </c>
      <c r="C1245" s="84" t="s">
        <v>281</v>
      </c>
      <c r="D1245" s="85">
        <v>1029</v>
      </c>
      <c r="E1245" s="85">
        <v>9154</v>
      </c>
      <c r="F1245" s="86">
        <v>1162.4000000000001</v>
      </c>
      <c r="G1245" s="87">
        <v>12.698274</v>
      </c>
    </row>
    <row r="1246" spans="1:7" x14ac:dyDescent="0.25">
      <c r="A1246" s="84" t="s">
        <v>1813</v>
      </c>
      <c r="B1246" s="84" t="s">
        <v>112</v>
      </c>
      <c r="C1246" s="84" t="s">
        <v>281</v>
      </c>
      <c r="D1246" s="85">
        <v>34960</v>
      </c>
      <c r="E1246" s="85">
        <v>778917</v>
      </c>
      <c r="F1246" s="86">
        <v>80792</v>
      </c>
      <c r="G1246" s="87">
        <v>10.372350000000001</v>
      </c>
    </row>
    <row r="1247" spans="1:7" x14ac:dyDescent="0.25">
      <c r="A1247" s="84" t="s">
        <v>1814</v>
      </c>
      <c r="B1247" s="84" t="s">
        <v>112</v>
      </c>
      <c r="C1247" s="84" t="s">
        <v>281</v>
      </c>
      <c r="D1247" s="85">
        <v>30887</v>
      </c>
      <c r="E1247" s="85">
        <v>764768</v>
      </c>
      <c r="F1247" s="86">
        <v>74645</v>
      </c>
      <c r="G1247" s="87">
        <v>9.7604763999999999</v>
      </c>
    </row>
    <row r="1248" spans="1:7" x14ac:dyDescent="0.25">
      <c r="A1248" s="84" t="s">
        <v>1815</v>
      </c>
      <c r="B1248" s="84" t="s">
        <v>112</v>
      </c>
      <c r="C1248" s="84" t="s">
        <v>283</v>
      </c>
      <c r="D1248" s="85">
        <v>79764</v>
      </c>
      <c r="E1248" s="85">
        <v>1752930</v>
      </c>
      <c r="F1248" s="86">
        <v>186589</v>
      </c>
      <c r="G1248" s="87">
        <v>10.644406999999999</v>
      </c>
    </row>
    <row r="1249" spans="1:7" x14ac:dyDescent="0.25">
      <c r="A1249" s="84" t="s">
        <v>1816</v>
      </c>
      <c r="B1249" s="84" t="s">
        <v>112</v>
      </c>
      <c r="C1249" s="84" t="s">
        <v>278</v>
      </c>
      <c r="D1249" s="85">
        <v>48444</v>
      </c>
      <c r="E1249" s="85">
        <v>1661014</v>
      </c>
      <c r="F1249" s="86">
        <v>149876</v>
      </c>
      <c r="G1249" s="87">
        <v>9.0231630000000003</v>
      </c>
    </row>
    <row r="1250" spans="1:7" x14ac:dyDescent="0.25">
      <c r="A1250" s="84" t="s">
        <v>1817</v>
      </c>
      <c r="B1250" s="84" t="s">
        <v>112</v>
      </c>
      <c r="C1250" s="84" t="s">
        <v>283</v>
      </c>
      <c r="D1250" s="85">
        <v>207466</v>
      </c>
      <c r="E1250" s="85">
        <v>5340239</v>
      </c>
      <c r="F1250" s="86">
        <v>518474</v>
      </c>
      <c r="G1250" s="87">
        <v>9.7088163999999999</v>
      </c>
    </row>
    <row r="1251" spans="1:7" x14ac:dyDescent="0.25">
      <c r="A1251" s="84" t="s">
        <v>1818</v>
      </c>
      <c r="B1251" s="84" t="s">
        <v>112</v>
      </c>
      <c r="C1251" s="84" t="s">
        <v>283</v>
      </c>
      <c r="D1251" s="85">
        <v>12891</v>
      </c>
      <c r="E1251" s="85">
        <v>553286</v>
      </c>
      <c r="F1251" s="86">
        <v>44775</v>
      </c>
      <c r="G1251" s="87">
        <v>8.0925597000000007</v>
      </c>
    </row>
    <row r="1252" spans="1:7" x14ac:dyDescent="0.25">
      <c r="A1252" s="84" t="s">
        <v>1819</v>
      </c>
      <c r="B1252" s="84" t="s">
        <v>112</v>
      </c>
      <c r="C1252" s="84" t="s">
        <v>283</v>
      </c>
      <c r="D1252" s="85">
        <v>22283</v>
      </c>
      <c r="E1252" s="85">
        <v>747396</v>
      </c>
      <c r="F1252" s="86">
        <v>62967</v>
      </c>
      <c r="G1252" s="87">
        <v>8.4248510999999997</v>
      </c>
    </row>
    <row r="1253" spans="1:7" x14ac:dyDescent="0.25">
      <c r="A1253" s="84" t="s">
        <v>1820</v>
      </c>
      <c r="B1253" s="84" t="s">
        <v>112</v>
      </c>
      <c r="C1253" s="84" t="s">
        <v>283</v>
      </c>
      <c r="D1253" s="85">
        <v>8155</v>
      </c>
      <c r="E1253" s="85">
        <v>176603</v>
      </c>
      <c r="F1253" s="86">
        <v>18146</v>
      </c>
      <c r="G1253" s="87">
        <v>10.275024</v>
      </c>
    </row>
    <row r="1254" spans="1:7" x14ac:dyDescent="0.25">
      <c r="A1254" s="84" t="s">
        <v>1821</v>
      </c>
      <c r="B1254" s="84" t="s">
        <v>112</v>
      </c>
      <c r="C1254" s="84" t="s">
        <v>281</v>
      </c>
      <c r="D1254" s="85">
        <v>35012</v>
      </c>
      <c r="E1254" s="85">
        <v>1065956</v>
      </c>
      <c r="F1254" s="86">
        <v>96127</v>
      </c>
      <c r="G1254" s="87">
        <v>9.0179144000000004</v>
      </c>
    </row>
    <row r="1255" spans="1:7" x14ac:dyDescent="0.25">
      <c r="A1255" s="84" t="s">
        <v>1822</v>
      </c>
      <c r="B1255" s="84" t="s">
        <v>112</v>
      </c>
      <c r="C1255" s="84" t="s">
        <v>281</v>
      </c>
      <c r="D1255" s="85">
        <v>273371</v>
      </c>
      <c r="E1255" s="85">
        <v>7763357</v>
      </c>
      <c r="F1255" s="86">
        <v>740315</v>
      </c>
      <c r="G1255" s="87">
        <v>9.5360163999999994</v>
      </c>
    </row>
    <row r="1256" spans="1:7" x14ac:dyDescent="0.25">
      <c r="A1256" s="84" t="s">
        <v>1350</v>
      </c>
      <c r="B1256" s="84" t="s">
        <v>112</v>
      </c>
      <c r="C1256" s="84" t="s">
        <v>281</v>
      </c>
      <c r="D1256" s="85">
        <v>15615</v>
      </c>
      <c r="E1256" s="85">
        <v>339938</v>
      </c>
      <c r="F1256" s="86">
        <v>28624</v>
      </c>
      <c r="G1256" s="87">
        <v>8.4203589999999995</v>
      </c>
    </row>
    <row r="1257" spans="1:7" x14ac:dyDescent="0.25">
      <c r="A1257" s="84" t="s">
        <v>1823</v>
      </c>
      <c r="B1257" s="84" t="s">
        <v>112</v>
      </c>
      <c r="C1257" s="84" t="s">
        <v>283</v>
      </c>
      <c r="D1257" s="85">
        <v>415840</v>
      </c>
      <c r="E1257" s="85">
        <v>11212987</v>
      </c>
      <c r="F1257" s="86">
        <v>1204531</v>
      </c>
      <c r="G1257" s="87">
        <v>10.742285000000001</v>
      </c>
    </row>
    <row r="1258" spans="1:7" x14ac:dyDescent="0.25">
      <c r="A1258" s="84" t="s">
        <v>1824</v>
      </c>
      <c r="B1258" s="84" t="s">
        <v>112</v>
      </c>
      <c r="C1258" s="84" t="s">
        <v>281</v>
      </c>
      <c r="D1258" s="85">
        <v>20794</v>
      </c>
      <c r="E1258" s="85">
        <v>350291</v>
      </c>
      <c r="F1258" s="86">
        <v>40962</v>
      </c>
      <c r="G1258" s="87">
        <v>11.693706000000001</v>
      </c>
    </row>
    <row r="1259" spans="1:7" x14ac:dyDescent="0.25">
      <c r="A1259" s="84" t="s">
        <v>1825</v>
      </c>
      <c r="B1259" s="84" t="s">
        <v>112</v>
      </c>
      <c r="C1259" s="84" t="s">
        <v>281</v>
      </c>
      <c r="D1259" s="85">
        <v>17222</v>
      </c>
      <c r="E1259" s="85">
        <v>286897</v>
      </c>
      <c r="F1259" s="86">
        <v>33638</v>
      </c>
      <c r="G1259" s="87">
        <v>11.724765</v>
      </c>
    </row>
    <row r="1260" spans="1:7" x14ac:dyDescent="0.25">
      <c r="A1260" s="84" t="s">
        <v>1826</v>
      </c>
      <c r="B1260" s="84" t="s">
        <v>112</v>
      </c>
      <c r="C1260" s="84" t="s">
        <v>281</v>
      </c>
      <c r="D1260" s="85">
        <v>24691</v>
      </c>
      <c r="E1260" s="85">
        <v>396937</v>
      </c>
      <c r="F1260" s="86">
        <v>40807</v>
      </c>
      <c r="G1260" s="87">
        <v>10.280473000000001</v>
      </c>
    </row>
    <row r="1261" spans="1:7" x14ac:dyDescent="0.25">
      <c r="A1261" s="84" t="s">
        <v>1827</v>
      </c>
      <c r="B1261" s="84" t="s">
        <v>112</v>
      </c>
      <c r="C1261" s="84" t="s">
        <v>281</v>
      </c>
      <c r="D1261" s="85">
        <v>36680</v>
      </c>
      <c r="E1261" s="85">
        <v>794588</v>
      </c>
      <c r="F1261" s="86">
        <v>83667</v>
      </c>
      <c r="G1261" s="87">
        <v>10.529608</v>
      </c>
    </row>
    <row r="1262" spans="1:7" x14ac:dyDescent="0.25">
      <c r="A1262" s="84" t="s">
        <v>1828</v>
      </c>
      <c r="B1262" s="84" t="s">
        <v>112</v>
      </c>
      <c r="C1262" s="84" t="s">
        <v>283</v>
      </c>
      <c r="D1262" s="85">
        <v>58528</v>
      </c>
      <c r="E1262" s="85">
        <v>1428180</v>
      </c>
      <c r="F1262" s="86">
        <v>144262</v>
      </c>
      <c r="G1262" s="87">
        <v>10.101108</v>
      </c>
    </row>
    <row r="1263" spans="1:7" x14ac:dyDescent="0.25">
      <c r="A1263" s="84" t="s">
        <v>2384</v>
      </c>
      <c r="B1263" s="84" t="s">
        <v>112</v>
      </c>
      <c r="C1263" s="84" t="s">
        <v>281</v>
      </c>
      <c r="D1263" s="85">
        <v>187</v>
      </c>
      <c r="E1263" s="85">
        <v>2503</v>
      </c>
      <c r="F1263" s="86">
        <v>281</v>
      </c>
      <c r="G1263" s="87">
        <v>11.226528</v>
      </c>
    </row>
    <row r="1264" spans="1:7" x14ac:dyDescent="0.25">
      <c r="A1264" s="84" t="s">
        <v>1829</v>
      </c>
      <c r="B1264" s="84" t="s">
        <v>112</v>
      </c>
      <c r="C1264" s="84" t="s">
        <v>281</v>
      </c>
      <c r="D1264" s="85">
        <v>50599</v>
      </c>
      <c r="E1264" s="85">
        <v>884389</v>
      </c>
      <c r="F1264" s="86">
        <v>102274</v>
      </c>
      <c r="G1264" s="87">
        <v>11.564368</v>
      </c>
    </row>
    <row r="1265" spans="1:7" x14ac:dyDescent="0.25">
      <c r="A1265" s="84" t="s">
        <v>350</v>
      </c>
      <c r="B1265" s="84" t="s">
        <v>112</v>
      </c>
      <c r="C1265" s="84" t="s">
        <v>351</v>
      </c>
      <c r="D1265" s="85">
        <v>23</v>
      </c>
      <c r="E1265" s="85">
        <v>5904919</v>
      </c>
      <c r="F1265" s="86">
        <v>236070.2</v>
      </c>
      <c r="G1265" s="87">
        <v>3.9978566999999998</v>
      </c>
    </row>
    <row r="1266" spans="1:7" x14ac:dyDescent="0.25">
      <c r="A1266" s="84" t="s">
        <v>1830</v>
      </c>
      <c r="B1266" s="84" t="s">
        <v>112</v>
      </c>
      <c r="C1266" s="84" t="s">
        <v>281</v>
      </c>
      <c r="D1266" s="85">
        <v>19845</v>
      </c>
      <c r="E1266" s="85">
        <v>362881</v>
      </c>
      <c r="F1266" s="86">
        <v>41306</v>
      </c>
      <c r="G1266" s="87">
        <v>11.382795</v>
      </c>
    </row>
    <row r="1267" spans="1:7" x14ac:dyDescent="0.25">
      <c r="A1267" s="84" t="s">
        <v>1831</v>
      </c>
      <c r="B1267" s="84" t="s">
        <v>112</v>
      </c>
      <c r="C1267" s="84" t="s">
        <v>283</v>
      </c>
      <c r="D1267" s="85">
        <v>8977</v>
      </c>
      <c r="E1267" s="85">
        <v>200322</v>
      </c>
      <c r="F1267" s="86">
        <v>20349</v>
      </c>
      <c r="G1267" s="87">
        <v>10.158144999999999</v>
      </c>
    </row>
    <row r="1268" spans="1:7" x14ac:dyDescent="0.25">
      <c r="A1268" s="84" t="s">
        <v>2385</v>
      </c>
      <c r="B1268" s="84" t="s">
        <v>112</v>
      </c>
      <c r="C1268" s="84" t="s">
        <v>281</v>
      </c>
      <c r="D1268" s="85">
        <v>28444</v>
      </c>
      <c r="E1268" s="85">
        <v>503197</v>
      </c>
      <c r="F1268" s="86">
        <v>56349</v>
      </c>
      <c r="G1268" s="87">
        <v>11.198199000000001</v>
      </c>
    </row>
    <row r="1269" spans="1:7" x14ac:dyDescent="0.25">
      <c r="A1269" s="84" t="s">
        <v>643</v>
      </c>
      <c r="B1269" s="84" t="s">
        <v>112</v>
      </c>
      <c r="C1269" s="84" t="s">
        <v>281</v>
      </c>
      <c r="D1269" s="85">
        <v>3241</v>
      </c>
      <c r="E1269" s="85">
        <v>45935</v>
      </c>
      <c r="F1269" s="86">
        <v>5814</v>
      </c>
      <c r="G1269" s="87">
        <v>12.657014999999999</v>
      </c>
    </row>
    <row r="1270" spans="1:7" x14ac:dyDescent="0.25">
      <c r="A1270" s="84" t="s">
        <v>1832</v>
      </c>
      <c r="B1270" s="84" t="s">
        <v>112</v>
      </c>
      <c r="C1270" s="84" t="s">
        <v>283</v>
      </c>
      <c r="D1270" s="85">
        <v>10982</v>
      </c>
      <c r="E1270" s="85">
        <v>270720</v>
      </c>
      <c r="F1270" s="86">
        <v>24628</v>
      </c>
      <c r="G1270" s="87">
        <v>9.0972221999999991</v>
      </c>
    </row>
    <row r="1271" spans="1:7" x14ac:dyDescent="0.25">
      <c r="A1271" s="84" t="s">
        <v>1833</v>
      </c>
      <c r="B1271" s="84" t="s">
        <v>112</v>
      </c>
      <c r="C1271" s="84" t="s">
        <v>281</v>
      </c>
      <c r="D1271" s="85">
        <v>50972</v>
      </c>
      <c r="E1271" s="85">
        <v>1010058</v>
      </c>
      <c r="F1271" s="86">
        <v>107393</v>
      </c>
      <c r="G1271" s="87">
        <v>10.63236</v>
      </c>
    </row>
    <row r="1272" spans="1:7" x14ac:dyDescent="0.25">
      <c r="A1272" s="84" t="s">
        <v>1834</v>
      </c>
      <c r="B1272" s="84" t="s">
        <v>112</v>
      </c>
      <c r="C1272" s="84" t="s">
        <v>281</v>
      </c>
      <c r="D1272" s="85">
        <v>119332</v>
      </c>
      <c r="E1272" s="85">
        <v>2283972</v>
      </c>
      <c r="F1272" s="86">
        <v>231304</v>
      </c>
      <c r="G1272" s="87">
        <v>10.127269999999999</v>
      </c>
    </row>
    <row r="1273" spans="1:7" x14ac:dyDescent="0.25">
      <c r="A1273" s="84" t="s">
        <v>1835</v>
      </c>
      <c r="B1273" s="84" t="s">
        <v>112</v>
      </c>
      <c r="C1273" s="84" t="s">
        <v>283</v>
      </c>
      <c r="D1273" s="85">
        <v>20576</v>
      </c>
      <c r="E1273" s="85">
        <v>435873</v>
      </c>
      <c r="F1273" s="86">
        <v>43320</v>
      </c>
      <c r="G1273" s="87">
        <v>9.9386747999999994</v>
      </c>
    </row>
    <row r="1274" spans="1:7" x14ac:dyDescent="0.25">
      <c r="A1274" s="84" t="s">
        <v>2408</v>
      </c>
      <c r="B1274" s="84" t="s">
        <v>115</v>
      </c>
      <c r="C1274" s="84" t="s">
        <v>2409</v>
      </c>
      <c r="D1274" s="85">
        <v>3124</v>
      </c>
      <c r="E1274" s="85">
        <v>37971</v>
      </c>
      <c r="F1274" s="86">
        <v>4627.5</v>
      </c>
      <c r="G1274" s="87">
        <v>12.186932000000001</v>
      </c>
    </row>
    <row r="1275" spans="1:7" x14ac:dyDescent="0.25">
      <c r="A1275" s="84" t="s">
        <v>1838</v>
      </c>
      <c r="B1275" s="84" t="s">
        <v>115</v>
      </c>
      <c r="C1275" s="84" t="s">
        <v>2409</v>
      </c>
      <c r="D1275" s="85">
        <v>35367</v>
      </c>
      <c r="E1275" s="85">
        <v>1237100</v>
      </c>
      <c r="F1275" s="86">
        <v>66599</v>
      </c>
      <c r="G1275" s="87">
        <v>5.3834774999999997</v>
      </c>
    </row>
    <row r="1276" spans="1:7" x14ac:dyDescent="0.25">
      <c r="A1276" s="84" t="s">
        <v>2410</v>
      </c>
      <c r="B1276" s="84" t="s">
        <v>115</v>
      </c>
      <c r="C1276" s="84" t="s">
        <v>2409</v>
      </c>
      <c r="D1276" s="85">
        <v>18568</v>
      </c>
      <c r="E1276" s="85">
        <v>336557</v>
      </c>
      <c r="F1276" s="86">
        <v>16708.099999999999</v>
      </c>
      <c r="G1276" s="87">
        <v>4.9644190999999998</v>
      </c>
    </row>
    <row r="1277" spans="1:7" x14ac:dyDescent="0.25">
      <c r="A1277" s="84" t="s">
        <v>1840</v>
      </c>
      <c r="B1277" s="84" t="s">
        <v>115</v>
      </c>
      <c r="C1277" s="84" t="s">
        <v>2409</v>
      </c>
      <c r="D1277" s="85">
        <v>7312</v>
      </c>
      <c r="E1277" s="85">
        <v>124124</v>
      </c>
      <c r="F1277" s="86">
        <v>15739</v>
      </c>
      <c r="G1277" s="87">
        <v>12.680062</v>
      </c>
    </row>
    <row r="1278" spans="1:7" x14ac:dyDescent="0.25">
      <c r="A1278" s="84" t="s">
        <v>1841</v>
      </c>
      <c r="B1278" s="84" t="s">
        <v>115</v>
      </c>
      <c r="C1278" s="84" t="s">
        <v>2409</v>
      </c>
      <c r="D1278" s="85">
        <v>146</v>
      </c>
      <c r="E1278" s="85">
        <v>3988</v>
      </c>
      <c r="F1278" s="86">
        <v>575</v>
      </c>
      <c r="G1278" s="87">
        <v>14.418255</v>
      </c>
    </row>
    <row r="1279" spans="1:7" x14ac:dyDescent="0.25">
      <c r="A1279" s="84" t="s">
        <v>2411</v>
      </c>
      <c r="B1279" s="84" t="s">
        <v>115</v>
      </c>
      <c r="C1279" s="84" t="s">
        <v>2409</v>
      </c>
      <c r="D1279" s="85">
        <v>7640</v>
      </c>
      <c r="E1279" s="85">
        <v>202353</v>
      </c>
      <c r="F1279" s="86">
        <v>12358</v>
      </c>
      <c r="G1279" s="87">
        <v>6.1071494</v>
      </c>
    </row>
    <row r="1280" spans="1:7" x14ac:dyDescent="0.25">
      <c r="A1280" s="84" t="s">
        <v>1843</v>
      </c>
      <c r="B1280" s="84" t="s">
        <v>115</v>
      </c>
      <c r="C1280" s="84" t="s">
        <v>2409</v>
      </c>
      <c r="D1280" s="85">
        <v>442768</v>
      </c>
      <c r="E1280" s="85">
        <v>5884803</v>
      </c>
      <c r="F1280" s="86">
        <v>661683</v>
      </c>
      <c r="G1280" s="87">
        <v>11.243928</v>
      </c>
    </row>
    <row r="1281" spans="1:7" x14ac:dyDescent="0.25">
      <c r="A1281" s="84" t="s">
        <v>1844</v>
      </c>
      <c r="B1281" s="84" t="s">
        <v>115</v>
      </c>
      <c r="C1281" s="84" t="s">
        <v>2409</v>
      </c>
      <c r="D1281" s="85">
        <v>12343</v>
      </c>
      <c r="E1281" s="85">
        <v>629343</v>
      </c>
      <c r="F1281" s="86">
        <v>56896.7</v>
      </c>
      <c r="G1281" s="87">
        <v>9.0406502999999994</v>
      </c>
    </row>
    <row r="1282" spans="1:7" x14ac:dyDescent="0.25">
      <c r="A1282" s="84" t="s">
        <v>1845</v>
      </c>
      <c r="B1282" s="84" t="s">
        <v>115</v>
      </c>
      <c r="C1282" s="84" t="s">
        <v>2409</v>
      </c>
      <c r="D1282" s="85">
        <v>73</v>
      </c>
      <c r="E1282" s="85">
        <v>505</v>
      </c>
      <c r="F1282" s="86">
        <v>43.1</v>
      </c>
      <c r="G1282" s="87">
        <v>8.5346534999999992</v>
      </c>
    </row>
    <row r="1283" spans="1:7" x14ac:dyDescent="0.25">
      <c r="A1283" s="84" t="s">
        <v>1846</v>
      </c>
      <c r="B1283" s="84" t="s">
        <v>115</v>
      </c>
      <c r="C1283" s="84" t="s">
        <v>2409</v>
      </c>
      <c r="D1283" s="85">
        <v>1</v>
      </c>
      <c r="E1283" s="85">
        <v>165133</v>
      </c>
      <c r="F1283" s="86">
        <v>8262.9</v>
      </c>
      <c r="G1283" s="87">
        <v>5.0037848</v>
      </c>
    </row>
    <row r="1284" spans="1:7" x14ac:dyDescent="0.25">
      <c r="A1284" s="84" t="s">
        <v>1847</v>
      </c>
      <c r="B1284" s="84" t="s">
        <v>115</v>
      </c>
      <c r="C1284" s="84" t="s">
        <v>2409</v>
      </c>
      <c r="D1284" s="85">
        <v>99509</v>
      </c>
      <c r="E1284" s="85">
        <v>1518014</v>
      </c>
      <c r="F1284" s="86">
        <v>189706.9</v>
      </c>
      <c r="G1284" s="87">
        <v>12.497045</v>
      </c>
    </row>
    <row r="1285" spans="1:7" x14ac:dyDescent="0.25">
      <c r="A1285" s="84" t="s">
        <v>1848</v>
      </c>
      <c r="B1285" s="84" t="s">
        <v>115</v>
      </c>
      <c r="C1285" s="84" t="s">
        <v>283</v>
      </c>
      <c r="D1285" s="85">
        <v>510430</v>
      </c>
      <c r="E1285" s="85">
        <v>13087868</v>
      </c>
      <c r="F1285" s="86">
        <v>1178922.3</v>
      </c>
      <c r="G1285" s="87">
        <v>9.0077490000000004</v>
      </c>
    </row>
    <row r="1286" spans="1:7" x14ac:dyDescent="0.25">
      <c r="A1286" s="84" t="s">
        <v>1850</v>
      </c>
      <c r="B1286" s="84" t="s">
        <v>115</v>
      </c>
      <c r="C1286" s="84" t="s">
        <v>2409</v>
      </c>
      <c r="D1286" s="85">
        <v>3</v>
      </c>
      <c r="E1286" s="85">
        <v>119460</v>
      </c>
      <c r="F1286" s="86">
        <v>7087</v>
      </c>
      <c r="G1286" s="87">
        <v>5.9325296999999999</v>
      </c>
    </row>
    <row r="1287" spans="1:7" x14ac:dyDescent="0.25">
      <c r="A1287" s="84" t="s">
        <v>1851</v>
      </c>
      <c r="B1287" s="84" t="s">
        <v>115</v>
      </c>
      <c r="C1287" s="84" t="s">
        <v>281</v>
      </c>
      <c r="D1287" s="85">
        <v>8943</v>
      </c>
      <c r="E1287" s="85">
        <v>366121</v>
      </c>
      <c r="F1287" s="86">
        <v>32429.3</v>
      </c>
      <c r="G1287" s="87">
        <v>8.8575362000000002</v>
      </c>
    </row>
    <row r="1288" spans="1:7" x14ac:dyDescent="0.25">
      <c r="A1288" s="84" t="s">
        <v>1852</v>
      </c>
      <c r="B1288" s="84" t="s">
        <v>115</v>
      </c>
      <c r="C1288" s="84" t="s">
        <v>281</v>
      </c>
      <c r="D1288" s="85">
        <v>38084</v>
      </c>
      <c r="E1288" s="85">
        <v>645256</v>
      </c>
      <c r="F1288" s="86">
        <v>68210.399999999994</v>
      </c>
      <c r="G1288" s="87">
        <v>10.571059999999999</v>
      </c>
    </row>
    <row r="1289" spans="1:7" x14ac:dyDescent="0.25">
      <c r="A1289" s="84" t="s">
        <v>1853</v>
      </c>
      <c r="B1289" s="84" t="s">
        <v>115</v>
      </c>
      <c r="C1289" s="84" t="s">
        <v>281</v>
      </c>
      <c r="D1289" s="85">
        <v>12365</v>
      </c>
      <c r="E1289" s="85">
        <v>208568</v>
      </c>
      <c r="F1289" s="86">
        <v>23309.7</v>
      </c>
      <c r="G1289" s="87">
        <v>11.176067</v>
      </c>
    </row>
    <row r="1290" spans="1:7" x14ac:dyDescent="0.25">
      <c r="A1290" s="84" t="s">
        <v>1854</v>
      </c>
      <c r="B1290" s="84" t="s">
        <v>115</v>
      </c>
      <c r="C1290" s="84" t="s">
        <v>281</v>
      </c>
      <c r="D1290" s="85">
        <v>13128</v>
      </c>
      <c r="E1290" s="85">
        <v>255477</v>
      </c>
      <c r="F1290" s="86">
        <v>29193</v>
      </c>
      <c r="G1290" s="87">
        <v>11.42686</v>
      </c>
    </row>
    <row r="1291" spans="1:7" x14ac:dyDescent="0.25">
      <c r="A1291" s="84" t="s">
        <v>1855</v>
      </c>
      <c r="B1291" s="84" t="s">
        <v>115</v>
      </c>
      <c r="C1291" s="84" t="s">
        <v>281</v>
      </c>
      <c r="D1291" s="85">
        <v>106364</v>
      </c>
      <c r="E1291" s="85">
        <v>2347639</v>
      </c>
      <c r="F1291" s="86">
        <v>218793.2</v>
      </c>
      <c r="G1291" s="87">
        <v>9.3197123000000008</v>
      </c>
    </row>
    <row r="1292" spans="1:7" x14ac:dyDescent="0.25">
      <c r="A1292" s="84" t="s">
        <v>1857</v>
      </c>
      <c r="B1292" s="84" t="s">
        <v>115</v>
      </c>
      <c r="C1292" s="84" t="s">
        <v>281</v>
      </c>
      <c r="D1292" s="85">
        <v>38174</v>
      </c>
      <c r="E1292" s="85">
        <v>606801</v>
      </c>
      <c r="F1292" s="86">
        <v>69345.399999999994</v>
      </c>
      <c r="G1292" s="87">
        <v>11.42803</v>
      </c>
    </row>
    <row r="1293" spans="1:7" x14ac:dyDescent="0.25">
      <c r="A1293" s="84" t="s">
        <v>1859</v>
      </c>
      <c r="B1293" s="84" t="s">
        <v>115</v>
      </c>
      <c r="C1293" s="84" t="s">
        <v>2409</v>
      </c>
      <c r="D1293" s="85">
        <v>21161</v>
      </c>
      <c r="E1293" s="85">
        <v>958671</v>
      </c>
      <c r="F1293" s="86">
        <v>90479.9</v>
      </c>
      <c r="G1293" s="87">
        <v>9.4380553999999997</v>
      </c>
    </row>
    <row r="1294" spans="1:7" x14ac:dyDescent="0.25">
      <c r="A1294" s="84" t="s">
        <v>1860</v>
      </c>
      <c r="B1294" s="84" t="s">
        <v>115</v>
      </c>
      <c r="C1294" s="84" t="s">
        <v>2409</v>
      </c>
      <c r="D1294" s="85">
        <v>10668</v>
      </c>
      <c r="E1294" s="85">
        <v>120620</v>
      </c>
      <c r="F1294" s="86">
        <v>11967</v>
      </c>
      <c r="G1294" s="87">
        <v>9.9212402999999991</v>
      </c>
    </row>
    <row r="1295" spans="1:7" x14ac:dyDescent="0.25">
      <c r="A1295" s="84" t="s">
        <v>1861</v>
      </c>
      <c r="B1295" s="84" t="s">
        <v>115</v>
      </c>
      <c r="C1295" s="84" t="s">
        <v>283</v>
      </c>
      <c r="D1295" s="85">
        <v>52148</v>
      </c>
      <c r="E1295" s="85">
        <v>1208187</v>
      </c>
      <c r="F1295" s="86">
        <v>126070</v>
      </c>
      <c r="G1295" s="87">
        <v>10.434642999999999</v>
      </c>
    </row>
    <row r="1296" spans="1:7" x14ac:dyDescent="0.25">
      <c r="A1296" s="84" t="s">
        <v>2412</v>
      </c>
      <c r="B1296" s="84" t="s">
        <v>115</v>
      </c>
      <c r="C1296" s="84" t="s">
        <v>2409</v>
      </c>
      <c r="D1296" s="85">
        <v>2978</v>
      </c>
      <c r="E1296" s="85">
        <v>38393</v>
      </c>
      <c r="F1296" s="86">
        <v>1966.2</v>
      </c>
      <c r="G1296" s="87">
        <v>5.1212460999999996</v>
      </c>
    </row>
    <row r="1297" spans="1:7" x14ac:dyDescent="0.25">
      <c r="A1297" s="84" t="s">
        <v>1862</v>
      </c>
      <c r="B1297" s="84" t="s">
        <v>115</v>
      </c>
      <c r="C1297" s="84" t="s">
        <v>2409</v>
      </c>
      <c r="D1297" s="85">
        <v>126</v>
      </c>
      <c r="E1297" s="85">
        <v>10791249</v>
      </c>
      <c r="F1297" s="86">
        <v>481009</v>
      </c>
      <c r="G1297" s="87">
        <v>4.4573988</v>
      </c>
    </row>
    <row r="1298" spans="1:7" x14ac:dyDescent="0.25">
      <c r="A1298" s="84" t="s">
        <v>1863</v>
      </c>
      <c r="B1298" s="84" t="s">
        <v>115</v>
      </c>
      <c r="C1298" s="84" t="s">
        <v>2409</v>
      </c>
      <c r="D1298" s="85">
        <v>1</v>
      </c>
      <c r="E1298" s="85">
        <v>214623</v>
      </c>
      <c r="F1298" s="86">
        <v>6037</v>
      </c>
      <c r="G1298" s="87">
        <v>2.8128392999999998</v>
      </c>
    </row>
    <row r="1299" spans="1:7" x14ac:dyDescent="0.25">
      <c r="A1299" s="84" t="s">
        <v>1864</v>
      </c>
      <c r="B1299" s="84" t="s">
        <v>115</v>
      </c>
      <c r="C1299" s="84" t="s">
        <v>281</v>
      </c>
      <c r="D1299" s="85">
        <v>43002</v>
      </c>
      <c r="E1299" s="85">
        <v>651676</v>
      </c>
      <c r="F1299" s="86">
        <v>69024</v>
      </c>
      <c r="G1299" s="87">
        <v>10.591766</v>
      </c>
    </row>
    <row r="1300" spans="1:7" x14ac:dyDescent="0.25">
      <c r="A1300" s="84" t="s">
        <v>1865</v>
      </c>
      <c r="B1300" s="84" t="s">
        <v>115</v>
      </c>
      <c r="C1300" s="84" t="s">
        <v>2409</v>
      </c>
      <c r="D1300" s="85">
        <v>152229</v>
      </c>
      <c r="E1300" s="85">
        <v>4851933</v>
      </c>
      <c r="F1300" s="86">
        <v>432826.9</v>
      </c>
      <c r="G1300" s="87">
        <v>8.9207105999999996</v>
      </c>
    </row>
    <row r="1301" spans="1:7" x14ac:dyDescent="0.25">
      <c r="A1301" s="84" t="s">
        <v>2413</v>
      </c>
      <c r="B1301" s="84" t="s">
        <v>115</v>
      </c>
      <c r="C1301" s="84" t="s">
        <v>2409</v>
      </c>
      <c r="D1301" s="85">
        <v>32195</v>
      </c>
      <c r="E1301" s="85">
        <v>493436</v>
      </c>
      <c r="F1301" s="86">
        <v>51373</v>
      </c>
      <c r="G1301" s="87">
        <v>10.411279</v>
      </c>
    </row>
    <row r="1302" spans="1:7" x14ac:dyDescent="0.25">
      <c r="A1302" s="84" t="s">
        <v>1866</v>
      </c>
      <c r="B1302" s="84" t="s">
        <v>115</v>
      </c>
      <c r="C1302" s="84" t="s">
        <v>281</v>
      </c>
      <c r="D1302" s="85">
        <v>21452</v>
      </c>
      <c r="E1302" s="85">
        <v>411705</v>
      </c>
      <c r="F1302" s="86">
        <v>41650</v>
      </c>
      <c r="G1302" s="87">
        <v>10.116467</v>
      </c>
    </row>
    <row r="1303" spans="1:7" x14ac:dyDescent="0.25">
      <c r="A1303" s="84" t="s">
        <v>1868</v>
      </c>
      <c r="B1303" s="84" t="s">
        <v>115</v>
      </c>
      <c r="C1303" s="84" t="s">
        <v>283</v>
      </c>
      <c r="D1303" s="85">
        <v>8524</v>
      </c>
      <c r="E1303" s="85">
        <v>272250</v>
      </c>
      <c r="F1303" s="86">
        <v>19764</v>
      </c>
      <c r="G1303" s="87">
        <v>7.2595041</v>
      </c>
    </row>
    <row r="1304" spans="1:7" x14ac:dyDescent="0.25">
      <c r="A1304" s="84" t="s">
        <v>1869</v>
      </c>
      <c r="B1304" s="84" t="s">
        <v>115</v>
      </c>
      <c r="C1304" s="84" t="s">
        <v>283</v>
      </c>
      <c r="D1304" s="85">
        <v>62732</v>
      </c>
      <c r="E1304" s="85">
        <v>1448005</v>
      </c>
      <c r="F1304" s="86">
        <v>130444.3</v>
      </c>
      <c r="G1304" s="87">
        <v>9.0085531000000003</v>
      </c>
    </row>
    <row r="1305" spans="1:7" x14ac:dyDescent="0.25">
      <c r="A1305" s="84" t="s">
        <v>1870</v>
      </c>
      <c r="B1305" s="84" t="s">
        <v>115</v>
      </c>
      <c r="C1305" s="84" t="s">
        <v>283</v>
      </c>
      <c r="D1305" s="85">
        <v>43920</v>
      </c>
      <c r="E1305" s="85">
        <v>831868</v>
      </c>
      <c r="F1305" s="86">
        <v>100796</v>
      </c>
      <c r="G1305" s="87">
        <v>12.116826</v>
      </c>
    </row>
    <row r="1306" spans="1:7" x14ac:dyDescent="0.25">
      <c r="A1306" s="84" t="s">
        <v>1872</v>
      </c>
      <c r="B1306" s="84" t="s">
        <v>115</v>
      </c>
      <c r="C1306" s="84" t="s">
        <v>283</v>
      </c>
      <c r="D1306" s="85">
        <v>57197</v>
      </c>
      <c r="E1306" s="85">
        <v>1469155</v>
      </c>
      <c r="F1306" s="86">
        <v>176464</v>
      </c>
      <c r="G1306" s="87">
        <v>12.011258</v>
      </c>
    </row>
    <row r="1307" spans="1:7" x14ac:dyDescent="0.25">
      <c r="A1307" s="84" t="s">
        <v>1873</v>
      </c>
      <c r="B1307" s="84" t="s">
        <v>115</v>
      </c>
      <c r="C1307" s="84" t="s">
        <v>283</v>
      </c>
      <c r="D1307" s="85">
        <v>16530</v>
      </c>
      <c r="E1307" s="85">
        <v>348640</v>
      </c>
      <c r="F1307" s="86">
        <v>40665.9</v>
      </c>
      <c r="G1307" s="87">
        <v>11.664152</v>
      </c>
    </row>
    <row r="1308" spans="1:7" x14ac:dyDescent="0.25">
      <c r="A1308" s="84" t="s">
        <v>1875</v>
      </c>
      <c r="B1308" s="84" t="s">
        <v>115</v>
      </c>
      <c r="C1308" s="84" t="s">
        <v>283</v>
      </c>
      <c r="D1308" s="85">
        <v>72295</v>
      </c>
      <c r="E1308" s="85">
        <v>1957712</v>
      </c>
      <c r="F1308" s="86">
        <v>177304</v>
      </c>
      <c r="G1308" s="87">
        <v>9.0566948000000007</v>
      </c>
    </row>
    <row r="1309" spans="1:7" x14ac:dyDescent="0.25">
      <c r="A1309" s="84" t="s">
        <v>1876</v>
      </c>
      <c r="B1309" s="84" t="s">
        <v>115</v>
      </c>
      <c r="C1309" s="84" t="s">
        <v>283</v>
      </c>
      <c r="D1309" s="85">
        <v>28884</v>
      </c>
      <c r="E1309" s="85">
        <v>627778</v>
      </c>
      <c r="F1309" s="86">
        <v>81476.2</v>
      </c>
      <c r="G1309" s="87">
        <v>12.978505</v>
      </c>
    </row>
    <row r="1310" spans="1:7" x14ac:dyDescent="0.25">
      <c r="A1310" s="84" t="s">
        <v>1877</v>
      </c>
      <c r="B1310" s="84" t="s">
        <v>115</v>
      </c>
      <c r="C1310" s="84" t="s">
        <v>283</v>
      </c>
      <c r="D1310" s="85">
        <v>15565</v>
      </c>
      <c r="E1310" s="85">
        <v>484050</v>
      </c>
      <c r="F1310" s="86">
        <v>55039</v>
      </c>
      <c r="G1310" s="87">
        <v>11.370520000000001</v>
      </c>
    </row>
    <row r="1311" spans="1:7" x14ac:dyDescent="0.25">
      <c r="A1311" s="84" t="s">
        <v>1882</v>
      </c>
      <c r="B1311" s="84" t="s">
        <v>115</v>
      </c>
      <c r="C1311" s="84" t="s">
        <v>283</v>
      </c>
      <c r="D1311" s="85">
        <v>107447</v>
      </c>
      <c r="E1311" s="85">
        <v>2567048</v>
      </c>
      <c r="F1311" s="86">
        <v>213435.3</v>
      </c>
      <c r="G1311" s="87">
        <v>8.3144258000000004</v>
      </c>
    </row>
    <row r="1312" spans="1:7" x14ac:dyDescent="0.25">
      <c r="A1312" s="84" t="s">
        <v>1883</v>
      </c>
      <c r="B1312" s="84" t="s">
        <v>115</v>
      </c>
      <c r="C1312" s="84" t="s">
        <v>283</v>
      </c>
      <c r="D1312" s="85">
        <v>46924</v>
      </c>
      <c r="E1312" s="85">
        <v>1709615</v>
      </c>
      <c r="F1312" s="86">
        <v>138318.70000000001</v>
      </c>
      <c r="G1312" s="87">
        <v>8.0906344000000008</v>
      </c>
    </row>
    <row r="1313" spans="1:7" x14ac:dyDescent="0.25">
      <c r="A1313" s="84" t="s">
        <v>1884</v>
      </c>
      <c r="B1313" s="84" t="s">
        <v>115</v>
      </c>
      <c r="C1313" s="84" t="s">
        <v>283</v>
      </c>
      <c r="D1313" s="85">
        <v>871718</v>
      </c>
      <c r="E1313" s="85">
        <v>22184581</v>
      </c>
      <c r="F1313" s="86">
        <v>2164210</v>
      </c>
      <c r="G1313" s="87">
        <v>9.7554694000000008</v>
      </c>
    </row>
    <row r="1314" spans="1:7" x14ac:dyDescent="0.25">
      <c r="A1314" s="84" t="s">
        <v>1885</v>
      </c>
      <c r="B1314" s="84" t="s">
        <v>115</v>
      </c>
      <c r="C1314" s="84" t="s">
        <v>283</v>
      </c>
      <c r="D1314" s="85">
        <v>24892</v>
      </c>
      <c r="E1314" s="85">
        <v>609531</v>
      </c>
      <c r="F1314" s="86">
        <v>53321</v>
      </c>
      <c r="G1314" s="87">
        <v>8.7478733999999996</v>
      </c>
    </row>
    <row r="1315" spans="1:7" x14ac:dyDescent="0.25">
      <c r="A1315" s="84" t="s">
        <v>1886</v>
      </c>
      <c r="B1315" s="84" t="s">
        <v>115</v>
      </c>
      <c r="C1315" s="84" t="s">
        <v>283</v>
      </c>
      <c r="D1315" s="85">
        <v>8590</v>
      </c>
      <c r="E1315" s="85">
        <v>306655</v>
      </c>
      <c r="F1315" s="86">
        <v>28419</v>
      </c>
      <c r="G1315" s="87">
        <v>9.2674178000000005</v>
      </c>
    </row>
    <row r="1316" spans="1:7" x14ac:dyDescent="0.25">
      <c r="A1316" s="84" t="s">
        <v>1887</v>
      </c>
      <c r="B1316" s="84" t="s">
        <v>115</v>
      </c>
      <c r="C1316" s="84" t="s">
        <v>2409</v>
      </c>
      <c r="D1316" s="85">
        <v>1437</v>
      </c>
      <c r="E1316" s="85">
        <v>14541</v>
      </c>
      <c r="F1316" s="86">
        <v>2498.3000000000002</v>
      </c>
      <c r="G1316" s="87">
        <v>17.181073999999999</v>
      </c>
    </row>
    <row r="1317" spans="1:7" x14ac:dyDescent="0.25">
      <c r="A1317" s="84" t="s">
        <v>1889</v>
      </c>
      <c r="B1317" s="84" t="s">
        <v>115</v>
      </c>
      <c r="C1317" s="84" t="s">
        <v>281</v>
      </c>
      <c r="D1317" s="85">
        <v>17356</v>
      </c>
      <c r="E1317" s="85">
        <v>318199</v>
      </c>
      <c r="F1317" s="86">
        <v>30060</v>
      </c>
      <c r="G1317" s="87">
        <v>9.4469183999999995</v>
      </c>
    </row>
    <row r="1318" spans="1:7" x14ac:dyDescent="0.25">
      <c r="A1318" s="84" t="s">
        <v>1890</v>
      </c>
      <c r="B1318" s="84" t="s">
        <v>115</v>
      </c>
      <c r="C1318" s="84" t="s">
        <v>281</v>
      </c>
      <c r="D1318" s="85">
        <v>15329</v>
      </c>
      <c r="E1318" s="85">
        <v>409885</v>
      </c>
      <c r="F1318" s="86">
        <v>37260.699999999997</v>
      </c>
      <c r="G1318" s="87">
        <v>9.0905254000000006</v>
      </c>
    </row>
    <row r="1319" spans="1:7" x14ac:dyDescent="0.25">
      <c r="A1319" s="84" t="s">
        <v>1891</v>
      </c>
      <c r="B1319" s="84" t="s">
        <v>115</v>
      </c>
      <c r="C1319" s="84" t="s">
        <v>2409</v>
      </c>
      <c r="D1319" s="85">
        <v>2</v>
      </c>
      <c r="E1319" s="85">
        <v>107168</v>
      </c>
      <c r="F1319" s="86">
        <v>4865.7</v>
      </c>
      <c r="G1319" s="87">
        <v>4.5402545999999999</v>
      </c>
    </row>
    <row r="1320" spans="1:7" x14ac:dyDescent="0.25">
      <c r="A1320" s="84" t="s">
        <v>1892</v>
      </c>
      <c r="B1320" s="84" t="s">
        <v>115</v>
      </c>
      <c r="C1320" s="84" t="s">
        <v>2409</v>
      </c>
      <c r="D1320" s="85">
        <v>45669</v>
      </c>
      <c r="E1320" s="85">
        <v>534786</v>
      </c>
      <c r="F1320" s="86">
        <v>53812.800000000003</v>
      </c>
      <c r="G1320" s="87">
        <v>10.062492000000001</v>
      </c>
    </row>
    <row r="1321" spans="1:7" x14ac:dyDescent="0.25">
      <c r="A1321" s="84" t="s">
        <v>1894</v>
      </c>
      <c r="B1321" s="84" t="s">
        <v>115</v>
      </c>
      <c r="C1321" s="84" t="s">
        <v>2409</v>
      </c>
      <c r="D1321" s="85">
        <v>211427</v>
      </c>
      <c r="E1321" s="85">
        <v>12413119</v>
      </c>
      <c r="F1321" s="86">
        <v>933351.4</v>
      </c>
      <c r="G1321" s="87">
        <v>7.5190723999999998</v>
      </c>
    </row>
    <row r="1322" spans="1:7" x14ac:dyDescent="0.25">
      <c r="A1322" s="84" t="s">
        <v>1895</v>
      </c>
      <c r="B1322" s="84" t="s">
        <v>115</v>
      </c>
      <c r="C1322" s="84" t="s">
        <v>281</v>
      </c>
      <c r="D1322" s="85">
        <v>16686</v>
      </c>
      <c r="E1322" s="85">
        <v>429832</v>
      </c>
      <c r="F1322" s="86">
        <v>38130</v>
      </c>
      <c r="G1322" s="87">
        <v>8.8709077000000001</v>
      </c>
    </row>
    <row r="1323" spans="1:7" x14ac:dyDescent="0.25">
      <c r="A1323" s="84" t="s">
        <v>1897</v>
      </c>
      <c r="B1323" s="84" t="s">
        <v>115</v>
      </c>
      <c r="C1323" s="84" t="s">
        <v>281</v>
      </c>
      <c r="D1323" s="85">
        <v>14839</v>
      </c>
      <c r="E1323" s="85">
        <v>807292</v>
      </c>
      <c r="F1323" s="86">
        <v>59130.8</v>
      </c>
      <c r="G1323" s="87">
        <v>7.3245864000000003</v>
      </c>
    </row>
    <row r="1324" spans="1:7" x14ac:dyDescent="0.25">
      <c r="A1324" s="84" t="s">
        <v>1898</v>
      </c>
      <c r="B1324" s="84" t="s">
        <v>115</v>
      </c>
      <c r="C1324" s="84" t="s">
        <v>281</v>
      </c>
      <c r="D1324" s="85">
        <v>43613</v>
      </c>
      <c r="E1324" s="85">
        <v>785774</v>
      </c>
      <c r="F1324" s="86">
        <v>73543</v>
      </c>
      <c r="G1324" s="87">
        <v>9.3593069</v>
      </c>
    </row>
    <row r="1325" spans="1:7" x14ac:dyDescent="0.25">
      <c r="A1325" s="84" t="s">
        <v>1899</v>
      </c>
      <c r="B1325" s="84" t="s">
        <v>115</v>
      </c>
      <c r="C1325" s="84" t="s">
        <v>281</v>
      </c>
      <c r="D1325" s="85">
        <v>263950</v>
      </c>
      <c r="E1325" s="85">
        <v>5432976</v>
      </c>
      <c r="F1325" s="86">
        <v>509073.8</v>
      </c>
      <c r="G1325" s="87">
        <v>9.3700726999999997</v>
      </c>
    </row>
    <row r="1326" spans="1:7" x14ac:dyDescent="0.25">
      <c r="A1326" s="84" t="s">
        <v>2414</v>
      </c>
      <c r="B1326" s="84" t="s">
        <v>115</v>
      </c>
      <c r="C1326" s="84" t="s">
        <v>2409</v>
      </c>
      <c r="D1326" s="85">
        <v>71166</v>
      </c>
      <c r="E1326" s="85">
        <v>10788367</v>
      </c>
      <c r="F1326" s="86">
        <v>729432.8</v>
      </c>
      <c r="G1326" s="87">
        <v>6.7612902000000004</v>
      </c>
    </row>
    <row r="1327" spans="1:7" x14ac:dyDescent="0.25">
      <c r="A1327" s="84" t="s">
        <v>1900</v>
      </c>
      <c r="B1327" s="84" t="s">
        <v>115</v>
      </c>
      <c r="C1327" s="84" t="s">
        <v>2409</v>
      </c>
      <c r="D1327" s="85">
        <v>615455</v>
      </c>
      <c r="E1327" s="85">
        <v>8081251</v>
      </c>
      <c r="F1327" s="86">
        <v>1016285.9</v>
      </c>
      <c r="G1327" s="87">
        <v>12.575849</v>
      </c>
    </row>
    <row r="1328" spans="1:7" x14ac:dyDescent="0.25">
      <c r="A1328" s="84" t="s">
        <v>1902</v>
      </c>
      <c r="B1328" s="84" t="s">
        <v>115</v>
      </c>
      <c r="C1328" s="84" t="s">
        <v>2409</v>
      </c>
      <c r="D1328" s="85">
        <v>131</v>
      </c>
      <c r="E1328" s="85">
        <v>22519004</v>
      </c>
      <c r="F1328" s="86">
        <v>884396</v>
      </c>
      <c r="G1328" s="87">
        <v>3.9273318000000002</v>
      </c>
    </row>
    <row r="1329" spans="1:7" x14ac:dyDescent="0.25">
      <c r="A1329" s="84" t="s">
        <v>1903</v>
      </c>
      <c r="B1329" s="84" t="s">
        <v>115</v>
      </c>
      <c r="C1329" s="84" t="s">
        <v>2409</v>
      </c>
      <c r="D1329" s="85">
        <v>15358</v>
      </c>
      <c r="E1329" s="85">
        <v>11748676</v>
      </c>
      <c r="F1329" s="86">
        <v>759575.7</v>
      </c>
      <c r="G1329" s="87">
        <v>6.4652025000000002</v>
      </c>
    </row>
    <row r="1330" spans="1:7" x14ac:dyDescent="0.25">
      <c r="A1330" s="84" t="s">
        <v>1904</v>
      </c>
      <c r="B1330" s="84" t="s">
        <v>115</v>
      </c>
      <c r="C1330" s="84" t="s">
        <v>2409</v>
      </c>
      <c r="D1330" s="85">
        <v>27484</v>
      </c>
      <c r="E1330" s="85">
        <v>487309</v>
      </c>
      <c r="F1330" s="86">
        <v>48469.8</v>
      </c>
      <c r="G1330" s="87">
        <v>9.9464199999999998</v>
      </c>
    </row>
    <row r="1331" spans="1:7" x14ac:dyDescent="0.25">
      <c r="A1331" s="84" t="s">
        <v>1488</v>
      </c>
      <c r="B1331" s="84" t="s">
        <v>115</v>
      </c>
      <c r="C1331" s="84" t="s">
        <v>278</v>
      </c>
      <c r="D1331" s="85">
        <v>335398</v>
      </c>
      <c r="E1331" s="85">
        <v>6393492</v>
      </c>
      <c r="F1331" s="86">
        <v>611071</v>
      </c>
      <c r="G1331" s="87">
        <v>9.5577033999999994</v>
      </c>
    </row>
    <row r="1332" spans="1:7" x14ac:dyDescent="0.25">
      <c r="A1332" s="84" t="s">
        <v>1905</v>
      </c>
      <c r="B1332" s="84" t="s">
        <v>115</v>
      </c>
      <c r="C1332" s="84" t="s">
        <v>2409</v>
      </c>
      <c r="D1332" s="85">
        <v>29</v>
      </c>
      <c r="E1332" s="85">
        <v>3776</v>
      </c>
      <c r="F1332" s="86">
        <v>97.6</v>
      </c>
      <c r="G1332" s="87">
        <v>2.5847457999999999</v>
      </c>
    </row>
    <row r="1333" spans="1:7" x14ac:dyDescent="0.25">
      <c r="A1333" s="84" t="s">
        <v>1907</v>
      </c>
      <c r="B1333" s="84" t="s">
        <v>115</v>
      </c>
      <c r="C1333" s="84" t="s">
        <v>278</v>
      </c>
      <c r="D1333" s="85">
        <v>468749</v>
      </c>
      <c r="E1333" s="85">
        <v>18676578</v>
      </c>
      <c r="F1333" s="86">
        <v>1330327</v>
      </c>
      <c r="G1333" s="87">
        <v>7.1229696999999996</v>
      </c>
    </row>
    <row r="1334" spans="1:7" x14ac:dyDescent="0.25">
      <c r="A1334" s="84" t="s">
        <v>1908</v>
      </c>
      <c r="B1334" s="84" t="s">
        <v>115</v>
      </c>
      <c r="C1334" s="84" t="s">
        <v>2409</v>
      </c>
      <c r="D1334" s="85">
        <v>71723</v>
      </c>
      <c r="E1334" s="85">
        <v>1885545</v>
      </c>
      <c r="F1334" s="86">
        <v>198949</v>
      </c>
      <c r="G1334" s="87">
        <v>10.551273</v>
      </c>
    </row>
    <row r="1335" spans="1:7" x14ac:dyDescent="0.25">
      <c r="A1335" s="84" t="s">
        <v>2415</v>
      </c>
      <c r="B1335" s="84" t="s">
        <v>115</v>
      </c>
      <c r="C1335" s="84" t="s">
        <v>2409</v>
      </c>
      <c r="D1335" s="85">
        <v>258</v>
      </c>
      <c r="E1335" s="85">
        <v>4184</v>
      </c>
      <c r="F1335" s="86">
        <v>367.8</v>
      </c>
      <c r="G1335" s="87">
        <v>8.7906309999999994</v>
      </c>
    </row>
    <row r="1336" spans="1:7" x14ac:dyDescent="0.25">
      <c r="A1336" s="84" t="s">
        <v>1911</v>
      </c>
      <c r="B1336" s="84" t="s">
        <v>115</v>
      </c>
      <c r="C1336" s="84" t="s">
        <v>281</v>
      </c>
      <c r="D1336" s="85">
        <v>74641</v>
      </c>
      <c r="E1336" s="85">
        <v>1290590</v>
      </c>
      <c r="F1336" s="86">
        <v>140533</v>
      </c>
      <c r="G1336" s="87">
        <v>10.889051</v>
      </c>
    </row>
    <row r="1337" spans="1:7" x14ac:dyDescent="0.25">
      <c r="A1337" s="84" t="s">
        <v>1912</v>
      </c>
      <c r="B1337" s="84" t="s">
        <v>115</v>
      </c>
      <c r="C1337" s="84" t="s">
        <v>281</v>
      </c>
      <c r="D1337" s="85">
        <v>15226</v>
      </c>
      <c r="E1337" s="85">
        <v>295288</v>
      </c>
      <c r="F1337" s="86">
        <v>39053</v>
      </c>
      <c r="G1337" s="87">
        <v>13.225394</v>
      </c>
    </row>
    <row r="1338" spans="1:7" x14ac:dyDescent="0.25">
      <c r="A1338" s="84" t="s">
        <v>2416</v>
      </c>
      <c r="B1338" s="84" t="s">
        <v>115</v>
      </c>
      <c r="C1338" s="84" t="s">
        <v>2409</v>
      </c>
      <c r="D1338" s="85">
        <v>1305</v>
      </c>
      <c r="E1338" s="85">
        <v>574084</v>
      </c>
      <c r="F1338" s="86">
        <v>44014</v>
      </c>
      <c r="G1338" s="87">
        <v>7.6668222999999998</v>
      </c>
    </row>
    <row r="1339" spans="1:7" x14ac:dyDescent="0.25">
      <c r="A1339" s="84" t="s">
        <v>1914</v>
      </c>
      <c r="B1339" s="84" t="s">
        <v>115</v>
      </c>
      <c r="C1339" s="84" t="s">
        <v>2409</v>
      </c>
      <c r="D1339" s="85">
        <v>86233</v>
      </c>
      <c r="E1339" s="85">
        <v>1336005</v>
      </c>
      <c r="F1339" s="86">
        <v>160963.79999999999</v>
      </c>
      <c r="G1339" s="87">
        <v>12.048144000000001</v>
      </c>
    </row>
    <row r="1340" spans="1:7" x14ac:dyDescent="0.25">
      <c r="A1340" s="84" t="s">
        <v>1915</v>
      </c>
      <c r="B1340" s="84" t="s">
        <v>115</v>
      </c>
      <c r="C1340" s="84" t="s">
        <v>281</v>
      </c>
      <c r="D1340" s="85">
        <v>62730</v>
      </c>
      <c r="E1340" s="85">
        <v>1075711</v>
      </c>
      <c r="F1340" s="86">
        <v>124124</v>
      </c>
      <c r="G1340" s="87">
        <v>11.538786999999999</v>
      </c>
    </row>
    <row r="1341" spans="1:7" x14ac:dyDescent="0.25">
      <c r="A1341" s="84" t="s">
        <v>1916</v>
      </c>
      <c r="B1341" s="84" t="s">
        <v>115</v>
      </c>
      <c r="C1341" s="84" t="s">
        <v>2409</v>
      </c>
      <c r="D1341" s="85">
        <v>359273</v>
      </c>
      <c r="E1341" s="85">
        <v>5639763</v>
      </c>
      <c r="F1341" s="86">
        <v>664188.19999999995</v>
      </c>
      <c r="G1341" s="87">
        <v>11.776880999999999</v>
      </c>
    </row>
    <row r="1342" spans="1:7" x14ac:dyDescent="0.25">
      <c r="A1342" s="84" t="s">
        <v>1917</v>
      </c>
      <c r="B1342" s="84" t="s">
        <v>115</v>
      </c>
      <c r="C1342" s="84" t="s">
        <v>281</v>
      </c>
      <c r="D1342" s="85">
        <v>5454</v>
      </c>
      <c r="E1342" s="85">
        <v>216148</v>
      </c>
      <c r="F1342" s="86">
        <v>21161</v>
      </c>
      <c r="G1342" s="87">
        <v>9.7900513</v>
      </c>
    </row>
    <row r="1343" spans="1:7" x14ac:dyDescent="0.25">
      <c r="A1343" s="84" t="s">
        <v>2417</v>
      </c>
      <c r="B1343" s="84" t="s">
        <v>115</v>
      </c>
      <c r="C1343" s="84" t="s">
        <v>2409</v>
      </c>
      <c r="D1343" s="85">
        <v>2697</v>
      </c>
      <c r="E1343" s="85">
        <v>44983</v>
      </c>
      <c r="F1343" s="86">
        <v>4169.7</v>
      </c>
      <c r="G1343" s="87">
        <v>9.2695018000000005</v>
      </c>
    </row>
    <row r="1344" spans="1:7" x14ac:dyDescent="0.25">
      <c r="A1344" s="84" t="s">
        <v>1918</v>
      </c>
      <c r="B1344" s="84" t="s">
        <v>115</v>
      </c>
      <c r="C1344" s="84" t="s">
        <v>2409</v>
      </c>
      <c r="D1344" s="85">
        <v>26193</v>
      </c>
      <c r="E1344" s="85">
        <v>416650</v>
      </c>
      <c r="F1344" s="86">
        <v>34580.9</v>
      </c>
      <c r="G1344" s="87">
        <v>8.2997479999999992</v>
      </c>
    </row>
    <row r="1345" spans="1:7" x14ac:dyDescent="0.25">
      <c r="A1345" s="84" t="s">
        <v>1919</v>
      </c>
      <c r="B1345" s="84" t="s">
        <v>115</v>
      </c>
      <c r="C1345" s="84" t="s">
        <v>281</v>
      </c>
      <c r="D1345" s="85">
        <v>88922</v>
      </c>
      <c r="E1345" s="85">
        <v>2671269</v>
      </c>
      <c r="F1345" s="86">
        <v>196655.1</v>
      </c>
      <c r="G1345" s="87">
        <v>7.3618606</v>
      </c>
    </row>
    <row r="1346" spans="1:7" x14ac:dyDescent="0.25">
      <c r="A1346" s="84" t="s">
        <v>1920</v>
      </c>
      <c r="B1346" s="84" t="s">
        <v>115</v>
      </c>
      <c r="C1346" s="84" t="s">
        <v>281</v>
      </c>
      <c r="D1346" s="85">
        <v>30362</v>
      </c>
      <c r="E1346" s="85">
        <v>582630</v>
      </c>
      <c r="F1346" s="86">
        <v>59508</v>
      </c>
      <c r="G1346" s="87">
        <v>10.213685999999999</v>
      </c>
    </row>
    <row r="1347" spans="1:7" x14ac:dyDescent="0.25">
      <c r="A1347" s="84" t="s">
        <v>1921</v>
      </c>
      <c r="B1347" s="84" t="s">
        <v>115</v>
      </c>
      <c r="C1347" s="84" t="s">
        <v>281</v>
      </c>
      <c r="D1347" s="85">
        <v>18720</v>
      </c>
      <c r="E1347" s="85">
        <v>242191</v>
      </c>
      <c r="F1347" s="86">
        <v>25458.6</v>
      </c>
      <c r="G1347" s="87">
        <v>10.511786000000001</v>
      </c>
    </row>
    <row r="1348" spans="1:7" x14ac:dyDescent="0.25">
      <c r="A1348" s="84" t="s">
        <v>1922</v>
      </c>
      <c r="B1348" s="84" t="s">
        <v>115</v>
      </c>
      <c r="C1348" s="84" t="s">
        <v>281</v>
      </c>
      <c r="D1348" s="85">
        <v>22673</v>
      </c>
      <c r="E1348" s="85">
        <v>478928</v>
      </c>
      <c r="F1348" s="86">
        <v>41446.400000000001</v>
      </c>
      <c r="G1348" s="87">
        <v>8.6539938999999997</v>
      </c>
    </row>
    <row r="1349" spans="1:7" x14ac:dyDescent="0.25">
      <c r="A1349" s="84" t="s">
        <v>1923</v>
      </c>
      <c r="B1349" s="84" t="s">
        <v>115</v>
      </c>
      <c r="C1349" s="84" t="s">
        <v>2409</v>
      </c>
      <c r="D1349" s="85">
        <v>6050</v>
      </c>
      <c r="E1349" s="85">
        <v>115177</v>
      </c>
      <c r="F1349" s="86">
        <v>7941.1</v>
      </c>
      <c r="G1349" s="87">
        <v>6.8946924999999997</v>
      </c>
    </row>
    <row r="1350" spans="1:7" x14ac:dyDescent="0.25">
      <c r="A1350" s="84" t="s">
        <v>1925</v>
      </c>
      <c r="B1350" s="84" t="s">
        <v>115</v>
      </c>
      <c r="C1350" s="84" t="s">
        <v>281</v>
      </c>
      <c r="D1350" s="85">
        <v>21952</v>
      </c>
      <c r="E1350" s="85">
        <v>362586</v>
      </c>
      <c r="F1350" s="86">
        <v>38100.9</v>
      </c>
      <c r="G1350" s="87">
        <v>10.508100000000001</v>
      </c>
    </row>
    <row r="1351" spans="1:7" x14ac:dyDescent="0.25">
      <c r="A1351" s="84" t="s">
        <v>1926</v>
      </c>
      <c r="B1351" s="84" t="s">
        <v>115</v>
      </c>
      <c r="C1351" s="84" t="s">
        <v>2409</v>
      </c>
      <c r="D1351" s="85">
        <v>42704</v>
      </c>
      <c r="E1351" s="85">
        <v>3662793</v>
      </c>
      <c r="F1351" s="86">
        <v>308372.7</v>
      </c>
      <c r="G1351" s="87">
        <v>8.4190588999999996</v>
      </c>
    </row>
    <row r="1352" spans="1:7" x14ac:dyDescent="0.25">
      <c r="A1352" s="84" t="s">
        <v>2418</v>
      </c>
      <c r="B1352" s="84" t="s">
        <v>115</v>
      </c>
      <c r="C1352" s="84" t="s">
        <v>2409</v>
      </c>
      <c r="D1352" s="85">
        <v>8987</v>
      </c>
      <c r="E1352" s="85">
        <v>88733</v>
      </c>
      <c r="F1352" s="86">
        <v>11485.7</v>
      </c>
      <c r="G1352" s="87">
        <v>12.944113</v>
      </c>
    </row>
    <row r="1353" spans="1:7" x14ac:dyDescent="0.25">
      <c r="A1353" s="84" t="s">
        <v>1927</v>
      </c>
      <c r="B1353" s="84" t="s">
        <v>115</v>
      </c>
      <c r="C1353" s="84" t="s">
        <v>2409</v>
      </c>
      <c r="D1353" s="85">
        <v>35219</v>
      </c>
      <c r="E1353" s="85">
        <v>468094</v>
      </c>
      <c r="F1353" s="86">
        <v>50827.7</v>
      </c>
      <c r="G1353" s="87">
        <v>10.858439000000001</v>
      </c>
    </row>
    <row r="1354" spans="1:7" x14ac:dyDescent="0.25">
      <c r="A1354" s="84" t="s">
        <v>1928</v>
      </c>
      <c r="B1354" s="84" t="s">
        <v>115</v>
      </c>
      <c r="C1354" s="84" t="s">
        <v>2409</v>
      </c>
      <c r="D1354" s="85">
        <v>39575</v>
      </c>
      <c r="E1354" s="85">
        <v>557172</v>
      </c>
      <c r="F1354" s="86">
        <v>58040.1</v>
      </c>
      <c r="G1354" s="87">
        <v>10.416909</v>
      </c>
    </row>
    <row r="1355" spans="1:7" x14ac:dyDescent="0.25">
      <c r="A1355" s="84" t="s">
        <v>1929</v>
      </c>
      <c r="B1355" s="84" t="s">
        <v>115</v>
      </c>
      <c r="C1355" s="84" t="s">
        <v>281</v>
      </c>
      <c r="D1355" s="85">
        <v>16671</v>
      </c>
      <c r="E1355" s="85">
        <v>773462</v>
      </c>
      <c r="F1355" s="86">
        <v>55636</v>
      </c>
      <c r="G1355" s="87">
        <v>7.1931136000000002</v>
      </c>
    </row>
    <row r="1356" spans="1:7" x14ac:dyDescent="0.25">
      <c r="A1356" s="84" t="s">
        <v>1930</v>
      </c>
      <c r="B1356" s="84" t="s">
        <v>115</v>
      </c>
      <c r="C1356" s="84" t="s">
        <v>281</v>
      </c>
      <c r="D1356" s="85">
        <v>23105</v>
      </c>
      <c r="E1356" s="85">
        <v>444064</v>
      </c>
      <c r="F1356" s="86">
        <v>45302.400000000001</v>
      </c>
      <c r="G1356" s="87">
        <v>10.201772999999999</v>
      </c>
    </row>
    <row r="1357" spans="1:7" x14ac:dyDescent="0.25">
      <c r="A1357" s="84" t="s">
        <v>1931</v>
      </c>
      <c r="B1357" s="84" t="s">
        <v>115</v>
      </c>
      <c r="C1357" s="84" t="s">
        <v>2409</v>
      </c>
      <c r="D1357" s="85">
        <v>214580</v>
      </c>
      <c r="E1357" s="85">
        <v>3224201</v>
      </c>
      <c r="F1357" s="86">
        <v>407649.8</v>
      </c>
      <c r="G1357" s="87">
        <v>12.643435999999999</v>
      </c>
    </row>
    <row r="1358" spans="1:7" x14ac:dyDescent="0.25">
      <c r="A1358" s="84" t="s">
        <v>1932</v>
      </c>
      <c r="B1358" s="84" t="s">
        <v>115</v>
      </c>
      <c r="C1358" s="84" t="s">
        <v>281</v>
      </c>
      <c r="D1358" s="85">
        <v>21327</v>
      </c>
      <c r="E1358" s="85">
        <v>1129899</v>
      </c>
      <c r="F1358" s="86">
        <v>91767</v>
      </c>
      <c r="G1358" s="87">
        <v>8.1216994000000007</v>
      </c>
    </row>
    <row r="1359" spans="1:7" x14ac:dyDescent="0.25">
      <c r="A1359" s="84" t="s">
        <v>1933</v>
      </c>
      <c r="B1359" s="84" t="s">
        <v>115</v>
      </c>
      <c r="C1359" s="84" t="s">
        <v>283</v>
      </c>
      <c r="D1359" s="85">
        <v>23306</v>
      </c>
      <c r="E1359" s="85">
        <v>496895</v>
      </c>
      <c r="F1359" s="86">
        <v>41321.4</v>
      </c>
      <c r="G1359" s="87">
        <v>8.3159218999999993</v>
      </c>
    </row>
    <row r="1360" spans="1:7" x14ac:dyDescent="0.25">
      <c r="A1360" s="84" t="s">
        <v>1935</v>
      </c>
      <c r="B1360" s="84" t="s">
        <v>115</v>
      </c>
      <c r="C1360" s="84" t="s">
        <v>281</v>
      </c>
      <c r="D1360" s="85">
        <v>12919</v>
      </c>
      <c r="E1360" s="85">
        <v>228640</v>
      </c>
      <c r="F1360" s="86">
        <v>22628</v>
      </c>
      <c r="G1360" s="87">
        <v>9.8967810000000007</v>
      </c>
    </row>
    <row r="1361" spans="1:7" x14ac:dyDescent="0.25">
      <c r="A1361" s="84" t="s">
        <v>1936</v>
      </c>
      <c r="B1361" s="84" t="s">
        <v>115</v>
      </c>
      <c r="C1361" s="84" t="s">
        <v>281</v>
      </c>
      <c r="D1361" s="85">
        <v>11479</v>
      </c>
      <c r="E1361" s="85">
        <v>371723</v>
      </c>
      <c r="F1361" s="86">
        <v>31132</v>
      </c>
      <c r="G1361" s="87">
        <v>8.3750534999999999</v>
      </c>
    </row>
    <row r="1362" spans="1:7" x14ac:dyDescent="0.25">
      <c r="A1362" s="84" t="s">
        <v>1492</v>
      </c>
      <c r="B1362" s="84" t="s">
        <v>115</v>
      </c>
      <c r="C1362" s="84" t="s">
        <v>281</v>
      </c>
      <c r="D1362" s="85">
        <v>5103</v>
      </c>
      <c r="E1362" s="85">
        <v>588615</v>
      </c>
      <c r="F1362" s="86">
        <v>40088</v>
      </c>
      <c r="G1362" s="87">
        <v>6.8105637999999997</v>
      </c>
    </row>
    <row r="1363" spans="1:7" x14ac:dyDescent="0.25">
      <c r="A1363" s="84" t="s">
        <v>1937</v>
      </c>
      <c r="B1363" s="84" t="s">
        <v>115</v>
      </c>
      <c r="C1363" s="84" t="s">
        <v>2409</v>
      </c>
      <c r="D1363" s="85">
        <v>21543</v>
      </c>
      <c r="E1363" s="85">
        <v>552021</v>
      </c>
      <c r="F1363" s="86">
        <v>59988.3</v>
      </c>
      <c r="G1363" s="87">
        <v>10.867032</v>
      </c>
    </row>
    <row r="1364" spans="1:7" x14ac:dyDescent="0.25">
      <c r="A1364" s="84" t="s">
        <v>1939</v>
      </c>
      <c r="B1364" s="84" t="s">
        <v>115</v>
      </c>
      <c r="C1364" s="84" t="s">
        <v>281</v>
      </c>
      <c r="D1364" s="85">
        <v>9374</v>
      </c>
      <c r="E1364" s="85">
        <v>284123</v>
      </c>
      <c r="F1364" s="86">
        <v>30369</v>
      </c>
      <c r="G1364" s="87">
        <v>10.688681000000001</v>
      </c>
    </row>
    <row r="1365" spans="1:7" x14ac:dyDescent="0.25">
      <c r="A1365" s="84" t="s">
        <v>1940</v>
      </c>
      <c r="B1365" s="84" t="s">
        <v>115</v>
      </c>
      <c r="C1365" s="84" t="s">
        <v>281</v>
      </c>
      <c r="D1365" s="85">
        <v>23104</v>
      </c>
      <c r="E1365" s="85">
        <v>778353</v>
      </c>
      <c r="F1365" s="86">
        <v>70853</v>
      </c>
      <c r="G1365" s="87">
        <v>9.1029391999999998</v>
      </c>
    </row>
    <row r="1366" spans="1:7" x14ac:dyDescent="0.25">
      <c r="A1366" s="84" t="s">
        <v>1941</v>
      </c>
      <c r="B1366" s="84" t="s">
        <v>115</v>
      </c>
      <c r="C1366" s="84" t="s">
        <v>2409</v>
      </c>
      <c r="D1366" s="85">
        <v>15376</v>
      </c>
      <c r="E1366" s="85">
        <v>10989096</v>
      </c>
      <c r="F1366" s="86">
        <v>618973</v>
      </c>
      <c r="G1366" s="87">
        <v>5.6326106999999999</v>
      </c>
    </row>
    <row r="1367" spans="1:7" x14ac:dyDescent="0.25">
      <c r="A1367" s="84" t="s">
        <v>1942</v>
      </c>
      <c r="B1367" s="84" t="s">
        <v>115</v>
      </c>
      <c r="C1367" s="84" t="s">
        <v>281</v>
      </c>
      <c r="D1367" s="85">
        <v>124549</v>
      </c>
      <c r="E1367" s="85">
        <v>2434699</v>
      </c>
      <c r="F1367" s="86">
        <v>224694.39999999999</v>
      </c>
      <c r="G1367" s="87">
        <v>9.2288368999999992</v>
      </c>
    </row>
    <row r="1368" spans="1:7" x14ac:dyDescent="0.25">
      <c r="A1368" s="84" t="s">
        <v>1944</v>
      </c>
      <c r="B1368" s="84" t="s">
        <v>115</v>
      </c>
      <c r="C1368" s="84" t="s">
        <v>281</v>
      </c>
      <c r="D1368" s="85">
        <v>34247</v>
      </c>
      <c r="E1368" s="85">
        <v>1392709</v>
      </c>
      <c r="F1368" s="86">
        <v>123846.5</v>
      </c>
      <c r="G1368" s="87">
        <v>8.8924894000000005</v>
      </c>
    </row>
    <row r="1369" spans="1:7" x14ac:dyDescent="0.25">
      <c r="A1369" s="84" t="s">
        <v>2419</v>
      </c>
      <c r="B1369" s="84" t="s">
        <v>115</v>
      </c>
      <c r="C1369" s="84" t="s">
        <v>2409</v>
      </c>
      <c r="D1369" s="85">
        <v>10476</v>
      </c>
      <c r="E1369" s="85">
        <v>187602</v>
      </c>
      <c r="F1369" s="86">
        <v>9924</v>
      </c>
      <c r="G1369" s="87">
        <v>5.2899222999999997</v>
      </c>
    </row>
    <row r="1370" spans="1:7" x14ac:dyDescent="0.25">
      <c r="A1370" s="84" t="s">
        <v>1946</v>
      </c>
      <c r="B1370" s="84" t="s">
        <v>115</v>
      </c>
      <c r="C1370" s="84" t="s">
        <v>281</v>
      </c>
      <c r="D1370" s="85">
        <v>33481</v>
      </c>
      <c r="E1370" s="85">
        <v>805078</v>
      </c>
      <c r="F1370" s="86">
        <v>78967.899999999994</v>
      </c>
      <c r="G1370" s="87">
        <v>9.8087266</v>
      </c>
    </row>
    <row r="1371" spans="1:7" x14ac:dyDescent="0.25">
      <c r="A1371" s="84" t="s">
        <v>1947</v>
      </c>
      <c r="B1371" s="84" t="s">
        <v>115</v>
      </c>
      <c r="C1371" s="84" t="s">
        <v>2409</v>
      </c>
      <c r="D1371" s="85">
        <v>15379</v>
      </c>
      <c r="E1371" s="85">
        <v>1999738</v>
      </c>
      <c r="F1371" s="86">
        <v>143170.70000000001</v>
      </c>
      <c r="G1371" s="87">
        <v>7.1594728999999999</v>
      </c>
    </row>
    <row r="1372" spans="1:7" x14ac:dyDescent="0.25">
      <c r="A1372" s="84" t="s">
        <v>2420</v>
      </c>
      <c r="B1372" s="84" t="s">
        <v>115</v>
      </c>
      <c r="C1372" s="84" t="s">
        <v>2409</v>
      </c>
      <c r="D1372" s="85">
        <v>1</v>
      </c>
      <c r="E1372" s="85">
        <v>0</v>
      </c>
      <c r="F1372" s="86">
        <v>20338</v>
      </c>
      <c r="G1372" s="87" t="s">
        <v>2189</v>
      </c>
    </row>
    <row r="1373" spans="1:7" x14ac:dyDescent="0.25">
      <c r="A1373" s="84" t="s">
        <v>1948</v>
      </c>
      <c r="B1373" s="84" t="s">
        <v>115</v>
      </c>
      <c r="C1373" s="84" t="s">
        <v>281</v>
      </c>
      <c r="D1373" s="85">
        <v>17307</v>
      </c>
      <c r="E1373" s="85">
        <v>532085</v>
      </c>
      <c r="F1373" s="86">
        <v>40300.1</v>
      </c>
      <c r="G1373" s="87">
        <v>7.5739966000000001</v>
      </c>
    </row>
    <row r="1374" spans="1:7" x14ac:dyDescent="0.25">
      <c r="A1374" s="84" t="s">
        <v>1949</v>
      </c>
      <c r="B1374" s="84" t="s">
        <v>115</v>
      </c>
      <c r="C1374" s="84" t="s">
        <v>281</v>
      </c>
      <c r="D1374" s="85">
        <v>20147</v>
      </c>
      <c r="E1374" s="85">
        <v>369665</v>
      </c>
      <c r="F1374" s="86">
        <v>34610.699999999997</v>
      </c>
      <c r="G1374" s="87">
        <v>9.3627202999999994</v>
      </c>
    </row>
    <row r="1375" spans="1:7" x14ac:dyDescent="0.25">
      <c r="A1375" s="84" t="s">
        <v>1950</v>
      </c>
      <c r="B1375" s="84" t="s">
        <v>115</v>
      </c>
      <c r="C1375" s="84" t="s">
        <v>2409</v>
      </c>
      <c r="D1375" s="85">
        <v>276133</v>
      </c>
      <c r="E1375" s="85">
        <v>9802936</v>
      </c>
      <c r="F1375" s="86">
        <v>831334.9</v>
      </c>
      <c r="G1375" s="87">
        <v>8.4804685000000006</v>
      </c>
    </row>
    <row r="1376" spans="1:7" x14ac:dyDescent="0.25">
      <c r="A1376" s="84" t="s">
        <v>1953</v>
      </c>
      <c r="B1376" s="84" t="s">
        <v>115</v>
      </c>
      <c r="C1376" s="84" t="s">
        <v>281</v>
      </c>
      <c r="D1376" s="85">
        <v>7122</v>
      </c>
      <c r="E1376" s="85">
        <v>372752</v>
      </c>
      <c r="F1376" s="86">
        <v>32634</v>
      </c>
      <c r="G1376" s="87">
        <v>8.7548826000000002</v>
      </c>
    </row>
    <row r="1377" spans="1:7" x14ac:dyDescent="0.25">
      <c r="A1377" s="84" t="s">
        <v>2421</v>
      </c>
      <c r="B1377" s="84" t="s">
        <v>115</v>
      </c>
      <c r="C1377" s="84" t="s">
        <v>281</v>
      </c>
      <c r="D1377" s="85">
        <v>44596</v>
      </c>
      <c r="E1377" s="85">
        <v>997403</v>
      </c>
      <c r="F1377" s="86">
        <v>89447</v>
      </c>
      <c r="G1377" s="87">
        <v>8.9679898999999992</v>
      </c>
    </row>
    <row r="1378" spans="1:7" x14ac:dyDescent="0.25">
      <c r="A1378" s="84" t="s">
        <v>1956</v>
      </c>
      <c r="B1378" s="84" t="s">
        <v>115</v>
      </c>
      <c r="C1378" s="84" t="s">
        <v>2409</v>
      </c>
      <c r="D1378" s="85">
        <v>62719</v>
      </c>
      <c r="E1378" s="85">
        <v>1500109</v>
      </c>
      <c r="F1378" s="86">
        <v>134502</v>
      </c>
      <c r="G1378" s="87">
        <v>8.9661484999999992</v>
      </c>
    </row>
    <row r="1379" spans="1:7" x14ac:dyDescent="0.25">
      <c r="A1379" s="84" t="s">
        <v>983</v>
      </c>
      <c r="B1379" s="84" t="s">
        <v>115</v>
      </c>
      <c r="C1379" s="84" t="s">
        <v>281</v>
      </c>
      <c r="D1379" s="85">
        <v>10806</v>
      </c>
      <c r="E1379" s="85">
        <v>199755</v>
      </c>
      <c r="F1379" s="86">
        <v>17688</v>
      </c>
      <c r="G1379" s="87">
        <v>8.8548472</v>
      </c>
    </row>
    <row r="1380" spans="1:7" x14ac:dyDescent="0.25">
      <c r="A1380" s="84" t="s">
        <v>1957</v>
      </c>
      <c r="B1380" s="84" t="s">
        <v>115</v>
      </c>
      <c r="C1380" s="84" t="s">
        <v>281</v>
      </c>
      <c r="D1380" s="85">
        <v>379832</v>
      </c>
      <c r="E1380" s="85">
        <v>6533473</v>
      </c>
      <c r="F1380" s="86">
        <v>630919.9</v>
      </c>
      <c r="G1380" s="87">
        <v>9.6567308000000001</v>
      </c>
    </row>
    <row r="1381" spans="1:7" x14ac:dyDescent="0.25">
      <c r="A1381" s="84" t="s">
        <v>1960</v>
      </c>
      <c r="B1381" s="84" t="s">
        <v>115</v>
      </c>
      <c r="C1381" s="84" t="s">
        <v>2409</v>
      </c>
      <c r="D1381" s="85">
        <v>13647</v>
      </c>
      <c r="E1381" s="85">
        <v>162924</v>
      </c>
      <c r="F1381" s="86">
        <v>11194.6</v>
      </c>
      <c r="G1381" s="87">
        <v>6.8710563999999996</v>
      </c>
    </row>
    <row r="1382" spans="1:7" x14ac:dyDescent="0.25">
      <c r="A1382" s="84" t="s">
        <v>1962</v>
      </c>
      <c r="B1382" s="84" t="s">
        <v>115</v>
      </c>
      <c r="C1382" s="84" t="s">
        <v>2409</v>
      </c>
      <c r="D1382" s="85">
        <v>178</v>
      </c>
      <c r="E1382" s="85">
        <v>519</v>
      </c>
      <c r="F1382" s="86">
        <v>53.7</v>
      </c>
      <c r="G1382" s="87">
        <v>10.346821</v>
      </c>
    </row>
    <row r="1383" spans="1:7" x14ac:dyDescent="0.25">
      <c r="A1383" s="84" t="s">
        <v>2422</v>
      </c>
      <c r="B1383" s="84" t="s">
        <v>115</v>
      </c>
      <c r="C1383" s="84" t="s">
        <v>2409</v>
      </c>
      <c r="D1383" s="85">
        <v>75356</v>
      </c>
      <c r="E1383" s="85">
        <v>1220110</v>
      </c>
      <c r="F1383" s="86">
        <v>128014</v>
      </c>
      <c r="G1383" s="87">
        <v>10.492005000000001</v>
      </c>
    </row>
    <row r="1384" spans="1:7" x14ac:dyDescent="0.25">
      <c r="A1384" s="84" t="s">
        <v>2423</v>
      </c>
      <c r="B1384" s="84" t="s">
        <v>115</v>
      </c>
      <c r="C1384" s="84" t="s">
        <v>2409</v>
      </c>
      <c r="D1384" s="85">
        <v>1404752</v>
      </c>
      <c r="E1384" s="85">
        <v>39602218</v>
      </c>
      <c r="F1384" s="86">
        <v>3880617.6</v>
      </c>
      <c r="G1384" s="87">
        <v>9.7989905999999998</v>
      </c>
    </row>
    <row r="1385" spans="1:7" x14ac:dyDescent="0.25">
      <c r="A1385" s="84" t="s">
        <v>2424</v>
      </c>
      <c r="B1385" s="84" t="s">
        <v>115</v>
      </c>
      <c r="C1385" s="84" t="s">
        <v>2409</v>
      </c>
      <c r="D1385" s="85">
        <v>7</v>
      </c>
      <c r="E1385" s="85">
        <v>1</v>
      </c>
      <c r="F1385" s="86">
        <v>0.3</v>
      </c>
      <c r="G1385" s="87">
        <v>30</v>
      </c>
    </row>
    <row r="1386" spans="1:7" x14ac:dyDescent="0.25">
      <c r="A1386" s="84" t="s">
        <v>1497</v>
      </c>
      <c r="B1386" s="84" t="s">
        <v>115</v>
      </c>
      <c r="C1386" s="84" t="s">
        <v>281</v>
      </c>
      <c r="D1386" s="85">
        <v>13506</v>
      </c>
      <c r="E1386" s="85">
        <v>461816</v>
      </c>
      <c r="F1386" s="86">
        <v>51523.7</v>
      </c>
      <c r="G1386" s="87">
        <v>11.156758999999999</v>
      </c>
    </row>
    <row r="1387" spans="1:7" x14ac:dyDescent="0.25">
      <c r="A1387" s="84" t="s">
        <v>1964</v>
      </c>
      <c r="B1387" s="84" t="s">
        <v>115</v>
      </c>
      <c r="C1387" s="84" t="s">
        <v>281</v>
      </c>
      <c r="D1387" s="85">
        <v>8013</v>
      </c>
      <c r="E1387" s="85">
        <v>717098</v>
      </c>
      <c r="F1387" s="86">
        <v>48139</v>
      </c>
      <c r="G1387" s="87">
        <v>6.7130295000000002</v>
      </c>
    </row>
    <row r="1388" spans="1:7" x14ac:dyDescent="0.25">
      <c r="A1388" s="84" t="s">
        <v>1965</v>
      </c>
      <c r="B1388" s="84" t="s">
        <v>115</v>
      </c>
      <c r="C1388" s="84" t="s">
        <v>281</v>
      </c>
      <c r="D1388" s="85">
        <v>22768</v>
      </c>
      <c r="E1388" s="85">
        <v>557438</v>
      </c>
      <c r="F1388" s="86">
        <v>52484</v>
      </c>
      <c r="G1388" s="87">
        <v>9.4152175000000007</v>
      </c>
    </row>
    <row r="1389" spans="1:7" x14ac:dyDescent="0.25">
      <c r="A1389" s="84" t="s">
        <v>2425</v>
      </c>
      <c r="B1389" s="84" t="s">
        <v>115</v>
      </c>
      <c r="C1389" s="84" t="s">
        <v>2409</v>
      </c>
      <c r="D1389" s="85">
        <v>409</v>
      </c>
      <c r="E1389" s="85">
        <v>15513</v>
      </c>
      <c r="F1389" s="86">
        <v>1728</v>
      </c>
      <c r="G1389" s="87">
        <v>11.139044999999999</v>
      </c>
    </row>
    <row r="1390" spans="1:7" x14ac:dyDescent="0.25">
      <c r="A1390" s="84" t="s">
        <v>1966</v>
      </c>
      <c r="B1390" s="84" t="s">
        <v>115</v>
      </c>
      <c r="C1390" s="84" t="s">
        <v>281</v>
      </c>
      <c r="D1390" s="85">
        <v>79583</v>
      </c>
      <c r="E1390" s="85">
        <v>1454093</v>
      </c>
      <c r="F1390" s="86">
        <v>161011</v>
      </c>
      <c r="G1390" s="87">
        <v>11.072951</v>
      </c>
    </row>
    <row r="1391" spans="1:7" x14ac:dyDescent="0.25">
      <c r="A1391" s="84" t="s">
        <v>1967</v>
      </c>
      <c r="B1391" s="84" t="s">
        <v>115</v>
      </c>
      <c r="C1391" s="84" t="s">
        <v>281</v>
      </c>
      <c r="D1391" s="85">
        <v>30148</v>
      </c>
      <c r="E1391" s="85">
        <v>688268</v>
      </c>
      <c r="F1391" s="86">
        <v>79867.5</v>
      </c>
      <c r="G1391" s="87">
        <v>11.604127999999999</v>
      </c>
    </row>
    <row r="1392" spans="1:7" x14ac:dyDescent="0.25">
      <c r="A1392" s="84" t="s">
        <v>1968</v>
      </c>
      <c r="B1392" s="84" t="s">
        <v>115</v>
      </c>
      <c r="C1392" s="84" t="s">
        <v>281</v>
      </c>
      <c r="D1392" s="85">
        <v>11812</v>
      </c>
      <c r="E1392" s="85">
        <v>268796</v>
      </c>
      <c r="F1392" s="86">
        <v>29183.3</v>
      </c>
      <c r="G1392" s="87">
        <v>10.857044</v>
      </c>
    </row>
    <row r="1393" spans="1:7" x14ac:dyDescent="0.25">
      <c r="A1393" s="84" t="s">
        <v>1969</v>
      </c>
      <c r="B1393" s="84" t="s">
        <v>115</v>
      </c>
      <c r="C1393" s="84" t="s">
        <v>2409</v>
      </c>
      <c r="D1393" s="85">
        <v>374</v>
      </c>
      <c r="E1393" s="85">
        <v>3658</v>
      </c>
      <c r="F1393" s="86">
        <v>557.29999999999995</v>
      </c>
      <c r="G1393" s="87">
        <v>15.235101</v>
      </c>
    </row>
    <row r="1394" spans="1:7" x14ac:dyDescent="0.25">
      <c r="A1394" s="84" t="s">
        <v>2426</v>
      </c>
      <c r="B1394" s="84" t="s">
        <v>115</v>
      </c>
      <c r="C1394" s="84" t="s">
        <v>2409</v>
      </c>
      <c r="D1394" s="85">
        <v>14</v>
      </c>
      <c r="E1394" s="85">
        <v>192</v>
      </c>
      <c r="F1394" s="86">
        <v>25.3</v>
      </c>
      <c r="G1394" s="87">
        <v>13.177083</v>
      </c>
    </row>
    <row r="1395" spans="1:7" x14ac:dyDescent="0.25">
      <c r="A1395" s="84" t="s">
        <v>408</v>
      </c>
      <c r="B1395" s="84" t="s">
        <v>115</v>
      </c>
      <c r="C1395" s="84" t="s">
        <v>392</v>
      </c>
      <c r="D1395" s="85">
        <v>8526</v>
      </c>
      <c r="E1395" s="85">
        <v>90712</v>
      </c>
      <c r="F1395" s="86">
        <v>10705.8</v>
      </c>
      <c r="G1395" s="87">
        <v>11.801966999999999</v>
      </c>
    </row>
    <row r="1396" spans="1:7" x14ac:dyDescent="0.25">
      <c r="A1396" s="84" t="s">
        <v>1971</v>
      </c>
      <c r="B1396" s="84" t="s">
        <v>115</v>
      </c>
      <c r="C1396" s="84" t="s">
        <v>281</v>
      </c>
      <c r="D1396" s="85">
        <v>63556</v>
      </c>
      <c r="E1396" s="85">
        <v>1594071</v>
      </c>
      <c r="F1396" s="86">
        <v>138266.6</v>
      </c>
      <c r="G1396" s="87">
        <v>8.6738043999999999</v>
      </c>
    </row>
    <row r="1397" spans="1:7" x14ac:dyDescent="0.25">
      <c r="A1397" s="84" t="s">
        <v>2427</v>
      </c>
      <c r="B1397" s="84" t="s">
        <v>115</v>
      </c>
      <c r="C1397" s="84" t="s">
        <v>2409</v>
      </c>
      <c r="D1397" s="85">
        <v>5657</v>
      </c>
      <c r="E1397" s="85">
        <v>143837</v>
      </c>
      <c r="F1397" s="86">
        <v>6558</v>
      </c>
      <c r="G1397" s="87">
        <v>4.5593275999999996</v>
      </c>
    </row>
    <row r="1398" spans="1:7" x14ac:dyDescent="0.25">
      <c r="A1398" s="84" t="s">
        <v>381</v>
      </c>
      <c r="B1398" s="84" t="s">
        <v>115</v>
      </c>
      <c r="C1398" s="84" t="s">
        <v>281</v>
      </c>
      <c r="D1398" s="85">
        <v>1113</v>
      </c>
      <c r="E1398" s="85">
        <v>20846</v>
      </c>
      <c r="F1398" s="86">
        <v>2133.6</v>
      </c>
      <c r="G1398" s="87">
        <v>10.235056999999999</v>
      </c>
    </row>
    <row r="1399" spans="1:7" x14ac:dyDescent="0.25">
      <c r="A1399" s="84" t="s">
        <v>1973</v>
      </c>
      <c r="B1399" s="84" t="s">
        <v>115</v>
      </c>
      <c r="C1399" s="84" t="s">
        <v>281</v>
      </c>
      <c r="D1399" s="85">
        <v>9918</v>
      </c>
      <c r="E1399" s="85">
        <v>276689</v>
      </c>
      <c r="F1399" s="86">
        <v>24199</v>
      </c>
      <c r="G1399" s="87">
        <v>8.7459205000000004</v>
      </c>
    </row>
    <row r="1400" spans="1:7" x14ac:dyDescent="0.25">
      <c r="A1400" s="84" t="s">
        <v>502</v>
      </c>
      <c r="B1400" s="84" t="s">
        <v>115</v>
      </c>
      <c r="C1400" s="84" t="s">
        <v>281</v>
      </c>
      <c r="D1400" s="85">
        <v>26</v>
      </c>
      <c r="E1400" s="85">
        <v>493</v>
      </c>
      <c r="F1400" s="86">
        <v>94.9</v>
      </c>
      <c r="G1400" s="87">
        <v>19.249493000000001</v>
      </c>
    </row>
    <row r="1401" spans="1:7" x14ac:dyDescent="0.25">
      <c r="A1401" s="84" t="s">
        <v>382</v>
      </c>
      <c r="B1401" s="84" t="s">
        <v>115</v>
      </c>
      <c r="C1401" s="84" t="s">
        <v>278</v>
      </c>
      <c r="D1401" s="85">
        <v>187482</v>
      </c>
      <c r="E1401" s="85">
        <v>6735474</v>
      </c>
      <c r="F1401" s="86">
        <v>551685.4</v>
      </c>
      <c r="G1401" s="87">
        <v>8.1907435</v>
      </c>
    </row>
    <row r="1402" spans="1:7" x14ac:dyDescent="0.25">
      <c r="A1402" s="84" t="s">
        <v>1501</v>
      </c>
      <c r="B1402" s="84" t="s">
        <v>115</v>
      </c>
      <c r="C1402" s="84" t="s">
        <v>278</v>
      </c>
      <c r="D1402" s="85">
        <v>272869</v>
      </c>
      <c r="E1402" s="85">
        <v>13286957</v>
      </c>
      <c r="F1402" s="86">
        <v>748030.4</v>
      </c>
      <c r="G1402" s="87">
        <v>5.6298097</v>
      </c>
    </row>
    <row r="1403" spans="1:7" x14ac:dyDescent="0.25">
      <c r="A1403" s="84" t="s">
        <v>1974</v>
      </c>
      <c r="B1403" s="84" t="s">
        <v>115</v>
      </c>
      <c r="C1403" s="84" t="s">
        <v>2409</v>
      </c>
      <c r="D1403" s="85">
        <v>39430</v>
      </c>
      <c r="E1403" s="85">
        <v>612911</v>
      </c>
      <c r="F1403" s="86">
        <v>71667</v>
      </c>
      <c r="G1403" s="87">
        <v>11.692888999999999</v>
      </c>
    </row>
    <row r="1404" spans="1:7" x14ac:dyDescent="0.25">
      <c r="A1404" s="84" t="s">
        <v>2428</v>
      </c>
      <c r="B1404" s="84" t="s">
        <v>115</v>
      </c>
      <c r="C1404" s="84" t="s">
        <v>2409</v>
      </c>
      <c r="D1404" s="85">
        <v>256061</v>
      </c>
      <c r="E1404" s="85">
        <v>3821108</v>
      </c>
      <c r="F1404" s="86">
        <v>487058</v>
      </c>
      <c r="G1404" s="87">
        <v>12.746511999999999</v>
      </c>
    </row>
    <row r="1405" spans="1:7" x14ac:dyDescent="0.25">
      <c r="A1405" s="84" t="s">
        <v>1977</v>
      </c>
      <c r="B1405" s="84" t="s">
        <v>115</v>
      </c>
      <c r="C1405" s="84" t="s">
        <v>2409</v>
      </c>
      <c r="D1405" s="85">
        <v>54474</v>
      </c>
      <c r="E1405" s="85">
        <v>1989654</v>
      </c>
      <c r="F1405" s="86">
        <v>170722</v>
      </c>
      <c r="G1405" s="87">
        <v>8.5804869000000004</v>
      </c>
    </row>
    <row r="1406" spans="1:7" x14ac:dyDescent="0.25">
      <c r="A1406" s="84" t="s">
        <v>414</v>
      </c>
      <c r="B1406" s="84" t="s">
        <v>115</v>
      </c>
      <c r="C1406" s="84" t="s">
        <v>392</v>
      </c>
      <c r="D1406" s="85">
        <v>1401</v>
      </c>
      <c r="E1406" s="85">
        <v>21159</v>
      </c>
      <c r="F1406" s="86">
        <v>2861.2</v>
      </c>
      <c r="G1406" s="87">
        <v>13.522378</v>
      </c>
    </row>
    <row r="1407" spans="1:7" x14ac:dyDescent="0.25">
      <c r="A1407" s="84" t="s">
        <v>415</v>
      </c>
      <c r="B1407" s="84" t="s">
        <v>115</v>
      </c>
      <c r="C1407" s="84" t="s">
        <v>392</v>
      </c>
      <c r="D1407" s="85">
        <v>2775</v>
      </c>
      <c r="E1407" s="85">
        <v>28985</v>
      </c>
      <c r="F1407" s="86">
        <v>4861.6000000000004</v>
      </c>
      <c r="G1407" s="87">
        <v>16.772814</v>
      </c>
    </row>
    <row r="1408" spans="1:7" x14ac:dyDescent="0.25">
      <c r="A1408" s="84" t="s">
        <v>1979</v>
      </c>
      <c r="B1408" s="84" t="s">
        <v>115</v>
      </c>
      <c r="C1408" s="84" t="s">
        <v>2409</v>
      </c>
      <c r="D1408" s="85">
        <v>1644172</v>
      </c>
      <c r="E1408" s="85">
        <v>44345344</v>
      </c>
      <c r="F1408" s="86">
        <v>4454986.8</v>
      </c>
      <c r="G1408" s="87">
        <v>10.046120999999999</v>
      </c>
    </row>
    <row r="1409" spans="1:7" x14ac:dyDescent="0.25">
      <c r="A1409" s="84" t="s">
        <v>2429</v>
      </c>
      <c r="B1409" s="84" t="s">
        <v>115</v>
      </c>
      <c r="C1409" s="84" t="s">
        <v>2409</v>
      </c>
      <c r="D1409" s="85">
        <v>36916</v>
      </c>
      <c r="E1409" s="85">
        <v>1534197</v>
      </c>
      <c r="F1409" s="86">
        <v>134864.6</v>
      </c>
      <c r="G1409" s="87">
        <v>8.7905660000000001</v>
      </c>
    </row>
    <row r="1410" spans="1:7" x14ac:dyDescent="0.25">
      <c r="A1410" s="84" t="s">
        <v>1981</v>
      </c>
      <c r="B1410" s="84" t="s">
        <v>115</v>
      </c>
      <c r="C1410" s="84" t="s">
        <v>281</v>
      </c>
      <c r="D1410" s="85">
        <v>18434</v>
      </c>
      <c r="E1410" s="85">
        <v>348115</v>
      </c>
      <c r="F1410" s="86">
        <v>44994</v>
      </c>
      <c r="G1410" s="87">
        <v>12.925039</v>
      </c>
    </row>
    <row r="1411" spans="1:7" x14ac:dyDescent="0.25">
      <c r="A1411" s="84" t="s">
        <v>2430</v>
      </c>
      <c r="B1411" s="84" t="s">
        <v>115</v>
      </c>
      <c r="C1411" s="84" t="s">
        <v>2409</v>
      </c>
      <c r="D1411" s="85">
        <v>186</v>
      </c>
      <c r="E1411" s="85">
        <v>6693067</v>
      </c>
      <c r="F1411" s="86">
        <v>214134.5</v>
      </c>
      <c r="G1411" s="87">
        <v>3.1993478999999998</v>
      </c>
    </row>
    <row r="1412" spans="1:7" x14ac:dyDescent="0.25">
      <c r="A1412" s="84" t="s">
        <v>416</v>
      </c>
      <c r="B1412" s="84" t="s">
        <v>115</v>
      </c>
      <c r="C1412" s="84" t="s">
        <v>392</v>
      </c>
      <c r="D1412" s="85">
        <v>2</v>
      </c>
      <c r="E1412" s="85">
        <v>939</v>
      </c>
      <c r="F1412" s="86">
        <v>60.8</v>
      </c>
      <c r="G1412" s="87">
        <v>6.4749733999999997</v>
      </c>
    </row>
    <row r="1413" spans="1:7" x14ac:dyDescent="0.25">
      <c r="A1413" s="84" t="s">
        <v>1984</v>
      </c>
      <c r="B1413" s="84" t="s">
        <v>115</v>
      </c>
      <c r="C1413" s="84" t="s">
        <v>2409</v>
      </c>
      <c r="D1413" s="85">
        <v>512</v>
      </c>
      <c r="E1413" s="85">
        <v>4812021</v>
      </c>
      <c r="F1413" s="86">
        <v>346204</v>
      </c>
      <c r="G1413" s="87">
        <v>7.1945654000000001</v>
      </c>
    </row>
    <row r="1414" spans="1:7" x14ac:dyDescent="0.25">
      <c r="A1414" s="84" t="s">
        <v>1985</v>
      </c>
      <c r="B1414" s="84" t="s">
        <v>115</v>
      </c>
      <c r="C1414" s="84" t="s">
        <v>2409</v>
      </c>
      <c r="D1414" s="85">
        <v>591</v>
      </c>
      <c r="E1414" s="85">
        <v>1523874</v>
      </c>
      <c r="F1414" s="86">
        <v>114397.8</v>
      </c>
      <c r="G1414" s="87">
        <v>7.5070379999999997</v>
      </c>
    </row>
    <row r="1415" spans="1:7" x14ac:dyDescent="0.25">
      <c r="A1415" s="84" t="s">
        <v>1986</v>
      </c>
      <c r="B1415" s="84" t="s">
        <v>115</v>
      </c>
      <c r="C1415" s="84" t="s">
        <v>2409</v>
      </c>
      <c r="D1415" s="85">
        <v>40417</v>
      </c>
      <c r="E1415" s="85">
        <v>835559</v>
      </c>
      <c r="F1415" s="86">
        <v>48528</v>
      </c>
      <c r="G1415" s="87">
        <v>5.8078484000000001</v>
      </c>
    </row>
    <row r="1416" spans="1:7" x14ac:dyDescent="0.25">
      <c r="A1416" s="84" t="s">
        <v>2431</v>
      </c>
      <c r="B1416" s="84" t="s">
        <v>115</v>
      </c>
      <c r="C1416" s="84" t="s">
        <v>2409</v>
      </c>
      <c r="D1416" s="85">
        <v>176</v>
      </c>
      <c r="E1416" s="85">
        <v>2457</v>
      </c>
      <c r="F1416" s="86">
        <v>266</v>
      </c>
      <c r="G1416" s="87">
        <v>10.826211000000001</v>
      </c>
    </row>
    <row r="1417" spans="1:7" x14ac:dyDescent="0.25">
      <c r="A1417" s="84" t="s">
        <v>1987</v>
      </c>
      <c r="B1417" s="84" t="s">
        <v>115</v>
      </c>
      <c r="C1417" s="84" t="s">
        <v>2409</v>
      </c>
      <c r="D1417" s="85">
        <v>5</v>
      </c>
      <c r="E1417" s="85">
        <v>617577</v>
      </c>
      <c r="F1417" s="86">
        <v>27359.4</v>
      </c>
      <c r="G1417" s="87">
        <v>4.4301196000000003</v>
      </c>
    </row>
    <row r="1418" spans="1:7" x14ac:dyDescent="0.25">
      <c r="A1418" s="84" t="s">
        <v>2370</v>
      </c>
      <c r="B1418" s="84" t="s">
        <v>115</v>
      </c>
      <c r="C1418" s="84" t="s">
        <v>281</v>
      </c>
      <c r="D1418" s="85">
        <v>375</v>
      </c>
      <c r="E1418" s="85">
        <v>13253</v>
      </c>
      <c r="F1418" s="86">
        <v>1814.2</v>
      </c>
      <c r="G1418" s="87">
        <v>13.688976</v>
      </c>
    </row>
    <row r="1419" spans="1:7" x14ac:dyDescent="0.25">
      <c r="A1419" s="84" t="s">
        <v>2432</v>
      </c>
      <c r="B1419" s="84" t="s">
        <v>115</v>
      </c>
      <c r="C1419" s="84" t="s">
        <v>281</v>
      </c>
      <c r="D1419" s="85">
        <v>120579</v>
      </c>
      <c r="E1419" s="85">
        <v>2863900</v>
      </c>
      <c r="F1419" s="86">
        <v>245492.6</v>
      </c>
      <c r="G1419" s="87">
        <v>8.5719683</v>
      </c>
    </row>
    <row r="1420" spans="1:7" x14ac:dyDescent="0.25">
      <c r="A1420" s="84" t="s">
        <v>1988</v>
      </c>
      <c r="B1420" s="84" t="s">
        <v>115</v>
      </c>
      <c r="C1420" s="84" t="s">
        <v>2409</v>
      </c>
      <c r="D1420" s="85">
        <v>136750</v>
      </c>
      <c r="E1420" s="85">
        <v>2270601</v>
      </c>
      <c r="F1420" s="86">
        <v>218370.7</v>
      </c>
      <c r="G1420" s="87">
        <v>9.6173084000000006</v>
      </c>
    </row>
    <row r="1421" spans="1:7" x14ac:dyDescent="0.25">
      <c r="A1421" s="84" t="s">
        <v>1989</v>
      </c>
      <c r="B1421" s="84" t="s">
        <v>115</v>
      </c>
      <c r="C1421" s="84" t="s">
        <v>281</v>
      </c>
      <c r="D1421" s="85">
        <v>74219</v>
      </c>
      <c r="E1421" s="85">
        <v>1298720</v>
      </c>
      <c r="F1421" s="86">
        <v>143283</v>
      </c>
      <c r="G1421" s="87">
        <v>11.032632</v>
      </c>
    </row>
    <row r="1422" spans="1:7" x14ac:dyDescent="0.25">
      <c r="A1422" s="84" t="s">
        <v>1990</v>
      </c>
      <c r="B1422" s="84" t="s">
        <v>115</v>
      </c>
      <c r="C1422" s="84" t="s">
        <v>2409</v>
      </c>
      <c r="D1422" s="85">
        <v>309713</v>
      </c>
      <c r="E1422" s="85">
        <v>6761116</v>
      </c>
      <c r="F1422" s="86">
        <v>701528.1</v>
      </c>
      <c r="G1422" s="87">
        <v>10.375921999999999</v>
      </c>
    </row>
    <row r="1423" spans="1:7" x14ac:dyDescent="0.25">
      <c r="A1423" s="84" t="s">
        <v>1991</v>
      </c>
      <c r="B1423" s="84" t="s">
        <v>115</v>
      </c>
      <c r="C1423" s="84" t="s">
        <v>281</v>
      </c>
      <c r="D1423" s="85">
        <v>90621</v>
      </c>
      <c r="E1423" s="85">
        <v>2416323</v>
      </c>
      <c r="F1423" s="86">
        <v>189244.7</v>
      </c>
      <c r="G1423" s="87">
        <v>7.8319289000000003</v>
      </c>
    </row>
    <row r="1424" spans="1:7" x14ac:dyDescent="0.25">
      <c r="A1424" s="84" t="s">
        <v>1992</v>
      </c>
      <c r="B1424" s="84" t="s">
        <v>115</v>
      </c>
      <c r="C1424" s="84" t="s">
        <v>281</v>
      </c>
      <c r="D1424" s="85">
        <v>47767</v>
      </c>
      <c r="E1424" s="85">
        <v>879168</v>
      </c>
      <c r="F1424" s="86">
        <v>85926</v>
      </c>
      <c r="G1424" s="87">
        <v>9.7735585999999994</v>
      </c>
    </row>
    <row r="1425" spans="1:7" x14ac:dyDescent="0.25">
      <c r="A1425" s="84" t="s">
        <v>1993</v>
      </c>
      <c r="B1425" s="84" t="s">
        <v>115</v>
      </c>
      <c r="C1425" s="84" t="s">
        <v>2409</v>
      </c>
      <c r="D1425" s="85">
        <v>42307</v>
      </c>
      <c r="E1425" s="85">
        <v>794898</v>
      </c>
      <c r="F1425" s="86">
        <v>75213.399999999994</v>
      </c>
      <c r="G1425" s="87">
        <v>9.4620189999999997</v>
      </c>
    </row>
    <row r="1426" spans="1:7" x14ac:dyDescent="0.25">
      <c r="A1426" s="84" t="s">
        <v>2433</v>
      </c>
      <c r="B1426" s="84" t="s">
        <v>115</v>
      </c>
      <c r="C1426" s="84" t="s">
        <v>2409</v>
      </c>
      <c r="D1426" s="85">
        <v>127181</v>
      </c>
      <c r="E1426" s="85">
        <v>1766079</v>
      </c>
      <c r="F1426" s="86">
        <v>155477.79999999999</v>
      </c>
      <c r="G1426" s="87">
        <v>8.8035586000000006</v>
      </c>
    </row>
    <row r="1427" spans="1:7" x14ac:dyDescent="0.25">
      <c r="A1427" s="84" t="s">
        <v>2434</v>
      </c>
      <c r="B1427" s="84" t="s">
        <v>115</v>
      </c>
      <c r="C1427" s="84" t="s">
        <v>2409</v>
      </c>
      <c r="D1427" s="85">
        <v>768</v>
      </c>
      <c r="E1427" s="85">
        <v>4523</v>
      </c>
      <c r="F1427" s="86">
        <v>412</v>
      </c>
      <c r="G1427" s="87">
        <v>9.1089985000000002</v>
      </c>
    </row>
    <row r="1428" spans="1:7" x14ac:dyDescent="0.25">
      <c r="A1428" s="84" t="s">
        <v>1995</v>
      </c>
      <c r="B1428" s="84" t="s">
        <v>115</v>
      </c>
      <c r="C1428" s="84" t="s">
        <v>2409</v>
      </c>
      <c r="D1428" s="85">
        <v>10732</v>
      </c>
      <c r="E1428" s="85">
        <v>162524</v>
      </c>
      <c r="F1428" s="86">
        <v>18700.8</v>
      </c>
      <c r="G1428" s="87">
        <v>11.506485</v>
      </c>
    </row>
    <row r="1429" spans="1:7" x14ac:dyDescent="0.25">
      <c r="A1429" s="84" t="s">
        <v>1996</v>
      </c>
      <c r="B1429" s="84" t="s">
        <v>115</v>
      </c>
      <c r="C1429" s="84" t="s">
        <v>281</v>
      </c>
      <c r="D1429" s="85">
        <v>23576</v>
      </c>
      <c r="E1429" s="85">
        <v>596016</v>
      </c>
      <c r="F1429" s="86">
        <v>54368.4</v>
      </c>
      <c r="G1429" s="87">
        <v>9.1219698999999999</v>
      </c>
    </row>
    <row r="1430" spans="1:7" x14ac:dyDescent="0.25">
      <c r="A1430" s="84" t="s">
        <v>1997</v>
      </c>
      <c r="B1430" s="84" t="s">
        <v>115</v>
      </c>
      <c r="C1430" s="84" t="s">
        <v>2409</v>
      </c>
      <c r="D1430" s="85">
        <v>11453</v>
      </c>
      <c r="E1430" s="85">
        <v>151595</v>
      </c>
      <c r="F1430" s="86">
        <v>9688.5</v>
      </c>
      <c r="G1430" s="87">
        <v>6.3910419000000003</v>
      </c>
    </row>
    <row r="1431" spans="1:7" x14ac:dyDescent="0.25">
      <c r="A1431" s="84" t="s">
        <v>1999</v>
      </c>
      <c r="B1431" s="84" t="s">
        <v>115</v>
      </c>
      <c r="C1431" s="84" t="s">
        <v>283</v>
      </c>
      <c r="D1431" s="85">
        <v>15252</v>
      </c>
      <c r="E1431" s="85">
        <v>415807</v>
      </c>
      <c r="F1431" s="86">
        <v>35753</v>
      </c>
      <c r="G1431" s="87">
        <v>8.5984602999999993</v>
      </c>
    </row>
    <row r="1432" spans="1:7" x14ac:dyDescent="0.25">
      <c r="A1432" s="84" t="s">
        <v>2000</v>
      </c>
      <c r="B1432" s="84" t="s">
        <v>115</v>
      </c>
      <c r="C1432" s="84" t="s">
        <v>281</v>
      </c>
      <c r="D1432" s="85">
        <v>6396</v>
      </c>
      <c r="E1432" s="85">
        <v>222972</v>
      </c>
      <c r="F1432" s="86">
        <v>21482.5</v>
      </c>
      <c r="G1432" s="87">
        <v>9.6346177999999991</v>
      </c>
    </row>
    <row r="1433" spans="1:7" x14ac:dyDescent="0.25">
      <c r="A1433" s="84" t="s">
        <v>2435</v>
      </c>
      <c r="B1433" s="84" t="s">
        <v>115</v>
      </c>
      <c r="C1433" s="84" t="s">
        <v>2409</v>
      </c>
      <c r="D1433" s="85">
        <v>15549</v>
      </c>
      <c r="E1433" s="85">
        <v>235764</v>
      </c>
      <c r="F1433" s="86">
        <v>12220.5</v>
      </c>
      <c r="G1433" s="87">
        <v>5.1833612999999996</v>
      </c>
    </row>
    <row r="1434" spans="1:7" x14ac:dyDescent="0.25">
      <c r="A1434" s="84" t="s">
        <v>2001</v>
      </c>
      <c r="B1434" s="84" t="s">
        <v>115</v>
      </c>
      <c r="C1434" s="84" t="s">
        <v>281</v>
      </c>
      <c r="D1434" s="85">
        <v>24150</v>
      </c>
      <c r="E1434" s="85">
        <v>738607</v>
      </c>
      <c r="F1434" s="86">
        <v>58171</v>
      </c>
      <c r="G1434" s="87">
        <v>7.8757716000000002</v>
      </c>
    </row>
    <row r="1435" spans="1:7" x14ac:dyDescent="0.25">
      <c r="A1435" s="84" t="s">
        <v>2002</v>
      </c>
      <c r="B1435" s="84" t="s">
        <v>115</v>
      </c>
      <c r="C1435" s="84" t="s">
        <v>2409</v>
      </c>
      <c r="D1435" s="85">
        <v>933</v>
      </c>
      <c r="E1435" s="85">
        <v>28320</v>
      </c>
      <c r="F1435" s="86">
        <v>1472.6</v>
      </c>
      <c r="G1435" s="87">
        <v>5.1998588000000003</v>
      </c>
    </row>
    <row r="1436" spans="1:7" x14ac:dyDescent="0.25">
      <c r="A1436" s="84" t="s">
        <v>2003</v>
      </c>
      <c r="B1436" s="84" t="s">
        <v>115</v>
      </c>
      <c r="C1436" s="84" t="s">
        <v>281</v>
      </c>
      <c r="D1436" s="85">
        <v>37768</v>
      </c>
      <c r="E1436" s="85">
        <v>685175</v>
      </c>
      <c r="F1436" s="86">
        <v>68893</v>
      </c>
      <c r="G1436" s="87">
        <v>10.054804000000001</v>
      </c>
    </row>
    <row r="1437" spans="1:7" x14ac:dyDescent="0.25">
      <c r="A1437" s="84" t="s">
        <v>2004</v>
      </c>
      <c r="B1437" s="84" t="s">
        <v>115</v>
      </c>
      <c r="C1437" s="84" t="s">
        <v>2409</v>
      </c>
      <c r="D1437" s="85">
        <v>45390</v>
      </c>
      <c r="E1437" s="85">
        <v>693067</v>
      </c>
      <c r="F1437" s="86">
        <v>86398.1</v>
      </c>
      <c r="G1437" s="87">
        <v>12.466053</v>
      </c>
    </row>
    <row r="1438" spans="1:7" x14ac:dyDescent="0.25">
      <c r="A1438" s="84" t="s">
        <v>2005</v>
      </c>
      <c r="B1438" s="84" t="s">
        <v>115</v>
      </c>
      <c r="C1438" s="84" t="s">
        <v>2409</v>
      </c>
      <c r="D1438" s="85">
        <v>34641</v>
      </c>
      <c r="E1438" s="85">
        <v>381649</v>
      </c>
      <c r="F1438" s="86">
        <v>59921.9</v>
      </c>
      <c r="G1438" s="87">
        <v>15.700787999999999</v>
      </c>
    </row>
    <row r="1439" spans="1:7" x14ac:dyDescent="0.25">
      <c r="A1439" s="84" t="s">
        <v>2008</v>
      </c>
      <c r="B1439" s="84" t="s">
        <v>117</v>
      </c>
      <c r="C1439" s="84" t="s">
        <v>283</v>
      </c>
      <c r="D1439" s="85">
        <v>17133</v>
      </c>
      <c r="E1439" s="85">
        <v>271857</v>
      </c>
      <c r="F1439" s="86">
        <v>26863</v>
      </c>
      <c r="G1439" s="87">
        <v>9.8812978999999999</v>
      </c>
    </row>
    <row r="1440" spans="1:7" x14ac:dyDescent="0.25">
      <c r="A1440" s="84" t="s">
        <v>2009</v>
      </c>
      <c r="B1440" s="84" t="s">
        <v>117</v>
      </c>
      <c r="C1440" s="84" t="s">
        <v>283</v>
      </c>
      <c r="D1440" s="85">
        <v>19746</v>
      </c>
      <c r="E1440" s="85">
        <v>390866</v>
      </c>
      <c r="F1440" s="86">
        <v>34519.300000000003</v>
      </c>
      <c r="G1440" s="87">
        <v>8.8314921000000002</v>
      </c>
    </row>
    <row r="1441" spans="1:7" x14ac:dyDescent="0.25">
      <c r="A1441" s="84" t="s">
        <v>2010</v>
      </c>
      <c r="B1441" s="84" t="s">
        <v>117</v>
      </c>
      <c r="C1441" s="84" t="s">
        <v>283</v>
      </c>
      <c r="D1441" s="85">
        <v>19057</v>
      </c>
      <c r="E1441" s="85">
        <v>393143</v>
      </c>
      <c r="F1441" s="86">
        <v>33023</v>
      </c>
      <c r="G1441" s="87">
        <v>8.3997425999999997</v>
      </c>
    </row>
    <row r="1442" spans="1:7" x14ac:dyDescent="0.25">
      <c r="A1442" s="84" t="s">
        <v>2011</v>
      </c>
      <c r="B1442" s="84" t="s">
        <v>117</v>
      </c>
      <c r="C1442" s="84" t="s">
        <v>283</v>
      </c>
      <c r="D1442" s="85">
        <v>11568</v>
      </c>
      <c r="E1442" s="85">
        <v>278223</v>
      </c>
      <c r="F1442" s="86">
        <v>26976</v>
      </c>
      <c r="G1442" s="87">
        <v>9.6958195000000007</v>
      </c>
    </row>
    <row r="1443" spans="1:7" x14ac:dyDescent="0.25">
      <c r="A1443" s="84" t="s">
        <v>2012</v>
      </c>
      <c r="B1443" s="84" t="s">
        <v>117</v>
      </c>
      <c r="C1443" s="84" t="s">
        <v>283</v>
      </c>
      <c r="D1443" s="85">
        <v>31814</v>
      </c>
      <c r="E1443" s="85">
        <v>662823</v>
      </c>
      <c r="F1443" s="86">
        <v>61786</v>
      </c>
      <c r="G1443" s="87">
        <v>9.3216438999999998</v>
      </c>
    </row>
    <row r="1444" spans="1:7" x14ac:dyDescent="0.25">
      <c r="A1444" s="84" t="s">
        <v>393</v>
      </c>
      <c r="B1444" s="84" t="s">
        <v>117</v>
      </c>
      <c r="C1444" s="84" t="s">
        <v>281</v>
      </c>
      <c r="D1444" s="85">
        <v>22437</v>
      </c>
      <c r="E1444" s="85">
        <v>530536</v>
      </c>
      <c r="F1444" s="86">
        <v>38194.300000000003</v>
      </c>
      <c r="G1444" s="87">
        <v>7.1991909999999999</v>
      </c>
    </row>
    <row r="1445" spans="1:7" x14ac:dyDescent="0.25">
      <c r="A1445" s="84" t="s">
        <v>482</v>
      </c>
      <c r="B1445" s="84" t="s">
        <v>117</v>
      </c>
      <c r="C1445" s="84" t="s">
        <v>281</v>
      </c>
      <c r="D1445" s="85">
        <v>1315</v>
      </c>
      <c r="E1445" s="85">
        <v>17112</v>
      </c>
      <c r="F1445" s="86">
        <v>2432.3000000000002</v>
      </c>
      <c r="G1445" s="87">
        <v>14.214002000000001</v>
      </c>
    </row>
    <row r="1446" spans="1:7" x14ac:dyDescent="0.25">
      <c r="A1446" s="84" t="s">
        <v>398</v>
      </c>
      <c r="B1446" s="84" t="s">
        <v>117</v>
      </c>
      <c r="C1446" s="84" t="s">
        <v>281</v>
      </c>
      <c r="D1446" s="85">
        <v>12953</v>
      </c>
      <c r="E1446" s="85">
        <v>222937</v>
      </c>
      <c r="F1446" s="86">
        <v>21265.200000000001</v>
      </c>
      <c r="G1446" s="87">
        <v>9.5386588999999997</v>
      </c>
    </row>
    <row r="1447" spans="1:7" x14ac:dyDescent="0.25">
      <c r="A1447" s="84" t="s">
        <v>2018</v>
      </c>
      <c r="B1447" s="84" t="s">
        <v>117</v>
      </c>
      <c r="C1447" s="84" t="s">
        <v>283</v>
      </c>
      <c r="D1447" s="85">
        <v>23819</v>
      </c>
      <c r="E1447" s="85">
        <v>416794</v>
      </c>
      <c r="F1447" s="86">
        <v>37436</v>
      </c>
      <c r="G1447" s="87">
        <v>8.9818950999999991</v>
      </c>
    </row>
    <row r="1448" spans="1:7" x14ac:dyDescent="0.25">
      <c r="A1448" s="84" t="s">
        <v>491</v>
      </c>
      <c r="B1448" s="84" t="s">
        <v>117</v>
      </c>
      <c r="C1448" s="84" t="s">
        <v>281</v>
      </c>
      <c r="D1448" s="85">
        <v>17338</v>
      </c>
      <c r="E1448" s="85">
        <v>545015</v>
      </c>
      <c r="F1448" s="86">
        <v>45551.7</v>
      </c>
      <c r="G1448" s="87">
        <v>8.3578800999999991</v>
      </c>
    </row>
    <row r="1449" spans="1:7" x14ac:dyDescent="0.25">
      <c r="A1449" s="84" t="s">
        <v>1506</v>
      </c>
      <c r="B1449" s="84" t="s">
        <v>117</v>
      </c>
      <c r="C1449" s="84" t="s">
        <v>281</v>
      </c>
      <c r="D1449" s="85">
        <v>401</v>
      </c>
      <c r="E1449" s="85">
        <v>14096</v>
      </c>
      <c r="F1449" s="86">
        <v>969</v>
      </c>
      <c r="G1449" s="87">
        <v>6.8742906000000001</v>
      </c>
    </row>
    <row r="1450" spans="1:7" x14ac:dyDescent="0.25">
      <c r="A1450" s="84" t="s">
        <v>404</v>
      </c>
      <c r="B1450" s="84" t="s">
        <v>117</v>
      </c>
      <c r="C1450" s="84" t="s">
        <v>174</v>
      </c>
      <c r="D1450" s="85">
        <v>1999</v>
      </c>
      <c r="E1450" s="85">
        <v>275549</v>
      </c>
      <c r="F1450" s="86">
        <v>16049</v>
      </c>
      <c r="G1450" s="87">
        <v>5.8243723999999997</v>
      </c>
    </row>
    <row r="1451" spans="1:7" x14ac:dyDescent="0.25">
      <c r="A1451" s="84" t="s">
        <v>457</v>
      </c>
      <c r="B1451" s="84" t="s">
        <v>117</v>
      </c>
      <c r="C1451" s="84" t="s">
        <v>278</v>
      </c>
      <c r="D1451" s="85">
        <v>958340</v>
      </c>
      <c r="E1451" s="85">
        <v>24850547</v>
      </c>
      <c r="F1451" s="86">
        <v>2020314.6</v>
      </c>
      <c r="G1451" s="87">
        <v>8.1298597000000008</v>
      </c>
    </row>
    <row r="1452" spans="1:7" x14ac:dyDescent="0.25">
      <c r="A1452" s="84" t="s">
        <v>2020</v>
      </c>
      <c r="B1452" s="84" t="s">
        <v>117</v>
      </c>
      <c r="C1452" s="84" t="s">
        <v>283</v>
      </c>
      <c r="D1452" s="85">
        <v>37788</v>
      </c>
      <c r="E1452" s="85">
        <v>742130</v>
      </c>
      <c r="F1452" s="86">
        <v>68632</v>
      </c>
      <c r="G1452" s="87">
        <v>9.2479753999999996</v>
      </c>
    </row>
    <row r="1453" spans="1:7" x14ac:dyDescent="0.25">
      <c r="A1453" s="84" t="s">
        <v>2378</v>
      </c>
      <c r="B1453" s="84" t="s">
        <v>117</v>
      </c>
      <c r="C1453" s="84" t="s">
        <v>281</v>
      </c>
      <c r="D1453" s="85">
        <v>719</v>
      </c>
      <c r="E1453" s="85">
        <v>39796</v>
      </c>
      <c r="F1453" s="86">
        <v>2311</v>
      </c>
      <c r="G1453" s="87">
        <v>5.8071162999999997</v>
      </c>
    </row>
    <row r="1454" spans="1:7" x14ac:dyDescent="0.25">
      <c r="A1454" s="84" t="s">
        <v>408</v>
      </c>
      <c r="B1454" s="84" t="s">
        <v>117</v>
      </c>
      <c r="C1454" s="84" t="s">
        <v>392</v>
      </c>
      <c r="D1454" s="85">
        <v>4</v>
      </c>
      <c r="E1454" s="85">
        <v>3219</v>
      </c>
      <c r="F1454" s="86">
        <v>184</v>
      </c>
      <c r="G1454" s="87">
        <v>5.7160608999999996</v>
      </c>
    </row>
    <row r="1455" spans="1:7" x14ac:dyDescent="0.25">
      <c r="A1455" s="84" t="s">
        <v>2021</v>
      </c>
      <c r="B1455" s="84" t="s">
        <v>117</v>
      </c>
      <c r="C1455" s="84" t="s">
        <v>283</v>
      </c>
      <c r="D1455" s="85">
        <v>13359</v>
      </c>
      <c r="E1455" s="85">
        <v>265772</v>
      </c>
      <c r="F1455" s="86">
        <v>23333</v>
      </c>
      <c r="G1455" s="87">
        <v>8.7793296999999999</v>
      </c>
    </row>
    <row r="1456" spans="1:7" x14ac:dyDescent="0.25">
      <c r="A1456" s="84" t="s">
        <v>2022</v>
      </c>
      <c r="B1456" s="84" t="s">
        <v>117</v>
      </c>
      <c r="C1456" s="84" t="s">
        <v>385</v>
      </c>
      <c r="D1456" s="85">
        <v>3988</v>
      </c>
      <c r="E1456" s="85">
        <v>63620</v>
      </c>
      <c r="F1456" s="86">
        <v>6879.6</v>
      </c>
      <c r="G1456" s="87">
        <v>10.813580999999999</v>
      </c>
    </row>
    <row r="1457" spans="1:7" x14ac:dyDescent="0.25">
      <c r="A1457" s="84" t="s">
        <v>415</v>
      </c>
      <c r="B1457" s="84" t="s">
        <v>117</v>
      </c>
      <c r="C1457" s="84" t="s">
        <v>392</v>
      </c>
      <c r="D1457" s="85">
        <v>815</v>
      </c>
      <c r="E1457" s="85">
        <v>1154</v>
      </c>
      <c r="F1457" s="86">
        <v>183.5</v>
      </c>
      <c r="G1457" s="87">
        <v>15.901213</v>
      </c>
    </row>
    <row r="1458" spans="1:7" x14ac:dyDescent="0.25">
      <c r="A1458" s="84" t="s">
        <v>421</v>
      </c>
      <c r="B1458" s="84" t="s">
        <v>117</v>
      </c>
      <c r="C1458" s="84" t="s">
        <v>392</v>
      </c>
      <c r="D1458" s="85">
        <v>815</v>
      </c>
      <c r="E1458" s="85">
        <v>5727</v>
      </c>
      <c r="F1458" s="86">
        <v>546.1</v>
      </c>
      <c r="G1458" s="87">
        <v>9.5355334000000003</v>
      </c>
    </row>
    <row r="1459" spans="1:7" x14ac:dyDescent="0.25">
      <c r="A1459" s="84" t="s">
        <v>422</v>
      </c>
      <c r="B1459" s="84" t="s">
        <v>117</v>
      </c>
      <c r="C1459" s="84" t="s">
        <v>351</v>
      </c>
      <c r="D1459" s="85">
        <v>6</v>
      </c>
      <c r="E1459" s="85">
        <v>47915</v>
      </c>
      <c r="F1459" s="86">
        <v>1326.5</v>
      </c>
      <c r="G1459" s="87">
        <v>2.7684441</v>
      </c>
    </row>
    <row r="1460" spans="1:7" x14ac:dyDescent="0.25">
      <c r="A1460" s="84" t="s">
        <v>1510</v>
      </c>
      <c r="B1460" s="84" t="s">
        <v>117</v>
      </c>
      <c r="C1460" s="84" t="s">
        <v>281</v>
      </c>
      <c r="D1460" s="85">
        <v>719</v>
      </c>
      <c r="E1460" s="85">
        <v>33799</v>
      </c>
      <c r="F1460" s="86">
        <v>2743.7</v>
      </c>
      <c r="G1460" s="87">
        <v>8.1176957999999999</v>
      </c>
    </row>
    <row r="1461" spans="1:7" x14ac:dyDescent="0.25">
      <c r="A1461" s="84" t="s">
        <v>1020</v>
      </c>
      <c r="B1461" s="84" t="s">
        <v>123</v>
      </c>
      <c r="C1461" s="84" t="s">
        <v>281</v>
      </c>
      <c r="D1461" s="85">
        <v>36141</v>
      </c>
      <c r="E1461" s="85">
        <v>672283</v>
      </c>
      <c r="F1461" s="86">
        <v>72290</v>
      </c>
      <c r="G1461" s="87">
        <v>10.752912</v>
      </c>
    </row>
    <row r="1462" spans="1:7" x14ac:dyDescent="0.25">
      <c r="A1462" s="84" t="s">
        <v>2023</v>
      </c>
      <c r="B1462" s="84" t="s">
        <v>123</v>
      </c>
      <c r="C1462" s="84" t="s">
        <v>278</v>
      </c>
      <c r="D1462" s="85">
        <v>537055</v>
      </c>
      <c r="E1462" s="85">
        <v>14212374</v>
      </c>
      <c r="F1462" s="86">
        <v>1256467</v>
      </c>
      <c r="G1462" s="87">
        <v>8.8406552999999999</v>
      </c>
    </row>
    <row r="1463" spans="1:7" x14ac:dyDescent="0.25">
      <c r="A1463" s="84" t="s">
        <v>2025</v>
      </c>
      <c r="B1463" s="84" t="s">
        <v>123</v>
      </c>
      <c r="C1463" s="84" t="s">
        <v>283</v>
      </c>
      <c r="D1463" s="85">
        <v>16350</v>
      </c>
      <c r="E1463" s="85">
        <v>420918</v>
      </c>
      <c r="F1463" s="86">
        <v>40736</v>
      </c>
      <c r="G1463" s="87">
        <v>9.6778945000000007</v>
      </c>
    </row>
    <row r="1464" spans="1:7" x14ac:dyDescent="0.25">
      <c r="A1464" s="84" t="s">
        <v>2026</v>
      </c>
      <c r="B1464" s="84" t="s">
        <v>123</v>
      </c>
      <c r="C1464" s="84" t="s">
        <v>281</v>
      </c>
      <c r="D1464" s="85">
        <v>37918</v>
      </c>
      <c r="E1464" s="85">
        <v>743151</v>
      </c>
      <c r="F1464" s="86">
        <v>88061</v>
      </c>
      <c r="G1464" s="87">
        <v>11.849678000000001</v>
      </c>
    </row>
    <row r="1465" spans="1:7" x14ac:dyDescent="0.25">
      <c r="A1465" s="84" t="s">
        <v>2027</v>
      </c>
      <c r="B1465" s="84" t="s">
        <v>123</v>
      </c>
      <c r="C1465" s="84" t="s">
        <v>283</v>
      </c>
      <c r="D1465" s="85">
        <v>48028</v>
      </c>
      <c r="E1465" s="85">
        <v>858096</v>
      </c>
      <c r="F1465" s="86">
        <v>101391.2</v>
      </c>
      <c r="G1465" s="87">
        <v>11.815834000000001</v>
      </c>
    </row>
    <row r="1466" spans="1:7" x14ac:dyDescent="0.25">
      <c r="A1466" s="84" t="s">
        <v>2029</v>
      </c>
      <c r="B1466" s="84" t="s">
        <v>123</v>
      </c>
      <c r="C1466" s="84" t="s">
        <v>283</v>
      </c>
      <c r="D1466" s="85">
        <v>21436</v>
      </c>
      <c r="E1466" s="85">
        <v>677250</v>
      </c>
      <c r="F1466" s="86">
        <v>56824</v>
      </c>
      <c r="G1466" s="87">
        <v>8.3904023999999993</v>
      </c>
    </row>
    <row r="1467" spans="1:7" x14ac:dyDescent="0.25">
      <c r="A1467" s="84" t="s">
        <v>2030</v>
      </c>
      <c r="B1467" s="84" t="s">
        <v>123</v>
      </c>
      <c r="C1467" s="84" t="s">
        <v>283</v>
      </c>
      <c r="D1467" s="85">
        <v>16351</v>
      </c>
      <c r="E1467" s="85">
        <v>389473</v>
      </c>
      <c r="F1467" s="86">
        <v>35157</v>
      </c>
      <c r="G1467" s="87">
        <v>9.0268131999999994</v>
      </c>
    </row>
    <row r="1468" spans="1:7" x14ac:dyDescent="0.25">
      <c r="A1468" s="84" t="s">
        <v>2033</v>
      </c>
      <c r="B1468" s="84" t="s">
        <v>123</v>
      </c>
      <c r="C1468" s="84" t="s">
        <v>283</v>
      </c>
      <c r="D1468" s="85">
        <v>13563</v>
      </c>
      <c r="E1468" s="85">
        <v>340551</v>
      </c>
      <c r="F1468" s="86">
        <v>36910.800000000003</v>
      </c>
      <c r="G1468" s="87">
        <v>10.838552999999999</v>
      </c>
    </row>
    <row r="1469" spans="1:7" x14ac:dyDescent="0.25">
      <c r="A1469" s="84" t="s">
        <v>953</v>
      </c>
      <c r="B1469" s="84" t="s">
        <v>123</v>
      </c>
      <c r="C1469" s="84" t="s">
        <v>278</v>
      </c>
      <c r="D1469" s="85">
        <v>27805</v>
      </c>
      <c r="E1469" s="85">
        <v>658177</v>
      </c>
      <c r="F1469" s="86">
        <v>72151.8</v>
      </c>
      <c r="G1469" s="87">
        <v>10.96237</v>
      </c>
    </row>
    <row r="1470" spans="1:7" x14ac:dyDescent="0.25">
      <c r="A1470" s="84" t="s">
        <v>1349</v>
      </c>
      <c r="B1470" s="84" t="s">
        <v>123</v>
      </c>
      <c r="C1470" s="84" t="s">
        <v>281</v>
      </c>
      <c r="D1470" s="85">
        <v>31511</v>
      </c>
      <c r="E1470" s="85">
        <v>565342</v>
      </c>
      <c r="F1470" s="86">
        <v>64479.3</v>
      </c>
      <c r="G1470" s="87">
        <v>11.405362</v>
      </c>
    </row>
    <row r="1471" spans="1:7" x14ac:dyDescent="0.25">
      <c r="A1471" s="84" t="s">
        <v>2036</v>
      </c>
      <c r="B1471" s="84" t="s">
        <v>123</v>
      </c>
      <c r="C1471" s="84" t="s">
        <v>281</v>
      </c>
      <c r="D1471" s="85">
        <v>19472</v>
      </c>
      <c r="E1471" s="85">
        <v>263616</v>
      </c>
      <c r="F1471" s="86">
        <v>37528</v>
      </c>
      <c r="G1471" s="87">
        <v>14.235858</v>
      </c>
    </row>
    <row r="1472" spans="1:7" x14ac:dyDescent="0.25">
      <c r="A1472" s="84" t="s">
        <v>2037</v>
      </c>
      <c r="B1472" s="84" t="s">
        <v>123</v>
      </c>
      <c r="C1472" s="84" t="s">
        <v>281</v>
      </c>
      <c r="D1472" s="85">
        <v>175598</v>
      </c>
      <c r="E1472" s="85">
        <v>6208712</v>
      </c>
      <c r="F1472" s="86">
        <v>513687</v>
      </c>
      <c r="G1472" s="87">
        <v>8.2736484000000008</v>
      </c>
    </row>
    <row r="1473" spans="1:7" x14ac:dyDescent="0.25">
      <c r="A1473" s="84" t="s">
        <v>1826</v>
      </c>
      <c r="B1473" s="84" t="s">
        <v>123</v>
      </c>
      <c r="C1473" s="84" t="s">
        <v>281</v>
      </c>
      <c r="D1473" s="85">
        <v>8251</v>
      </c>
      <c r="E1473" s="85">
        <v>132100</v>
      </c>
      <c r="F1473" s="86">
        <v>13241</v>
      </c>
      <c r="G1473" s="87">
        <v>10.023467</v>
      </c>
    </row>
    <row r="1474" spans="1:7" x14ac:dyDescent="0.25">
      <c r="A1474" s="84" t="s">
        <v>2038</v>
      </c>
      <c r="B1474" s="84" t="s">
        <v>123</v>
      </c>
      <c r="C1474" s="84" t="s">
        <v>281</v>
      </c>
      <c r="D1474" s="85">
        <v>12053</v>
      </c>
      <c r="E1474" s="85">
        <v>339160</v>
      </c>
      <c r="F1474" s="86">
        <v>36084</v>
      </c>
      <c r="G1474" s="87">
        <v>10.639226000000001</v>
      </c>
    </row>
    <row r="1475" spans="1:7" x14ac:dyDescent="0.25">
      <c r="A1475" s="84" t="s">
        <v>2039</v>
      </c>
      <c r="B1475" s="84" t="s">
        <v>123</v>
      </c>
      <c r="C1475" s="84" t="s">
        <v>281</v>
      </c>
      <c r="D1475" s="85">
        <v>168177</v>
      </c>
      <c r="E1475" s="85">
        <v>3700949</v>
      </c>
      <c r="F1475" s="86">
        <v>411616</v>
      </c>
      <c r="G1475" s="87">
        <v>11.121904000000001</v>
      </c>
    </row>
    <row r="1476" spans="1:7" x14ac:dyDescent="0.25">
      <c r="A1476" s="84" t="s">
        <v>2040</v>
      </c>
      <c r="B1476" s="84" t="s">
        <v>123</v>
      </c>
      <c r="C1476" s="84" t="s">
        <v>281</v>
      </c>
      <c r="D1476" s="85">
        <v>96310</v>
      </c>
      <c r="E1476" s="85">
        <v>2315170</v>
      </c>
      <c r="F1476" s="86">
        <v>230521.7</v>
      </c>
      <c r="G1476" s="87">
        <v>9.9570095999999992</v>
      </c>
    </row>
    <row r="1477" spans="1:7" x14ac:dyDescent="0.25">
      <c r="A1477" s="84" t="s">
        <v>408</v>
      </c>
      <c r="B1477" s="84" t="s">
        <v>123</v>
      </c>
      <c r="C1477" s="84" t="s">
        <v>392</v>
      </c>
      <c r="D1477" s="85">
        <v>68</v>
      </c>
      <c r="E1477" s="85">
        <v>580</v>
      </c>
      <c r="F1477" s="86">
        <v>52</v>
      </c>
      <c r="G1477" s="87">
        <v>8.9655172000000007</v>
      </c>
    </row>
    <row r="1478" spans="1:7" x14ac:dyDescent="0.25">
      <c r="A1478" s="84" t="s">
        <v>2041</v>
      </c>
      <c r="B1478" s="84" t="s">
        <v>123</v>
      </c>
      <c r="C1478" s="84" t="s">
        <v>281</v>
      </c>
      <c r="D1478" s="85">
        <v>57354</v>
      </c>
      <c r="E1478" s="85">
        <v>904749</v>
      </c>
      <c r="F1478" s="86">
        <v>122613</v>
      </c>
      <c r="G1478" s="87">
        <v>13.552156</v>
      </c>
    </row>
    <row r="1479" spans="1:7" x14ac:dyDescent="0.25">
      <c r="A1479" s="84" t="s">
        <v>2042</v>
      </c>
      <c r="B1479" s="84" t="s">
        <v>123</v>
      </c>
      <c r="C1479" s="84" t="s">
        <v>283</v>
      </c>
      <c r="D1479" s="85">
        <v>6723</v>
      </c>
      <c r="E1479" s="85">
        <v>170520</v>
      </c>
      <c r="F1479" s="86">
        <v>19065.599999999999</v>
      </c>
      <c r="G1479" s="87">
        <v>11.180859</v>
      </c>
    </row>
    <row r="1480" spans="1:7" x14ac:dyDescent="0.25">
      <c r="A1480" s="84" t="s">
        <v>1373</v>
      </c>
      <c r="B1480" s="84" t="s">
        <v>123</v>
      </c>
      <c r="C1480" s="84" t="s">
        <v>278</v>
      </c>
      <c r="D1480" s="85">
        <v>2539574</v>
      </c>
      <c r="E1480" s="85">
        <v>77691515</v>
      </c>
      <c r="F1480" s="86">
        <v>7095222.2999999998</v>
      </c>
      <c r="G1480" s="87">
        <v>9.1325575000000008</v>
      </c>
    </row>
    <row r="1481" spans="1:7" x14ac:dyDescent="0.25">
      <c r="A1481" s="84" t="s">
        <v>2045</v>
      </c>
      <c r="B1481" s="84" t="s">
        <v>123</v>
      </c>
      <c r="C1481" s="84" t="s">
        <v>174</v>
      </c>
      <c r="D1481" s="85">
        <v>6626</v>
      </c>
      <c r="E1481" s="85">
        <v>306099</v>
      </c>
      <c r="F1481" s="86">
        <v>29762.3</v>
      </c>
      <c r="G1481" s="87">
        <v>9.7230960999999994</v>
      </c>
    </row>
    <row r="1482" spans="1:7" x14ac:dyDescent="0.25">
      <c r="A1482" s="84" t="s">
        <v>2046</v>
      </c>
      <c r="B1482" s="84" t="s">
        <v>120</v>
      </c>
      <c r="C1482" s="84" t="s">
        <v>283</v>
      </c>
      <c r="D1482" s="85">
        <v>21352</v>
      </c>
      <c r="E1482" s="85">
        <v>310326</v>
      </c>
      <c r="F1482" s="86">
        <v>44013.2</v>
      </c>
      <c r="G1482" s="87">
        <v>14.182892000000001</v>
      </c>
    </row>
    <row r="1483" spans="1:7" x14ac:dyDescent="0.25">
      <c r="A1483" s="84" t="s">
        <v>2047</v>
      </c>
      <c r="B1483" s="84" t="s">
        <v>120</v>
      </c>
      <c r="C1483" s="84" t="s">
        <v>278</v>
      </c>
      <c r="D1483" s="85">
        <v>267602</v>
      </c>
      <c r="E1483" s="85">
        <v>4040763</v>
      </c>
      <c r="F1483" s="86">
        <v>662296</v>
      </c>
      <c r="G1483" s="87">
        <v>16.390370000000001</v>
      </c>
    </row>
    <row r="1484" spans="1:7" x14ac:dyDescent="0.25">
      <c r="A1484" s="84" t="s">
        <v>400</v>
      </c>
      <c r="B1484" s="84" t="s">
        <v>120</v>
      </c>
      <c r="C1484" s="84" t="s">
        <v>392</v>
      </c>
      <c r="D1484" s="85">
        <v>6</v>
      </c>
      <c r="E1484" s="85">
        <v>4726</v>
      </c>
      <c r="F1484" s="86">
        <v>830.5</v>
      </c>
      <c r="G1484" s="87">
        <v>17.573</v>
      </c>
    </row>
    <row r="1485" spans="1:7" x14ac:dyDescent="0.25">
      <c r="A1485" s="84" t="s">
        <v>408</v>
      </c>
      <c r="B1485" s="84" t="s">
        <v>120</v>
      </c>
      <c r="C1485" s="84" t="s">
        <v>392</v>
      </c>
      <c r="D1485" s="85">
        <v>1588</v>
      </c>
      <c r="E1485" s="85">
        <v>9240</v>
      </c>
      <c r="F1485" s="86">
        <v>1705.5</v>
      </c>
      <c r="G1485" s="87">
        <v>18.457792000000001</v>
      </c>
    </row>
    <row r="1486" spans="1:7" x14ac:dyDescent="0.25">
      <c r="A1486" s="84" t="s">
        <v>413</v>
      </c>
      <c r="B1486" s="84" t="s">
        <v>120</v>
      </c>
      <c r="C1486" s="84" t="s">
        <v>392</v>
      </c>
      <c r="D1486" s="85">
        <v>348</v>
      </c>
      <c r="E1486" s="85">
        <v>2359</v>
      </c>
      <c r="F1486" s="86">
        <v>371.5</v>
      </c>
      <c r="G1486" s="87">
        <v>15.748198</v>
      </c>
    </row>
    <row r="1487" spans="1:7" x14ac:dyDescent="0.25">
      <c r="A1487" s="84" t="s">
        <v>415</v>
      </c>
      <c r="B1487" s="84" t="s">
        <v>120</v>
      </c>
      <c r="C1487" s="84" t="s">
        <v>392</v>
      </c>
      <c r="D1487" s="85">
        <v>740</v>
      </c>
      <c r="E1487" s="85">
        <v>4985</v>
      </c>
      <c r="F1487" s="86">
        <v>1053.5</v>
      </c>
      <c r="G1487" s="87">
        <v>21.133400000000002</v>
      </c>
    </row>
    <row r="1488" spans="1:7" x14ac:dyDescent="0.25">
      <c r="A1488" s="84" t="s">
        <v>416</v>
      </c>
      <c r="B1488" s="84" t="s">
        <v>120</v>
      </c>
      <c r="C1488" s="84" t="s">
        <v>392</v>
      </c>
      <c r="D1488" s="85">
        <v>2</v>
      </c>
      <c r="E1488" s="85">
        <v>2500</v>
      </c>
      <c r="F1488" s="86">
        <v>673.1</v>
      </c>
      <c r="G1488" s="87">
        <v>26.923999999999999</v>
      </c>
    </row>
    <row r="1489" spans="1:7" x14ac:dyDescent="0.25">
      <c r="A1489" s="84" t="s">
        <v>2436</v>
      </c>
      <c r="B1489" s="84" t="s">
        <v>120</v>
      </c>
      <c r="C1489" s="84" t="s">
        <v>281</v>
      </c>
      <c r="D1489" s="85">
        <v>39874</v>
      </c>
      <c r="E1489" s="85">
        <v>452515</v>
      </c>
      <c r="F1489" s="86">
        <v>75609.2</v>
      </c>
      <c r="G1489" s="87">
        <v>16.708662</v>
      </c>
    </row>
    <row r="1490" spans="1:7" x14ac:dyDescent="0.25">
      <c r="A1490" s="84" t="s">
        <v>421</v>
      </c>
      <c r="B1490" s="84" t="s">
        <v>120</v>
      </c>
      <c r="C1490" s="84" t="s">
        <v>392</v>
      </c>
      <c r="D1490" s="85">
        <v>1</v>
      </c>
      <c r="E1490" s="85">
        <v>1</v>
      </c>
      <c r="F1490" s="86">
        <v>0.2</v>
      </c>
      <c r="G1490" s="87">
        <v>20</v>
      </c>
    </row>
    <row r="1491" spans="1:7" x14ac:dyDescent="0.25">
      <c r="A1491" s="84" t="s">
        <v>2055</v>
      </c>
      <c r="B1491" s="84" t="s">
        <v>120</v>
      </c>
      <c r="C1491" s="84" t="s">
        <v>281</v>
      </c>
      <c r="D1491" s="85">
        <v>11711</v>
      </c>
      <c r="E1491" s="85">
        <v>73165</v>
      </c>
      <c r="F1491" s="86">
        <v>16855</v>
      </c>
      <c r="G1491" s="87">
        <v>23.036971000000001</v>
      </c>
    </row>
    <row r="1492" spans="1:7" x14ac:dyDescent="0.25">
      <c r="A1492" s="84" t="s">
        <v>742</v>
      </c>
      <c r="B1492" s="84" t="s">
        <v>126</v>
      </c>
      <c r="C1492" s="84" t="s">
        <v>278</v>
      </c>
      <c r="D1492" s="85">
        <v>259195</v>
      </c>
      <c r="E1492" s="85">
        <v>5461617</v>
      </c>
      <c r="F1492" s="86">
        <v>536102.80000000005</v>
      </c>
      <c r="G1492" s="87">
        <v>9.8158256000000002</v>
      </c>
    </row>
    <row r="1493" spans="1:7" x14ac:dyDescent="0.25">
      <c r="A1493" s="84" t="s">
        <v>2056</v>
      </c>
      <c r="B1493" s="84" t="s">
        <v>126</v>
      </c>
      <c r="C1493" s="84" t="s">
        <v>281</v>
      </c>
      <c r="D1493" s="85">
        <v>14817</v>
      </c>
      <c r="E1493" s="85">
        <v>560250</v>
      </c>
      <c r="F1493" s="86">
        <v>40576</v>
      </c>
      <c r="G1493" s="87">
        <v>7.2424809999999997</v>
      </c>
    </row>
    <row r="1494" spans="1:7" x14ac:dyDescent="0.25">
      <c r="A1494" s="84" t="s">
        <v>2057</v>
      </c>
      <c r="B1494" s="84" t="s">
        <v>126</v>
      </c>
      <c r="C1494" s="84" t="s">
        <v>281</v>
      </c>
      <c r="D1494" s="85">
        <v>9584</v>
      </c>
      <c r="E1494" s="85">
        <v>564959</v>
      </c>
      <c r="F1494" s="86">
        <v>39045.300000000003</v>
      </c>
      <c r="G1494" s="87">
        <v>6.9111741000000002</v>
      </c>
    </row>
    <row r="1495" spans="1:7" x14ac:dyDescent="0.25">
      <c r="A1495" s="84" t="s">
        <v>1629</v>
      </c>
      <c r="B1495" s="84" t="s">
        <v>126</v>
      </c>
      <c r="C1495" s="84" t="s">
        <v>351</v>
      </c>
      <c r="D1495" s="85">
        <v>10</v>
      </c>
      <c r="E1495" s="85">
        <v>2800688</v>
      </c>
      <c r="F1495" s="86">
        <v>48534.400000000001</v>
      </c>
      <c r="G1495" s="87">
        <v>1.7329456000000001</v>
      </c>
    </row>
    <row r="1496" spans="1:7" x14ac:dyDescent="0.25">
      <c r="A1496" s="84" t="s">
        <v>2059</v>
      </c>
      <c r="B1496" s="84" t="s">
        <v>126</v>
      </c>
      <c r="C1496" s="84" t="s">
        <v>283</v>
      </c>
      <c r="D1496" s="85">
        <v>10473</v>
      </c>
      <c r="E1496" s="85">
        <v>252470</v>
      </c>
      <c r="F1496" s="86">
        <v>25365.7</v>
      </c>
      <c r="G1496" s="87">
        <v>10.047015</v>
      </c>
    </row>
    <row r="1497" spans="1:7" x14ac:dyDescent="0.25">
      <c r="A1497" s="84" t="s">
        <v>2061</v>
      </c>
      <c r="B1497" s="84" t="s">
        <v>126</v>
      </c>
      <c r="C1497" s="84" t="s">
        <v>283</v>
      </c>
      <c r="D1497" s="85">
        <v>10243</v>
      </c>
      <c r="E1497" s="85">
        <v>198818</v>
      </c>
      <c r="F1497" s="86">
        <v>16800.3</v>
      </c>
      <c r="G1497" s="87">
        <v>8.4500899999999994</v>
      </c>
    </row>
    <row r="1498" spans="1:7" x14ac:dyDescent="0.25">
      <c r="A1498" s="84" t="s">
        <v>2062</v>
      </c>
      <c r="B1498" s="84" t="s">
        <v>126</v>
      </c>
      <c r="C1498" s="84" t="s">
        <v>283</v>
      </c>
      <c r="D1498" s="85">
        <v>11835</v>
      </c>
      <c r="E1498" s="85">
        <v>310043</v>
      </c>
      <c r="F1498" s="86">
        <v>23083</v>
      </c>
      <c r="G1498" s="87">
        <v>7.4450963000000003</v>
      </c>
    </row>
    <row r="1499" spans="1:7" x14ac:dyDescent="0.25">
      <c r="A1499" s="84" t="s">
        <v>2063</v>
      </c>
      <c r="B1499" s="84" t="s">
        <v>126</v>
      </c>
      <c r="C1499" s="84" t="s">
        <v>283</v>
      </c>
      <c r="D1499" s="85">
        <v>25613</v>
      </c>
      <c r="E1499" s="85">
        <v>906062</v>
      </c>
      <c r="F1499" s="86">
        <v>71536</v>
      </c>
      <c r="G1499" s="87">
        <v>7.8952654000000004</v>
      </c>
    </row>
    <row r="1500" spans="1:7" x14ac:dyDescent="0.25">
      <c r="A1500" s="84" t="s">
        <v>2064</v>
      </c>
      <c r="B1500" s="84" t="s">
        <v>126</v>
      </c>
      <c r="C1500" s="84" t="s">
        <v>283</v>
      </c>
      <c r="D1500" s="85">
        <v>477577</v>
      </c>
      <c r="E1500" s="85">
        <v>8721077</v>
      </c>
      <c r="F1500" s="86">
        <v>931769</v>
      </c>
      <c r="G1500" s="87">
        <v>10.684105000000001</v>
      </c>
    </row>
    <row r="1501" spans="1:7" x14ac:dyDescent="0.25">
      <c r="A1501" s="84" t="s">
        <v>2065</v>
      </c>
      <c r="B1501" s="84" t="s">
        <v>126</v>
      </c>
      <c r="C1501" s="84" t="s">
        <v>283</v>
      </c>
      <c r="D1501" s="85">
        <v>182526</v>
      </c>
      <c r="E1501" s="85">
        <v>4602749</v>
      </c>
      <c r="F1501" s="86">
        <v>370590.4</v>
      </c>
      <c r="G1501" s="87">
        <v>8.0515013999999994</v>
      </c>
    </row>
    <row r="1502" spans="1:7" x14ac:dyDescent="0.25">
      <c r="A1502" s="84" t="s">
        <v>1646</v>
      </c>
      <c r="B1502" s="84" t="s">
        <v>126</v>
      </c>
      <c r="C1502" s="84" t="s">
        <v>281</v>
      </c>
      <c r="D1502" s="85">
        <v>5872</v>
      </c>
      <c r="E1502" s="85">
        <v>353890</v>
      </c>
      <c r="F1502" s="86">
        <v>31639.7</v>
      </c>
      <c r="G1502" s="87">
        <v>8.9405465</v>
      </c>
    </row>
    <row r="1503" spans="1:7" x14ac:dyDescent="0.25">
      <c r="A1503" s="84" t="s">
        <v>2066</v>
      </c>
      <c r="B1503" s="84" t="s">
        <v>126</v>
      </c>
      <c r="C1503" s="84" t="s">
        <v>281</v>
      </c>
      <c r="D1503" s="85">
        <v>15581</v>
      </c>
      <c r="E1503" s="85">
        <v>277793</v>
      </c>
      <c r="F1503" s="86">
        <v>19970.7</v>
      </c>
      <c r="G1503" s="87">
        <v>7.1890580000000002</v>
      </c>
    </row>
    <row r="1504" spans="1:7" x14ac:dyDescent="0.25">
      <c r="A1504" s="84" t="s">
        <v>749</v>
      </c>
      <c r="B1504" s="84" t="s">
        <v>126</v>
      </c>
      <c r="C1504" s="84" t="s">
        <v>281</v>
      </c>
      <c r="D1504" s="85">
        <v>41665</v>
      </c>
      <c r="E1504" s="85">
        <v>939315</v>
      </c>
      <c r="F1504" s="86">
        <v>77288.7</v>
      </c>
      <c r="G1504" s="87">
        <v>8.2281981999999996</v>
      </c>
    </row>
    <row r="1505" spans="1:7" x14ac:dyDescent="0.25">
      <c r="A1505" s="84" t="s">
        <v>2377</v>
      </c>
      <c r="B1505" s="84" t="s">
        <v>126</v>
      </c>
      <c r="C1505" s="84" t="s">
        <v>281</v>
      </c>
      <c r="D1505" s="85">
        <v>90</v>
      </c>
      <c r="E1505" s="85">
        <v>2867</v>
      </c>
      <c r="F1505" s="86">
        <v>242.7</v>
      </c>
      <c r="G1505" s="87">
        <v>8.4652946999999994</v>
      </c>
    </row>
    <row r="1506" spans="1:7" x14ac:dyDescent="0.25">
      <c r="A1506" s="84" t="s">
        <v>2067</v>
      </c>
      <c r="B1506" s="84" t="s">
        <v>126</v>
      </c>
      <c r="C1506" s="84" t="s">
        <v>281</v>
      </c>
      <c r="D1506" s="85">
        <v>10299</v>
      </c>
      <c r="E1506" s="85">
        <v>248817</v>
      </c>
      <c r="F1506" s="86">
        <v>23282</v>
      </c>
      <c r="G1506" s="87">
        <v>9.3570776999999996</v>
      </c>
    </row>
    <row r="1507" spans="1:7" x14ac:dyDescent="0.25">
      <c r="A1507" s="84" t="s">
        <v>2068</v>
      </c>
      <c r="B1507" s="84" t="s">
        <v>126</v>
      </c>
      <c r="C1507" s="84" t="s">
        <v>281</v>
      </c>
      <c r="D1507" s="85">
        <v>10328</v>
      </c>
      <c r="E1507" s="85">
        <v>220295</v>
      </c>
      <c r="F1507" s="86">
        <v>13862.1</v>
      </c>
      <c r="G1507" s="87">
        <v>6.2925168999999999</v>
      </c>
    </row>
    <row r="1508" spans="1:7" x14ac:dyDescent="0.25">
      <c r="A1508" s="84" t="s">
        <v>753</v>
      </c>
      <c r="B1508" s="84" t="s">
        <v>126</v>
      </c>
      <c r="C1508" s="84" t="s">
        <v>281</v>
      </c>
      <c r="D1508" s="85">
        <v>14</v>
      </c>
      <c r="E1508" s="85">
        <v>123</v>
      </c>
      <c r="F1508" s="86">
        <v>15</v>
      </c>
      <c r="G1508" s="87">
        <v>12.195122</v>
      </c>
    </row>
    <row r="1509" spans="1:7" x14ac:dyDescent="0.25">
      <c r="A1509" s="84" t="s">
        <v>2071</v>
      </c>
      <c r="B1509" s="84" t="s">
        <v>126</v>
      </c>
      <c r="C1509" s="84" t="s">
        <v>281</v>
      </c>
      <c r="D1509" s="85">
        <v>15293</v>
      </c>
      <c r="E1509" s="85">
        <v>212087</v>
      </c>
      <c r="F1509" s="86">
        <v>31777</v>
      </c>
      <c r="G1509" s="87">
        <v>14.983002000000001</v>
      </c>
    </row>
    <row r="1510" spans="1:7" x14ac:dyDescent="0.25">
      <c r="A1510" s="84" t="s">
        <v>2072</v>
      </c>
      <c r="B1510" s="84" t="s">
        <v>126</v>
      </c>
      <c r="C1510" s="84" t="s">
        <v>385</v>
      </c>
      <c r="D1510" s="85">
        <v>361114</v>
      </c>
      <c r="E1510" s="85">
        <v>6446946</v>
      </c>
      <c r="F1510" s="86">
        <v>611810</v>
      </c>
      <c r="G1510" s="87">
        <v>9.4899196999999997</v>
      </c>
    </row>
    <row r="1511" spans="1:7" x14ac:dyDescent="0.25">
      <c r="A1511" s="84" t="s">
        <v>2073</v>
      </c>
      <c r="B1511" s="84" t="s">
        <v>126</v>
      </c>
      <c r="C1511" s="84" t="s">
        <v>385</v>
      </c>
      <c r="D1511" s="85">
        <v>55342</v>
      </c>
      <c r="E1511" s="85">
        <v>1739433</v>
      </c>
      <c r="F1511" s="86">
        <v>127865</v>
      </c>
      <c r="G1511" s="87">
        <v>7.3509586000000002</v>
      </c>
    </row>
    <row r="1512" spans="1:7" x14ac:dyDescent="0.25">
      <c r="A1512" s="84" t="s">
        <v>2074</v>
      </c>
      <c r="B1512" s="84" t="s">
        <v>126</v>
      </c>
      <c r="C1512" s="84" t="s">
        <v>385</v>
      </c>
      <c r="D1512" s="85">
        <v>47737</v>
      </c>
      <c r="E1512" s="85">
        <v>1939221</v>
      </c>
      <c r="F1512" s="86">
        <v>66362.399999999994</v>
      </c>
      <c r="G1512" s="87">
        <v>3.4221164000000002</v>
      </c>
    </row>
    <row r="1513" spans="1:7" x14ac:dyDescent="0.25">
      <c r="A1513" s="84" t="s">
        <v>2075</v>
      </c>
      <c r="B1513" s="84" t="s">
        <v>126</v>
      </c>
      <c r="C1513" s="84" t="s">
        <v>385</v>
      </c>
      <c r="D1513" s="85">
        <v>33047</v>
      </c>
      <c r="E1513" s="85">
        <v>643821</v>
      </c>
      <c r="F1513" s="86">
        <v>65322.7</v>
      </c>
      <c r="G1513" s="87">
        <v>10.146096999999999</v>
      </c>
    </row>
    <row r="1514" spans="1:7" x14ac:dyDescent="0.25">
      <c r="A1514" s="84" t="s">
        <v>2076</v>
      </c>
      <c r="B1514" s="84" t="s">
        <v>126</v>
      </c>
      <c r="C1514" s="84" t="s">
        <v>385</v>
      </c>
      <c r="D1514" s="85">
        <v>216390</v>
      </c>
      <c r="E1514" s="85">
        <v>4473919</v>
      </c>
      <c r="F1514" s="86">
        <v>366059</v>
      </c>
      <c r="G1514" s="87">
        <v>8.1820658999999996</v>
      </c>
    </row>
    <row r="1515" spans="1:7" x14ac:dyDescent="0.25">
      <c r="A1515" s="84" t="s">
        <v>2077</v>
      </c>
      <c r="B1515" s="84" t="s">
        <v>126</v>
      </c>
      <c r="C1515" s="84" t="s">
        <v>385</v>
      </c>
      <c r="D1515" s="85">
        <v>52083</v>
      </c>
      <c r="E1515" s="85">
        <v>4343568</v>
      </c>
      <c r="F1515" s="86">
        <v>244855</v>
      </c>
      <c r="G1515" s="87">
        <v>5.6371858000000001</v>
      </c>
    </row>
    <row r="1516" spans="1:7" x14ac:dyDescent="0.25">
      <c r="A1516" s="84" t="s">
        <v>2078</v>
      </c>
      <c r="B1516" s="84" t="s">
        <v>126</v>
      </c>
      <c r="C1516" s="84" t="s">
        <v>385</v>
      </c>
      <c r="D1516" s="85">
        <v>16485</v>
      </c>
      <c r="E1516" s="85">
        <v>1094868</v>
      </c>
      <c r="F1516" s="86">
        <v>32777</v>
      </c>
      <c r="G1516" s="87">
        <v>2.9936942000000002</v>
      </c>
    </row>
    <row r="1517" spans="1:7" x14ac:dyDescent="0.25">
      <c r="A1517" s="84" t="s">
        <v>2080</v>
      </c>
      <c r="B1517" s="84" t="s">
        <v>126</v>
      </c>
      <c r="C1517" s="84" t="s">
        <v>385</v>
      </c>
      <c r="D1517" s="85">
        <v>28162</v>
      </c>
      <c r="E1517" s="85">
        <v>1038311</v>
      </c>
      <c r="F1517" s="86">
        <v>82663</v>
      </c>
      <c r="G1517" s="87">
        <v>7.9612948000000001</v>
      </c>
    </row>
    <row r="1518" spans="1:7" x14ac:dyDescent="0.25">
      <c r="A1518" s="84" t="s">
        <v>2081</v>
      </c>
      <c r="B1518" s="84" t="s">
        <v>126</v>
      </c>
      <c r="C1518" s="84" t="s">
        <v>385</v>
      </c>
      <c r="D1518" s="85">
        <v>43562</v>
      </c>
      <c r="E1518" s="85">
        <v>899577</v>
      </c>
      <c r="F1518" s="86">
        <v>100373.9</v>
      </c>
      <c r="G1518" s="87">
        <v>11.1579</v>
      </c>
    </row>
    <row r="1519" spans="1:7" x14ac:dyDescent="0.25">
      <c r="A1519" s="84" t="s">
        <v>2082</v>
      </c>
      <c r="B1519" s="84" t="s">
        <v>126</v>
      </c>
      <c r="C1519" s="84" t="s">
        <v>385</v>
      </c>
      <c r="D1519" s="85">
        <v>20240</v>
      </c>
      <c r="E1519" s="85">
        <v>380071</v>
      </c>
      <c r="F1519" s="86">
        <v>37589.699999999997</v>
      </c>
      <c r="G1519" s="87">
        <v>9.8901783999999999</v>
      </c>
    </row>
    <row r="1520" spans="1:7" x14ac:dyDescent="0.25">
      <c r="A1520" s="84" t="s">
        <v>2083</v>
      </c>
      <c r="B1520" s="84" t="s">
        <v>126</v>
      </c>
      <c r="C1520" s="84" t="s">
        <v>385</v>
      </c>
      <c r="D1520" s="85">
        <v>13432</v>
      </c>
      <c r="E1520" s="85">
        <v>419236</v>
      </c>
      <c r="F1520" s="86">
        <v>34727.199999999997</v>
      </c>
      <c r="G1520" s="87">
        <v>8.2834488999999998</v>
      </c>
    </row>
    <row r="1521" spans="1:7" x14ac:dyDescent="0.25">
      <c r="A1521" s="84" t="s">
        <v>2084</v>
      </c>
      <c r="B1521" s="84" t="s">
        <v>126</v>
      </c>
      <c r="C1521" s="84" t="s">
        <v>385</v>
      </c>
      <c r="D1521" s="85">
        <v>33208</v>
      </c>
      <c r="E1521" s="85">
        <v>929778</v>
      </c>
      <c r="F1521" s="86">
        <v>73423.399999999994</v>
      </c>
      <c r="G1521" s="87">
        <v>7.8968743000000003</v>
      </c>
    </row>
    <row r="1522" spans="1:7" x14ac:dyDescent="0.25">
      <c r="A1522" s="84" t="s">
        <v>2085</v>
      </c>
      <c r="B1522" s="84" t="s">
        <v>126</v>
      </c>
      <c r="C1522" s="84" t="s">
        <v>385</v>
      </c>
      <c r="D1522" s="85">
        <v>21410</v>
      </c>
      <c r="E1522" s="85">
        <v>598987</v>
      </c>
      <c r="F1522" s="86">
        <v>46271.1</v>
      </c>
      <c r="G1522" s="87">
        <v>7.7248922000000002</v>
      </c>
    </row>
    <row r="1523" spans="1:7" x14ac:dyDescent="0.25">
      <c r="A1523" s="84" t="s">
        <v>2086</v>
      </c>
      <c r="B1523" s="84" t="s">
        <v>126</v>
      </c>
      <c r="C1523" s="84" t="s">
        <v>385</v>
      </c>
      <c r="D1523" s="85">
        <v>9448</v>
      </c>
      <c r="E1523" s="85">
        <v>505718</v>
      </c>
      <c r="F1523" s="86">
        <v>30702</v>
      </c>
      <c r="G1523" s="87">
        <v>6.0709723999999996</v>
      </c>
    </row>
    <row r="1524" spans="1:7" x14ac:dyDescent="0.25">
      <c r="A1524" s="84" t="s">
        <v>2088</v>
      </c>
      <c r="B1524" s="84" t="s">
        <v>126</v>
      </c>
      <c r="C1524" s="84" t="s">
        <v>385</v>
      </c>
      <c r="D1524" s="85">
        <v>1</v>
      </c>
      <c r="E1524" s="85">
        <v>221717</v>
      </c>
      <c r="F1524" s="86">
        <v>11424</v>
      </c>
      <c r="G1524" s="87">
        <v>5.1525141999999997</v>
      </c>
    </row>
    <row r="1525" spans="1:7" x14ac:dyDescent="0.25">
      <c r="A1525" s="84" t="s">
        <v>2089</v>
      </c>
      <c r="B1525" s="84" t="s">
        <v>126</v>
      </c>
      <c r="C1525" s="84" t="s">
        <v>385</v>
      </c>
      <c r="D1525" s="85">
        <v>52228</v>
      </c>
      <c r="E1525" s="85">
        <v>4986438</v>
      </c>
      <c r="F1525" s="86">
        <v>209777</v>
      </c>
      <c r="G1525" s="87">
        <v>4.2069508999999998</v>
      </c>
    </row>
    <row r="1526" spans="1:7" x14ac:dyDescent="0.25">
      <c r="A1526" s="84" t="s">
        <v>2090</v>
      </c>
      <c r="B1526" s="84" t="s">
        <v>126</v>
      </c>
      <c r="C1526" s="84" t="s">
        <v>385</v>
      </c>
      <c r="D1526" s="85">
        <v>17868</v>
      </c>
      <c r="E1526" s="85">
        <v>292274</v>
      </c>
      <c r="F1526" s="86">
        <v>23966.9</v>
      </c>
      <c r="G1526" s="87">
        <v>8.2001477999999999</v>
      </c>
    </row>
    <row r="1527" spans="1:7" x14ac:dyDescent="0.25">
      <c r="A1527" s="84" t="s">
        <v>2091</v>
      </c>
      <c r="B1527" s="84" t="s">
        <v>126</v>
      </c>
      <c r="C1527" s="84" t="s">
        <v>385</v>
      </c>
      <c r="D1527" s="85">
        <v>34640</v>
      </c>
      <c r="E1527" s="85">
        <v>656508</v>
      </c>
      <c r="F1527" s="86">
        <v>67790</v>
      </c>
      <c r="G1527" s="87">
        <v>10.325844999999999</v>
      </c>
    </row>
    <row r="1528" spans="1:7" x14ac:dyDescent="0.25">
      <c r="A1528" s="84" t="s">
        <v>457</v>
      </c>
      <c r="B1528" s="84" t="s">
        <v>126</v>
      </c>
      <c r="C1528" s="84" t="s">
        <v>278</v>
      </c>
      <c r="D1528" s="85">
        <v>133542</v>
      </c>
      <c r="E1528" s="85">
        <v>4065151</v>
      </c>
      <c r="F1528" s="86">
        <v>322710.59999999998</v>
      </c>
      <c r="G1528" s="87">
        <v>7.9384652999999998</v>
      </c>
    </row>
    <row r="1529" spans="1:7" x14ac:dyDescent="0.25">
      <c r="A1529" s="84" t="s">
        <v>2093</v>
      </c>
      <c r="B1529" s="84" t="s">
        <v>126</v>
      </c>
      <c r="C1529" s="84" t="s">
        <v>281</v>
      </c>
      <c r="D1529" s="85">
        <v>34214</v>
      </c>
      <c r="E1529" s="85">
        <v>587002</v>
      </c>
      <c r="F1529" s="86">
        <v>58796.5</v>
      </c>
      <c r="G1529" s="87">
        <v>10.016405000000001</v>
      </c>
    </row>
    <row r="1530" spans="1:7" x14ac:dyDescent="0.25">
      <c r="A1530" s="84" t="s">
        <v>2094</v>
      </c>
      <c r="B1530" s="84" t="s">
        <v>126</v>
      </c>
      <c r="C1530" s="84" t="s">
        <v>278</v>
      </c>
      <c r="D1530" s="85">
        <v>1181469</v>
      </c>
      <c r="E1530" s="85">
        <v>20088222</v>
      </c>
      <c r="F1530" s="86">
        <v>2097310.1</v>
      </c>
      <c r="G1530" s="87">
        <v>10.440496</v>
      </c>
    </row>
    <row r="1531" spans="1:7" x14ac:dyDescent="0.25">
      <c r="A1531" s="84" t="s">
        <v>408</v>
      </c>
      <c r="B1531" s="84" t="s">
        <v>126</v>
      </c>
      <c r="C1531" s="84" t="s">
        <v>392</v>
      </c>
      <c r="D1531" s="85">
        <v>99</v>
      </c>
      <c r="E1531" s="85">
        <v>593</v>
      </c>
      <c r="F1531" s="86">
        <v>75.900000000000006</v>
      </c>
      <c r="G1531" s="87">
        <v>12.799325</v>
      </c>
    </row>
    <row r="1532" spans="1:7" x14ac:dyDescent="0.25">
      <c r="A1532" s="84" t="s">
        <v>2097</v>
      </c>
      <c r="B1532" s="84" t="s">
        <v>126</v>
      </c>
      <c r="C1532" s="84" t="s">
        <v>385</v>
      </c>
      <c r="D1532" s="85">
        <v>12624</v>
      </c>
      <c r="E1532" s="85">
        <v>221282</v>
      </c>
      <c r="F1532" s="86">
        <v>18181</v>
      </c>
      <c r="G1532" s="87">
        <v>8.2162127999999992</v>
      </c>
    </row>
    <row r="1533" spans="1:7" x14ac:dyDescent="0.25">
      <c r="A1533" s="84" t="s">
        <v>2098</v>
      </c>
      <c r="B1533" s="84" t="s">
        <v>132</v>
      </c>
      <c r="C1533" s="84" t="s">
        <v>281</v>
      </c>
      <c r="D1533" s="85">
        <v>37989</v>
      </c>
      <c r="E1533" s="85">
        <v>531662</v>
      </c>
      <c r="F1533" s="86">
        <v>70708</v>
      </c>
      <c r="G1533" s="87">
        <v>13.299427</v>
      </c>
    </row>
    <row r="1534" spans="1:7" x14ac:dyDescent="0.25">
      <c r="A1534" s="84" t="s">
        <v>2099</v>
      </c>
      <c r="B1534" s="84" t="s">
        <v>132</v>
      </c>
      <c r="C1534" s="84" t="s">
        <v>283</v>
      </c>
      <c r="D1534" s="85">
        <v>2039</v>
      </c>
      <c r="E1534" s="85">
        <v>36462</v>
      </c>
      <c r="F1534" s="86">
        <v>3831.8</v>
      </c>
      <c r="G1534" s="87">
        <v>10.509022999999999</v>
      </c>
    </row>
    <row r="1535" spans="1:7" x14ac:dyDescent="0.25">
      <c r="A1535" s="84" t="s">
        <v>2100</v>
      </c>
      <c r="B1535" s="84" t="s">
        <v>132</v>
      </c>
      <c r="C1535" s="84" t="s">
        <v>281</v>
      </c>
      <c r="D1535" s="85">
        <v>18982</v>
      </c>
      <c r="E1535" s="85">
        <v>325103</v>
      </c>
      <c r="F1535" s="86">
        <v>37102</v>
      </c>
      <c r="G1535" s="87">
        <v>11.412383</v>
      </c>
    </row>
    <row r="1536" spans="1:7" x14ac:dyDescent="0.25">
      <c r="A1536" s="84" t="s">
        <v>2101</v>
      </c>
      <c r="B1536" s="84" t="s">
        <v>132</v>
      </c>
      <c r="C1536" s="84" t="s">
        <v>283</v>
      </c>
      <c r="D1536" s="85">
        <v>1851</v>
      </c>
      <c r="E1536" s="85">
        <v>32920</v>
      </c>
      <c r="F1536" s="86">
        <v>3611.6</v>
      </c>
      <c r="G1536" s="87">
        <v>10.970838000000001</v>
      </c>
    </row>
    <row r="1537" spans="1:7" x14ac:dyDescent="0.25">
      <c r="A1537" s="84" t="s">
        <v>2102</v>
      </c>
      <c r="B1537" s="84" t="s">
        <v>132</v>
      </c>
      <c r="C1537" s="84" t="s">
        <v>283</v>
      </c>
      <c r="D1537" s="85">
        <v>6610</v>
      </c>
      <c r="E1537" s="85">
        <v>106896</v>
      </c>
      <c r="F1537" s="86">
        <v>11316.6</v>
      </c>
      <c r="G1537" s="87">
        <v>10.586551</v>
      </c>
    </row>
    <row r="1538" spans="1:7" x14ac:dyDescent="0.25">
      <c r="A1538" s="84" t="s">
        <v>2105</v>
      </c>
      <c r="B1538" s="84" t="s">
        <v>132</v>
      </c>
      <c r="C1538" s="84" t="s">
        <v>283</v>
      </c>
      <c r="D1538" s="85">
        <v>2772</v>
      </c>
      <c r="E1538" s="85">
        <v>53321</v>
      </c>
      <c r="F1538" s="86">
        <v>6073.5</v>
      </c>
      <c r="G1538" s="87">
        <v>11.390447</v>
      </c>
    </row>
    <row r="1539" spans="1:7" x14ac:dyDescent="0.25">
      <c r="A1539" s="84" t="s">
        <v>2106</v>
      </c>
      <c r="B1539" s="84" t="s">
        <v>132</v>
      </c>
      <c r="C1539" s="84" t="s">
        <v>283</v>
      </c>
      <c r="D1539" s="85">
        <v>1794</v>
      </c>
      <c r="E1539" s="85">
        <v>42523</v>
      </c>
      <c r="F1539" s="86">
        <v>3812</v>
      </c>
      <c r="G1539" s="87">
        <v>8.9645603999999999</v>
      </c>
    </row>
    <row r="1540" spans="1:7" x14ac:dyDescent="0.25">
      <c r="A1540" s="84" t="s">
        <v>2108</v>
      </c>
      <c r="B1540" s="84" t="s">
        <v>132</v>
      </c>
      <c r="C1540" s="84" t="s">
        <v>283</v>
      </c>
      <c r="D1540" s="85">
        <v>2884</v>
      </c>
      <c r="E1540" s="85">
        <v>73375</v>
      </c>
      <c r="F1540" s="86">
        <v>7005.1</v>
      </c>
      <c r="G1540" s="87">
        <v>9.5469846999999994</v>
      </c>
    </row>
    <row r="1541" spans="1:7" x14ac:dyDescent="0.25">
      <c r="A1541" s="84" t="s">
        <v>2109</v>
      </c>
      <c r="B1541" s="84" t="s">
        <v>132</v>
      </c>
      <c r="C1541" s="84" t="s">
        <v>283</v>
      </c>
      <c r="D1541" s="85">
        <v>1116</v>
      </c>
      <c r="E1541" s="85">
        <v>17734</v>
      </c>
      <c r="F1541" s="86">
        <v>1954</v>
      </c>
      <c r="G1541" s="87">
        <v>11.018383</v>
      </c>
    </row>
    <row r="1542" spans="1:7" x14ac:dyDescent="0.25">
      <c r="A1542" s="84" t="s">
        <v>2110</v>
      </c>
      <c r="B1542" s="84" t="s">
        <v>132</v>
      </c>
      <c r="C1542" s="84" t="s">
        <v>283</v>
      </c>
      <c r="D1542" s="85">
        <v>1557</v>
      </c>
      <c r="E1542" s="85">
        <v>29829</v>
      </c>
      <c r="F1542" s="86">
        <v>3056.3</v>
      </c>
      <c r="G1542" s="87">
        <v>10.246069</v>
      </c>
    </row>
    <row r="1543" spans="1:7" x14ac:dyDescent="0.25">
      <c r="A1543" s="84" t="s">
        <v>2112</v>
      </c>
      <c r="B1543" s="84" t="s">
        <v>132</v>
      </c>
      <c r="C1543" s="84" t="s">
        <v>283</v>
      </c>
      <c r="D1543" s="85">
        <v>4684</v>
      </c>
      <c r="E1543" s="85">
        <v>65686</v>
      </c>
      <c r="F1543" s="86">
        <v>7449.7</v>
      </c>
      <c r="G1543" s="87">
        <v>11.341381999999999</v>
      </c>
    </row>
    <row r="1544" spans="1:7" x14ac:dyDescent="0.25">
      <c r="A1544" s="84" t="s">
        <v>2113</v>
      </c>
      <c r="B1544" s="84" t="s">
        <v>132</v>
      </c>
      <c r="C1544" s="84" t="s">
        <v>283</v>
      </c>
      <c r="D1544" s="85">
        <v>15647</v>
      </c>
      <c r="E1544" s="85">
        <v>504912</v>
      </c>
      <c r="F1544" s="86">
        <v>42877.8</v>
      </c>
      <c r="G1544" s="87">
        <v>8.4921333000000008</v>
      </c>
    </row>
    <row r="1545" spans="1:7" x14ac:dyDescent="0.25">
      <c r="A1545" s="84" t="s">
        <v>2114</v>
      </c>
      <c r="B1545" s="84" t="s">
        <v>132</v>
      </c>
      <c r="C1545" s="84" t="s">
        <v>283</v>
      </c>
      <c r="D1545" s="85">
        <v>1769</v>
      </c>
      <c r="E1545" s="85">
        <v>26831</v>
      </c>
      <c r="F1545" s="86">
        <v>3108.3</v>
      </c>
      <c r="G1545" s="87">
        <v>11.584733999999999</v>
      </c>
    </row>
    <row r="1546" spans="1:7" x14ac:dyDescent="0.25">
      <c r="A1546" s="84" t="s">
        <v>2115</v>
      </c>
      <c r="B1546" s="84" t="s">
        <v>132</v>
      </c>
      <c r="C1546" s="84" t="s">
        <v>283</v>
      </c>
      <c r="D1546" s="85">
        <v>13789</v>
      </c>
      <c r="E1546" s="85">
        <v>358232</v>
      </c>
      <c r="F1546" s="86">
        <v>28156</v>
      </c>
      <c r="G1546" s="87">
        <v>7.8597109999999999</v>
      </c>
    </row>
    <row r="1547" spans="1:7" x14ac:dyDescent="0.25">
      <c r="A1547" s="84" t="s">
        <v>2117</v>
      </c>
      <c r="B1547" s="84" t="s">
        <v>132</v>
      </c>
      <c r="C1547" s="84" t="s">
        <v>283</v>
      </c>
      <c r="D1547" s="85">
        <v>9051</v>
      </c>
      <c r="E1547" s="85">
        <v>496390</v>
      </c>
      <c r="F1547" s="86">
        <v>37362.800000000003</v>
      </c>
      <c r="G1547" s="87">
        <v>7.5269041999999997</v>
      </c>
    </row>
    <row r="1548" spans="1:7" x14ac:dyDescent="0.25">
      <c r="A1548" s="84" t="s">
        <v>2118</v>
      </c>
      <c r="B1548" s="84" t="s">
        <v>132</v>
      </c>
      <c r="C1548" s="84" t="s">
        <v>283</v>
      </c>
      <c r="D1548" s="85">
        <v>2512</v>
      </c>
      <c r="E1548" s="85">
        <v>40480</v>
      </c>
      <c r="F1548" s="86">
        <v>4588.7</v>
      </c>
      <c r="G1548" s="87">
        <v>11.335720999999999</v>
      </c>
    </row>
    <row r="1549" spans="1:7" x14ac:dyDescent="0.25">
      <c r="A1549" s="84" t="s">
        <v>2119</v>
      </c>
      <c r="B1549" s="84" t="s">
        <v>132</v>
      </c>
      <c r="C1549" s="84" t="s">
        <v>283</v>
      </c>
      <c r="D1549" s="85">
        <v>5040</v>
      </c>
      <c r="E1549" s="85">
        <v>99520</v>
      </c>
      <c r="F1549" s="86">
        <v>9748.2999999999993</v>
      </c>
      <c r="G1549" s="87">
        <v>9.7953174999999995</v>
      </c>
    </row>
    <row r="1550" spans="1:7" x14ac:dyDescent="0.25">
      <c r="A1550" s="84" t="s">
        <v>2120</v>
      </c>
      <c r="B1550" s="84" t="s">
        <v>132</v>
      </c>
      <c r="C1550" s="84" t="s">
        <v>283</v>
      </c>
      <c r="D1550" s="85">
        <v>8563</v>
      </c>
      <c r="E1550" s="85">
        <v>266821</v>
      </c>
      <c r="F1550" s="86">
        <v>23557.599999999999</v>
      </c>
      <c r="G1550" s="87">
        <v>8.8289901999999998</v>
      </c>
    </row>
    <row r="1551" spans="1:7" x14ac:dyDescent="0.25">
      <c r="A1551" s="84" t="s">
        <v>2121</v>
      </c>
      <c r="B1551" s="84" t="s">
        <v>132</v>
      </c>
      <c r="C1551" s="84" t="s">
        <v>283</v>
      </c>
      <c r="D1551" s="85">
        <v>2950</v>
      </c>
      <c r="E1551" s="85">
        <v>107160</v>
      </c>
      <c r="F1551" s="86">
        <v>9151.1</v>
      </c>
      <c r="G1551" s="87">
        <v>8.5396602999999995</v>
      </c>
    </row>
    <row r="1552" spans="1:7" x14ac:dyDescent="0.25">
      <c r="A1552" s="84" t="s">
        <v>2122</v>
      </c>
      <c r="B1552" s="84" t="s">
        <v>132</v>
      </c>
      <c r="C1552" s="84" t="s">
        <v>283</v>
      </c>
      <c r="D1552" s="85">
        <v>6898</v>
      </c>
      <c r="E1552" s="85">
        <v>122409</v>
      </c>
      <c r="F1552" s="86">
        <v>12976.6</v>
      </c>
      <c r="G1552" s="87">
        <v>10.601018</v>
      </c>
    </row>
    <row r="1553" spans="1:7" x14ac:dyDescent="0.25">
      <c r="A1553" s="84" t="s">
        <v>2124</v>
      </c>
      <c r="B1553" s="84" t="s">
        <v>132</v>
      </c>
      <c r="C1553" s="84" t="s">
        <v>283</v>
      </c>
      <c r="D1553" s="85">
        <v>8851</v>
      </c>
      <c r="E1553" s="85">
        <v>138613</v>
      </c>
      <c r="F1553" s="86">
        <v>14482</v>
      </c>
      <c r="G1553" s="87">
        <v>10.447793000000001</v>
      </c>
    </row>
    <row r="1554" spans="1:7" x14ac:dyDescent="0.25">
      <c r="A1554" s="84" t="s">
        <v>2125</v>
      </c>
      <c r="B1554" s="84" t="s">
        <v>132</v>
      </c>
      <c r="C1554" s="84" t="s">
        <v>283</v>
      </c>
      <c r="D1554" s="85">
        <v>9059</v>
      </c>
      <c r="E1554" s="85">
        <v>146433</v>
      </c>
      <c r="F1554" s="86">
        <v>14399.9</v>
      </c>
      <c r="G1554" s="87">
        <v>9.8337806000000008</v>
      </c>
    </row>
    <row r="1555" spans="1:7" x14ac:dyDescent="0.25">
      <c r="A1555" s="84" t="s">
        <v>2126</v>
      </c>
      <c r="B1555" s="84" t="s">
        <v>132</v>
      </c>
      <c r="C1555" s="84" t="s">
        <v>283</v>
      </c>
      <c r="D1555" s="85">
        <v>1231</v>
      </c>
      <c r="E1555" s="85">
        <v>22620</v>
      </c>
      <c r="F1555" s="86">
        <v>2444</v>
      </c>
      <c r="G1555" s="87">
        <v>10.804598</v>
      </c>
    </row>
    <row r="1556" spans="1:7" x14ac:dyDescent="0.25">
      <c r="A1556" s="84" t="s">
        <v>2128</v>
      </c>
      <c r="B1556" s="84" t="s">
        <v>132</v>
      </c>
      <c r="C1556" s="84" t="s">
        <v>278</v>
      </c>
      <c r="D1556" s="85">
        <v>103</v>
      </c>
      <c r="E1556" s="85">
        <v>831059</v>
      </c>
      <c r="F1556" s="86">
        <v>36478.6</v>
      </c>
      <c r="G1556" s="87">
        <v>4.3894115999999999</v>
      </c>
    </row>
    <row r="1557" spans="1:7" x14ac:dyDescent="0.25">
      <c r="A1557" s="84" t="s">
        <v>2129</v>
      </c>
      <c r="B1557" s="84" t="s">
        <v>132</v>
      </c>
      <c r="C1557" s="84" t="s">
        <v>278</v>
      </c>
      <c r="D1557" s="85">
        <v>11944</v>
      </c>
      <c r="E1557" s="85">
        <v>106697</v>
      </c>
      <c r="F1557" s="86">
        <v>13976</v>
      </c>
      <c r="G1557" s="87">
        <v>13.098775</v>
      </c>
    </row>
    <row r="1558" spans="1:7" x14ac:dyDescent="0.25">
      <c r="A1558" s="84" t="s">
        <v>2130</v>
      </c>
      <c r="B1558" s="84" t="s">
        <v>132</v>
      </c>
      <c r="C1558" s="84" t="s">
        <v>281</v>
      </c>
      <c r="D1558" s="85">
        <v>10139</v>
      </c>
      <c r="E1558" s="85">
        <v>213247</v>
      </c>
      <c r="F1558" s="86">
        <v>24902.3</v>
      </c>
      <c r="G1558" s="87">
        <v>11.677678999999999</v>
      </c>
    </row>
    <row r="1559" spans="1:7" x14ac:dyDescent="0.25">
      <c r="A1559" s="84" t="s">
        <v>1126</v>
      </c>
      <c r="B1559" s="84" t="s">
        <v>132</v>
      </c>
      <c r="C1559" s="84" t="s">
        <v>281</v>
      </c>
      <c r="D1559" s="85">
        <v>5388</v>
      </c>
      <c r="E1559" s="85">
        <v>54258</v>
      </c>
      <c r="F1559" s="86">
        <v>7609.9</v>
      </c>
      <c r="G1559" s="87">
        <v>14.025397</v>
      </c>
    </row>
    <row r="1560" spans="1:7" x14ac:dyDescent="0.25">
      <c r="A1560" s="84" t="s">
        <v>2132</v>
      </c>
      <c r="B1560" s="84" t="s">
        <v>132</v>
      </c>
      <c r="C1560" s="84" t="s">
        <v>283</v>
      </c>
      <c r="D1560" s="85">
        <v>1522</v>
      </c>
      <c r="E1560" s="85">
        <v>17128</v>
      </c>
      <c r="F1560" s="86">
        <v>2263.6</v>
      </c>
      <c r="G1560" s="87">
        <v>13.215787000000001</v>
      </c>
    </row>
    <row r="1561" spans="1:7" x14ac:dyDescent="0.25">
      <c r="A1561" s="84" t="s">
        <v>2365</v>
      </c>
      <c r="B1561" s="84" t="s">
        <v>132</v>
      </c>
      <c r="C1561" s="84" t="s">
        <v>392</v>
      </c>
      <c r="D1561" s="85">
        <v>1</v>
      </c>
      <c r="E1561" s="85">
        <v>5793</v>
      </c>
      <c r="F1561" s="86">
        <v>580.5</v>
      </c>
      <c r="G1561" s="87">
        <v>10.020714999999999</v>
      </c>
    </row>
    <row r="1562" spans="1:7" x14ac:dyDescent="0.25">
      <c r="A1562" s="84" t="s">
        <v>2133</v>
      </c>
      <c r="B1562" s="84" t="s">
        <v>132</v>
      </c>
      <c r="C1562" s="84" t="s">
        <v>283</v>
      </c>
      <c r="D1562" s="85">
        <v>7662</v>
      </c>
      <c r="E1562" s="85">
        <v>299543</v>
      </c>
      <c r="F1562" s="86">
        <v>25076</v>
      </c>
      <c r="G1562" s="87">
        <v>8.3714191000000007</v>
      </c>
    </row>
    <row r="1563" spans="1:7" x14ac:dyDescent="0.25">
      <c r="A1563" s="84" t="s">
        <v>2134</v>
      </c>
      <c r="B1563" s="84" t="s">
        <v>132</v>
      </c>
      <c r="C1563" s="84" t="s">
        <v>283</v>
      </c>
      <c r="D1563" s="85">
        <v>1587</v>
      </c>
      <c r="E1563" s="85">
        <v>18168</v>
      </c>
      <c r="F1563" s="86">
        <v>2399.1</v>
      </c>
      <c r="G1563" s="87">
        <v>13.205086</v>
      </c>
    </row>
    <row r="1564" spans="1:7" x14ac:dyDescent="0.25">
      <c r="A1564" s="84" t="s">
        <v>2136</v>
      </c>
      <c r="B1564" s="84" t="s">
        <v>132</v>
      </c>
      <c r="C1564" s="84" t="s">
        <v>283</v>
      </c>
      <c r="D1564" s="85">
        <v>4152</v>
      </c>
      <c r="E1564" s="85">
        <v>97043</v>
      </c>
      <c r="F1564" s="86">
        <v>9341.7000000000007</v>
      </c>
      <c r="G1564" s="87">
        <v>9.6263512000000002</v>
      </c>
    </row>
    <row r="1565" spans="1:7" x14ac:dyDescent="0.25">
      <c r="A1565" s="84" t="s">
        <v>2138</v>
      </c>
      <c r="B1565" s="84" t="s">
        <v>132</v>
      </c>
      <c r="C1565" s="84" t="s">
        <v>283</v>
      </c>
      <c r="D1565" s="85">
        <v>1141</v>
      </c>
      <c r="E1565" s="85">
        <v>40695</v>
      </c>
      <c r="F1565" s="86">
        <v>3952.8</v>
      </c>
      <c r="G1565" s="87">
        <v>9.7132325999999996</v>
      </c>
    </row>
    <row r="1566" spans="1:7" x14ac:dyDescent="0.25">
      <c r="A1566" s="84" t="s">
        <v>2139</v>
      </c>
      <c r="B1566" s="84" t="s">
        <v>132</v>
      </c>
      <c r="C1566" s="84" t="s">
        <v>283</v>
      </c>
      <c r="D1566" s="85">
        <v>4180</v>
      </c>
      <c r="E1566" s="85">
        <v>61688</v>
      </c>
      <c r="F1566" s="86">
        <v>7439.7</v>
      </c>
      <c r="G1566" s="87">
        <v>12.060206000000001</v>
      </c>
    </row>
    <row r="1567" spans="1:7" x14ac:dyDescent="0.25">
      <c r="A1567" s="84" t="s">
        <v>401</v>
      </c>
      <c r="B1567" s="84" t="s">
        <v>132</v>
      </c>
      <c r="C1567" s="84" t="s">
        <v>392</v>
      </c>
      <c r="D1567" s="85">
        <v>3</v>
      </c>
      <c r="E1567" s="85">
        <v>537</v>
      </c>
      <c r="F1567" s="86">
        <v>43.2</v>
      </c>
      <c r="G1567" s="87">
        <v>8.0446927000000006</v>
      </c>
    </row>
    <row r="1568" spans="1:7" x14ac:dyDescent="0.25">
      <c r="A1568" s="84" t="s">
        <v>2140</v>
      </c>
      <c r="B1568" s="84" t="s">
        <v>132</v>
      </c>
      <c r="C1568" s="84" t="s">
        <v>278</v>
      </c>
      <c r="D1568" s="85">
        <v>159249</v>
      </c>
      <c r="E1568" s="85">
        <v>3103765</v>
      </c>
      <c r="F1568" s="86">
        <v>393361</v>
      </c>
      <c r="G1568" s="87">
        <v>12.673672</v>
      </c>
    </row>
    <row r="1569" spans="1:7" x14ac:dyDescent="0.25">
      <c r="A1569" s="84" t="s">
        <v>2141</v>
      </c>
      <c r="B1569" s="84" t="s">
        <v>132</v>
      </c>
      <c r="C1569" s="84" t="s">
        <v>283</v>
      </c>
      <c r="D1569" s="85">
        <v>18364</v>
      </c>
      <c r="E1569" s="85">
        <v>504541</v>
      </c>
      <c r="F1569" s="86">
        <v>37116.400000000001</v>
      </c>
      <c r="G1569" s="87">
        <v>7.3564686000000004</v>
      </c>
    </row>
    <row r="1570" spans="1:7" x14ac:dyDescent="0.25">
      <c r="A1570" s="84" t="s">
        <v>2142</v>
      </c>
      <c r="B1570" s="84" t="s">
        <v>132</v>
      </c>
      <c r="C1570" s="84" t="s">
        <v>283</v>
      </c>
      <c r="D1570" s="85">
        <v>3999</v>
      </c>
      <c r="E1570" s="85">
        <v>174884</v>
      </c>
      <c r="F1570" s="86">
        <v>14747.4</v>
      </c>
      <c r="G1570" s="87">
        <v>8.4326754000000008</v>
      </c>
    </row>
    <row r="1571" spans="1:7" x14ac:dyDescent="0.25">
      <c r="A1571" s="84" t="s">
        <v>2143</v>
      </c>
      <c r="B1571" s="84" t="s">
        <v>132</v>
      </c>
      <c r="C1571" s="84" t="s">
        <v>278</v>
      </c>
      <c r="D1571" s="85">
        <v>5216</v>
      </c>
      <c r="E1571" s="85">
        <v>35637</v>
      </c>
      <c r="F1571" s="86">
        <v>5233.6000000000004</v>
      </c>
      <c r="G1571" s="87">
        <v>14.68586</v>
      </c>
    </row>
    <row r="1572" spans="1:7" x14ac:dyDescent="0.25">
      <c r="A1572" s="84" t="s">
        <v>2390</v>
      </c>
      <c r="B1572" s="84" t="s">
        <v>132</v>
      </c>
      <c r="C1572" s="84" t="s">
        <v>278</v>
      </c>
      <c r="D1572" s="85">
        <v>254197</v>
      </c>
      <c r="E1572" s="85">
        <v>6478007</v>
      </c>
      <c r="F1572" s="86">
        <v>667855.6</v>
      </c>
      <c r="G1572" s="87">
        <v>10.309583999999999</v>
      </c>
    </row>
    <row r="1573" spans="1:7" x14ac:dyDescent="0.25">
      <c r="A1573" s="84" t="s">
        <v>1154</v>
      </c>
      <c r="B1573" s="84" t="s">
        <v>132</v>
      </c>
      <c r="C1573" s="84" t="s">
        <v>278</v>
      </c>
      <c r="D1573" s="85">
        <v>13700</v>
      </c>
      <c r="E1573" s="85">
        <v>173240</v>
      </c>
      <c r="F1573" s="86">
        <v>20826.7</v>
      </c>
      <c r="G1573" s="87">
        <v>12.021877</v>
      </c>
    </row>
    <row r="1574" spans="1:7" x14ac:dyDescent="0.25">
      <c r="A1574" s="84" t="s">
        <v>2144</v>
      </c>
      <c r="B1574" s="84" t="s">
        <v>132</v>
      </c>
      <c r="C1574" s="84" t="s">
        <v>281</v>
      </c>
      <c r="D1574" s="85">
        <v>17226</v>
      </c>
      <c r="E1574" s="85">
        <v>324853</v>
      </c>
      <c r="F1574" s="86">
        <v>37975</v>
      </c>
      <c r="G1574" s="87">
        <v>11.689902999999999</v>
      </c>
    </row>
    <row r="1575" spans="1:7" x14ac:dyDescent="0.25">
      <c r="A1575" s="84" t="s">
        <v>2145</v>
      </c>
      <c r="B1575" s="84" t="s">
        <v>132</v>
      </c>
      <c r="C1575" s="84" t="s">
        <v>283</v>
      </c>
      <c r="D1575" s="85">
        <v>10178</v>
      </c>
      <c r="E1575" s="85">
        <v>223777</v>
      </c>
      <c r="F1575" s="86">
        <v>23498</v>
      </c>
      <c r="G1575" s="87">
        <v>10.500632</v>
      </c>
    </row>
    <row r="1576" spans="1:7" x14ac:dyDescent="0.25">
      <c r="A1576" s="84" t="s">
        <v>2147</v>
      </c>
      <c r="B1576" s="84" t="s">
        <v>132</v>
      </c>
      <c r="C1576" s="84" t="s">
        <v>283</v>
      </c>
      <c r="D1576" s="85">
        <v>1645</v>
      </c>
      <c r="E1576" s="85">
        <v>25828</v>
      </c>
      <c r="F1576" s="86">
        <v>3031.2</v>
      </c>
      <c r="G1576" s="87">
        <v>11.7361</v>
      </c>
    </row>
    <row r="1577" spans="1:7" x14ac:dyDescent="0.25">
      <c r="A1577" s="84" t="s">
        <v>2149</v>
      </c>
      <c r="B1577" s="84" t="s">
        <v>132</v>
      </c>
      <c r="C1577" s="84" t="s">
        <v>278</v>
      </c>
      <c r="D1577" s="85">
        <v>2224</v>
      </c>
      <c r="E1577" s="85">
        <v>17845</v>
      </c>
      <c r="F1577" s="86">
        <v>2555</v>
      </c>
      <c r="G1577" s="87">
        <v>14.317736</v>
      </c>
    </row>
    <row r="1578" spans="1:7" x14ac:dyDescent="0.25">
      <c r="A1578" s="84" t="s">
        <v>2150</v>
      </c>
      <c r="B1578" s="84" t="s">
        <v>132</v>
      </c>
      <c r="C1578" s="84" t="s">
        <v>281</v>
      </c>
      <c r="D1578" s="85">
        <v>21018</v>
      </c>
      <c r="E1578" s="85">
        <v>238111</v>
      </c>
      <c r="F1578" s="86">
        <v>33353.599999999999</v>
      </c>
      <c r="G1578" s="87">
        <v>14.007585000000001</v>
      </c>
    </row>
    <row r="1579" spans="1:7" x14ac:dyDescent="0.25">
      <c r="A1579" s="84" t="s">
        <v>2152</v>
      </c>
      <c r="B1579" s="84" t="s">
        <v>132</v>
      </c>
      <c r="C1579" s="84" t="s">
        <v>283</v>
      </c>
      <c r="D1579" s="85">
        <v>5203</v>
      </c>
      <c r="E1579" s="85">
        <v>207393</v>
      </c>
      <c r="F1579" s="86">
        <v>21177.5</v>
      </c>
      <c r="G1579" s="87">
        <v>10.21129</v>
      </c>
    </row>
    <row r="1580" spans="1:7" x14ac:dyDescent="0.25">
      <c r="A1580" s="84" t="s">
        <v>2154</v>
      </c>
      <c r="B1580" s="84" t="s">
        <v>132</v>
      </c>
      <c r="C1580" s="84" t="s">
        <v>281</v>
      </c>
      <c r="D1580" s="85">
        <v>18519</v>
      </c>
      <c r="E1580" s="85">
        <v>281598</v>
      </c>
      <c r="F1580" s="86">
        <v>38372.699999999997</v>
      </c>
      <c r="G1580" s="87">
        <v>13.626766</v>
      </c>
    </row>
    <row r="1581" spans="1:7" x14ac:dyDescent="0.25">
      <c r="A1581" s="84" t="s">
        <v>783</v>
      </c>
      <c r="B1581" s="84" t="s">
        <v>132</v>
      </c>
      <c r="C1581" s="84" t="s">
        <v>281</v>
      </c>
      <c r="D1581" s="85">
        <v>7545</v>
      </c>
      <c r="E1581" s="85">
        <v>299115</v>
      </c>
      <c r="F1581" s="86">
        <v>23234</v>
      </c>
      <c r="G1581" s="87">
        <v>7.7675809999999998</v>
      </c>
    </row>
    <row r="1582" spans="1:7" x14ac:dyDescent="0.25">
      <c r="A1582" s="84" t="s">
        <v>785</v>
      </c>
      <c r="B1582" s="84" t="s">
        <v>132</v>
      </c>
      <c r="C1582" s="84" t="s">
        <v>281</v>
      </c>
      <c r="D1582" s="85">
        <v>14317</v>
      </c>
      <c r="E1582" s="85">
        <v>222443</v>
      </c>
      <c r="F1582" s="86">
        <v>29705.1</v>
      </c>
      <c r="G1582" s="87">
        <v>13.354028</v>
      </c>
    </row>
    <row r="1583" spans="1:7" x14ac:dyDescent="0.25">
      <c r="A1583" s="84" t="s">
        <v>2155</v>
      </c>
      <c r="B1583" s="84" t="s">
        <v>132</v>
      </c>
      <c r="C1583" s="84" t="s">
        <v>283</v>
      </c>
      <c r="D1583" s="85">
        <v>5751</v>
      </c>
      <c r="E1583" s="85">
        <v>273457</v>
      </c>
      <c r="F1583" s="86">
        <v>21589.4</v>
      </c>
      <c r="G1583" s="87">
        <v>7.8949889999999998</v>
      </c>
    </row>
    <row r="1584" spans="1:7" x14ac:dyDescent="0.25">
      <c r="A1584" s="84" t="s">
        <v>2156</v>
      </c>
      <c r="B1584" s="84" t="s">
        <v>132</v>
      </c>
      <c r="C1584" s="84" t="s">
        <v>283</v>
      </c>
      <c r="D1584" s="85">
        <v>2568</v>
      </c>
      <c r="E1584" s="85">
        <v>38561</v>
      </c>
      <c r="F1584" s="86">
        <v>4223.3</v>
      </c>
      <c r="G1584" s="87">
        <v>10.952256999999999</v>
      </c>
    </row>
    <row r="1585" spans="1:7" x14ac:dyDescent="0.25">
      <c r="A1585" s="84" t="s">
        <v>2158</v>
      </c>
      <c r="B1585" s="84" t="s">
        <v>132</v>
      </c>
      <c r="C1585" s="84" t="s">
        <v>283</v>
      </c>
      <c r="D1585" s="85">
        <v>16735</v>
      </c>
      <c r="E1585" s="85">
        <v>283450</v>
      </c>
      <c r="F1585" s="86">
        <v>27443.4</v>
      </c>
      <c r="G1585" s="87">
        <v>9.6819191999999994</v>
      </c>
    </row>
    <row r="1586" spans="1:7" x14ac:dyDescent="0.25">
      <c r="A1586" s="84" t="s">
        <v>2437</v>
      </c>
      <c r="B1586" s="84" t="s">
        <v>132</v>
      </c>
      <c r="C1586" s="84" t="s">
        <v>278</v>
      </c>
      <c r="D1586" s="85">
        <v>15013</v>
      </c>
      <c r="E1586" s="85">
        <v>744129</v>
      </c>
      <c r="F1586" s="86">
        <v>56861</v>
      </c>
      <c r="G1586" s="87">
        <v>7.6412826000000003</v>
      </c>
    </row>
    <row r="1587" spans="1:7" x14ac:dyDescent="0.25">
      <c r="A1587" s="84" t="s">
        <v>2161</v>
      </c>
      <c r="B1587" s="84" t="s">
        <v>132</v>
      </c>
      <c r="C1587" s="84" t="s">
        <v>283</v>
      </c>
      <c r="D1587" s="85">
        <v>6284</v>
      </c>
      <c r="E1587" s="85">
        <v>82034</v>
      </c>
      <c r="F1587" s="86">
        <v>8723.2999999999993</v>
      </c>
      <c r="G1587" s="87">
        <v>10.633762000000001</v>
      </c>
    </row>
    <row r="1588" spans="1:7" x14ac:dyDescent="0.25">
      <c r="A1588" s="84" t="s">
        <v>2164</v>
      </c>
      <c r="B1588" s="84" t="s">
        <v>132</v>
      </c>
      <c r="C1588" s="84" t="s">
        <v>283</v>
      </c>
      <c r="D1588" s="85">
        <v>3957</v>
      </c>
      <c r="E1588" s="85">
        <v>54654</v>
      </c>
      <c r="F1588" s="86">
        <v>5850.8</v>
      </c>
      <c r="G1588" s="87">
        <v>10.705163000000001</v>
      </c>
    </row>
    <row r="1589" spans="1:7" x14ac:dyDescent="0.25">
      <c r="A1589" s="84" t="s">
        <v>2165</v>
      </c>
      <c r="B1589" s="84" t="s">
        <v>132</v>
      </c>
      <c r="C1589" s="84" t="s">
        <v>283</v>
      </c>
      <c r="D1589" s="85">
        <v>1084</v>
      </c>
      <c r="E1589" s="85">
        <v>52631</v>
      </c>
      <c r="F1589" s="86">
        <v>4718.2</v>
      </c>
      <c r="G1589" s="87">
        <v>8.9646785999999992</v>
      </c>
    </row>
    <row r="1590" spans="1:7" x14ac:dyDescent="0.25">
      <c r="A1590" s="84" t="s">
        <v>2166</v>
      </c>
      <c r="B1590" s="84" t="s">
        <v>132</v>
      </c>
      <c r="C1590" s="84" t="s">
        <v>283</v>
      </c>
      <c r="D1590" s="85">
        <v>1295</v>
      </c>
      <c r="E1590" s="85">
        <v>23477</v>
      </c>
      <c r="F1590" s="86">
        <v>2390.5</v>
      </c>
      <c r="G1590" s="87">
        <v>10.182306000000001</v>
      </c>
    </row>
    <row r="1591" spans="1:7" x14ac:dyDescent="0.25">
      <c r="A1591" s="84" t="s">
        <v>2167</v>
      </c>
      <c r="B1591" s="84" t="s">
        <v>132</v>
      </c>
      <c r="C1591" s="84" t="s">
        <v>283</v>
      </c>
      <c r="D1591" s="85">
        <v>2173</v>
      </c>
      <c r="E1591" s="85">
        <v>47426</v>
      </c>
      <c r="F1591" s="86">
        <v>4892.8</v>
      </c>
      <c r="G1591" s="87">
        <v>10.316704</v>
      </c>
    </row>
    <row r="1592" spans="1:7" x14ac:dyDescent="0.25">
      <c r="A1592" s="84" t="s">
        <v>2168</v>
      </c>
      <c r="B1592" s="84" t="s">
        <v>132</v>
      </c>
      <c r="C1592" s="84" t="s">
        <v>283</v>
      </c>
      <c r="D1592" s="85">
        <v>6638</v>
      </c>
      <c r="E1592" s="85">
        <v>121653</v>
      </c>
      <c r="F1592" s="86">
        <v>12787.9</v>
      </c>
      <c r="G1592" s="87">
        <v>10.511784</v>
      </c>
    </row>
    <row r="1593" spans="1:7" x14ac:dyDescent="0.25">
      <c r="A1593" s="84" t="s">
        <v>2169</v>
      </c>
      <c r="B1593" s="84" t="s">
        <v>132</v>
      </c>
      <c r="C1593" s="84" t="s">
        <v>283</v>
      </c>
      <c r="D1593" s="85">
        <v>1877</v>
      </c>
      <c r="E1593" s="85">
        <v>34468</v>
      </c>
      <c r="F1593" s="86">
        <v>3695.8</v>
      </c>
      <c r="G1593" s="87">
        <v>10.722409000000001</v>
      </c>
    </row>
    <row r="1594" spans="1:7" x14ac:dyDescent="0.25">
      <c r="A1594" s="84" t="s">
        <v>2170</v>
      </c>
      <c r="B1594" s="84" t="s">
        <v>132</v>
      </c>
      <c r="C1594" s="84" t="s">
        <v>283</v>
      </c>
      <c r="D1594" s="85">
        <v>4424</v>
      </c>
      <c r="E1594" s="85">
        <v>101121</v>
      </c>
      <c r="F1594" s="86">
        <v>9453.7999999999993</v>
      </c>
      <c r="G1594" s="87">
        <v>9.3489977</v>
      </c>
    </row>
    <row r="1595" spans="1:7" x14ac:dyDescent="0.25">
      <c r="A1595" s="84" t="s">
        <v>2438</v>
      </c>
      <c r="B1595" s="84" t="s">
        <v>132</v>
      </c>
      <c r="C1595" s="84" t="s">
        <v>278</v>
      </c>
      <c r="D1595" s="85">
        <v>971</v>
      </c>
      <c r="E1595" s="85">
        <v>13123</v>
      </c>
      <c r="F1595" s="86">
        <v>2177</v>
      </c>
      <c r="G1595" s="87">
        <v>16.589195</v>
      </c>
    </row>
    <row r="1596" spans="1:7" x14ac:dyDescent="0.25">
      <c r="A1596" s="84" t="s">
        <v>2172</v>
      </c>
      <c r="B1596" s="84" t="s">
        <v>132</v>
      </c>
      <c r="C1596" s="84" t="s">
        <v>283</v>
      </c>
      <c r="D1596" s="85">
        <v>973</v>
      </c>
      <c r="E1596" s="85">
        <v>34309</v>
      </c>
      <c r="F1596" s="86">
        <v>3217.4</v>
      </c>
      <c r="G1596" s="87">
        <v>9.3777142999999992</v>
      </c>
    </row>
    <row r="1597" spans="1:7" x14ac:dyDescent="0.25">
      <c r="A1597" s="84" t="s">
        <v>1069</v>
      </c>
      <c r="B1597" s="84" t="s">
        <v>132</v>
      </c>
      <c r="C1597" s="84" t="s">
        <v>278</v>
      </c>
      <c r="D1597" s="85">
        <v>1144981</v>
      </c>
      <c r="E1597" s="85">
        <v>23012230</v>
      </c>
      <c r="F1597" s="86">
        <v>2792224</v>
      </c>
      <c r="G1597" s="87">
        <v>12.133652</v>
      </c>
    </row>
    <row r="1598" spans="1:7" x14ac:dyDescent="0.25">
      <c r="A1598" s="84" t="s">
        <v>2173</v>
      </c>
      <c r="B1598" s="84" t="s">
        <v>132</v>
      </c>
      <c r="C1598" s="84" t="s">
        <v>278</v>
      </c>
      <c r="D1598" s="85">
        <v>479907</v>
      </c>
      <c r="E1598" s="85">
        <v>10741682</v>
      </c>
      <c r="F1598" s="86">
        <v>1093688</v>
      </c>
      <c r="G1598" s="87">
        <v>10.18172</v>
      </c>
    </row>
    <row r="1599" spans="1:7" x14ac:dyDescent="0.25">
      <c r="A1599" s="84" t="s">
        <v>2174</v>
      </c>
      <c r="B1599" s="84" t="s">
        <v>132</v>
      </c>
      <c r="C1599" s="84" t="s">
        <v>278</v>
      </c>
      <c r="D1599" s="85">
        <v>451063</v>
      </c>
      <c r="E1599" s="85">
        <v>10616479</v>
      </c>
      <c r="F1599" s="86">
        <v>997385.8</v>
      </c>
      <c r="G1599" s="87">
        <v>9.3946947999999999</v>
      </c>
    </row>
    <row r="1600" spans="1:7" x14ac:dyDescent="0.25">
      <c r="A1600" s="84" t="s">
        <v>2175</v>
      </c>
      <c r="B1600" s="84" t="s">
        <v>132</v>
      </c>
      <c r="C1600" s="84" t="s">
        <v>283</v>
      </c>
      <c r="D1600" s="85">
        <v>14898</v>
      </c>
      <c r="E1600" s="85">
        <v>253760</v>
      </c>
      <c r="F1600" s="86">
        <v>24963</v>
      </c>
      <c r="G1600" s="87">
        <v>9.8372478000000001</v>
      </c>
    </row>
    <row r="1601" spans="1:7" x14ac:dyDescent="0.25">
      <c r="A1601" s="84" t="s">
        <v>2023</v>
      </c>
      <c r="B1601" s="84" t="s">
        <v>129</v>
      </c>
      <c r="C1601" s="84" t="s">
        <v>278</v>
      </c>
      <c r="D1601" s="85">
        <v>423050</v>
      </c>
      <c r="E1601" s="85">
        <v>11882029</v>
      </c>
      <c r="F1601" s="86">
        <v>1175507</v>
      </c>
      <c r="G1601" s="87">
        <v>9.8931503999999997</v>
      </c>
    </row>
    <row r="1602" spans="1:7" x14ac:dyDescent="0.25">
      <c r="A1602" s="84" t="s">
        <v>2176</v>
      </c>
      <c r="B1602" s="84" t="s">
        <v>129</v>
      </c>
      <c r="C1602" s="84" t="s">
        <v>278</v>
      </c>
      <c r="D1602" s="85">
        <v>4407</v>
      </c>
      <c r="E1602" s="85">
        <v>47347</v>
      </c>
      <c r="F1602" s="86">
        <v>6197</v>
      </c>
      <c r="G1602" s="87">
        <v>13.088474</v>
      </c>
    </row>
    <row r="1603" spans="1:7" x14ac:dyDescent="0.25">
      <c r="A1603" s="84" t="s">
        <v>2177</v>
      </c>
      <c r="B1603" s="84" t="s">
        <v>129</v>
      </c>
      <c r="C1603" s="84" t="s">
        <v>278</v>
      </c>
      <c r="D1603" s="85">
        <v>393787</v>
      </c>
      <c r="E1603" s="85">
        <v>12091976</v>
      </c>
      <c r="F1603" s="86">
        <v>1000751.2</v>
      </c>
      <c r="G1603" s="87">
        <v>8.2761592999999998</v>
      </c>
    </row>
    <row r="1604" spans="1:7" x14ac:dyDescent="0.25">
      <c r="A1604" s="84" t="s">
        <v>2388</v>
      </c>
      <c r="B1604" s="84" t="s">
        <v>129</v>
      </c>
      <c r="C1604" s="84" t="s">
        <v>278</v>
      </c>
      <c r="D1604" s="85">
        <v>146666</v>
      </c>
      <c r="E1604" s="85">
        <v>3544301</v>
      </c>
      <c r="F1604" s="86">
        <v>312056.7</v>
      </c>
      <c r="G1604" s="87">
        <v>8.8044638000000006</v>
      </c>
    </row>
    <row r="1605" spans="1:7" x14ac:dyDescent="0.25">
      <c r="A1605" s="84" t="s">
        <v>2178</v>
      </c>
      <c r="B1605" s="84" t="s">
        <v>129</v>
      </c>
      <c r="C1605" s="84" t="s">
        <v>278</v>
      </c>
      <c r="D1605" s="85">
        <v>41715</v>
      </c>
      <c r="E1605" s="85">
        <v>4362043</v>
      </c>
      <c r="F1605" s="86">
        <v>290519</v>
      </c>
      <c r="G1605" s="87">
        <v>6.6601590000000002</v>
      </c>
    </row>
    <row r="1606" spans="1:7" x14ac:dyDescent="0.25">
      <c r="A1606" s="84" t="s">
        <v>1291</v>
      </c>
      <c r="B1606" s="84" t="s">
        <v>135</v>
      </c>
      <c r="C1606" s="84" t="s">
        <v>278</v>
      </c>
      <c r="D1606" s="85">
        <v>2642</v>
      </c>
      <c r="E1606" s="85">
        <v>153117</v>
      </c>
      <c r="F1606" s="86">
        <v>15335</v>
      </c>
      <c r="G1606" s="87">
        <v>10.015217</v>
      </c>
    </row>
    <row r="1607" spans="1:7" x14ac:dyDescent="0.25">
      <c r="A1607" s="84" t="s">
        <v>2439</v>
      </c>
      <c r="B1607" s="84" t="s">
        <v>135</v>
      </c>
      <c r="C1607" s="84" t="s">
        <v>278</v>
      </c>
      <c r="D1607" s="85">
        <v>43485</v>
      </c>
      <c r="E1607" s="85">
        <v>1727689</v>
      </c>
      <c r="F1607" s="86">
        <v>165393</v>
      </c>
      <c r="G1607" s="87">
        <v>9.5730771000000008</v>
      </c>
    </row>
    <row r="1608" spans="1:7" x14ac:dyDescent="0.25">
      <c r="A1608" s="84" t="s">
        <v>2182</v>
      </c>
      <c r="B1608" s="84" t="s">
        <v>135</v>
      </c>
      <c r="C1608" s="84" t="s">
        <v>283</v>
      </c>
      <c r="D1608" s="85">
        <v>15840</v>
      </c>
      <c r="E1608" s="85">
        <v>317651</v>
      </c>
      <c r="F1608" s="86">
        <v>31295</v>
      </c>
      <c r="G1608" s="87">
        <v>9.8520073999999997</v>
      </c>
    </row>
    <row r="1609" spans="1:7" x14ac:dyDescent="0.25">
      <c r="A1609" s="84" t="s">
        <v>747</v>
      </c>
      <c r="B1609" s="84" t="s">
        <v>135</v>
      </c>
      <c r="C1609" s="84" t="s">
        <v>281</v>
      </c>
      <c r="D1609" s="85">
        <v>367</v>
      </c>
      <c r="E1609" s="85">
        <v>8766</v>
      </c>
      <c r="F1609" s="86">
        <v>840</v>
      </c>
      <c r="G1609" s="87">
        <v>9.5824777999999995</v>
      </c>
    </row>
    <row r="1610" spans="1:7" x14ac:dyDescent="0.25">
      <c r="A1610" s="84" t="s">
        <v>2185</v>
      </c>
      <c r="B1610" s="84" t="s">
        <v>135</v>
      </c>
      <c r="C1610" s="84" t="s">
        <v>281</v>
      </c>
      <c r="D1610" s="85">
        <v>13382</v>
      </c>
      <c r="E1610" s="85">
        <v>633668</v>
      </c>
      <c r="F1610" s="86">
        <v>61154</v>
      </c>
      <c r="G1610" s="87">
        <v>9.6507950999999998</v>
      </c>
    </row>
    <row r="1611" spans="1:7" x14ac:dyDescent="0.25">
      <c r="A1611" s="84" t="s">
        <v>485</v>
      </c>
      <c r="B1611" s="84" t="s">
        <v>135</v>
      </c>
      <c r="C1611" s="84" t="s">
        <v>281</v>
      </c>
      <c r="D1611" s="85">
        <v>6521</v>
      </c>
      <c r="E1611" s="85">
        <v>184771</v>
      </c>
      <c r="F1611" s="86">
        <v>23202</v>
      </c>
      <c r="G1611" s="87">
        <v>12.557164999999999</v>
      </c>
    </row>
    <row r="1612" spans="1:7" x14ac:dyDescent="0.25">
      <c r="A1612" s="84" t="s">
        <v>751</v>
      </c>
      <c r="B1612" s="84" t="s">
        <v>135</v>
      </c>
      <c r="C1612" s="84" t="s">
        <v>281</v>
      </c>
      <c r="D1612" s="85">
        <v>27101</v>
      </c>
      <c r="E1612" s="85">
        <v>778927</v>
      </c>
      <c r="F1612" s="86">
        <v>49465</v>
      </c>
      <c r="G1612" s="87">
        <v>6.3504025000000004</v>
      </c>
    </row>
    <row r="1613" spans="1:7" x14ac:dyDescent="0.25">
      <c r="A1613" s="84" t="s">
        <v>1303</v>
      </c>
      <c r="B1613" s="84" t="s">
        <v>135</v>
      </c>
      <c r="C1613" s="84" t="s">
        <v>278</v>
      </c>
      <c r="D1613" s="85">
        <v>16338</v>
      </c>
      <c r="E1613" s="85">
        <v>285007</v>
      </c>
      <c r="F1613" s="86">
        <v>26672</v>
      </c>
      <c r="G1613" s="87">
        <v>9.3583666000000001</v>
      </c>
    </row>
    <row r="1614" spans="1:7" x14ac:dyDescent="0.25">
      <c r="A1614" s="84" t="s">
        <v>1304</v>
      </c>
      <c r="B1614" s="84" t="s">
        <v>135</v>
      </c>
      <c r="C1614" s="84" t="s">
        <v>278</v>
      </c>
      <c r="D1614" s="85">
        <v>529</v>
      </c>
      <c r="E1614" s="85">
        <v>25893</v>
      </c>
      <c r="F1614" s="86">
        <v>3955.5</v>
      </c>
      <c r="G1614" s="87">
        <v>15.27633</v>
      </c>
    </row>
    <row r="1615" spans="1:7" x14ac:dyDescent="0.25">
      <c r="A1615" s="84" t="s">
        <v>457</v>
      </c>
      <c r="B1615" s="84" t="s">
        <v>135</v>
      </c>
      <c r="C1615" s="84" t="s">
        <v>278</v>
      </c>
      <c r="D1615" s="85">
        <v>142189</v>
      </c>
      <c r="E1615" s="85">
        <v>8357791</v>
      </c>
      <c r="F1615" s="86">
        <v>615407.19999999995</v>
      </c>
      <c r="G1615" s="87">
        <v>7.3632758000000003</v>
      </c>
    </row>
    <row r="1616" spans="1:7" x14ac:dyDescent="0.25">
      <c r="A1616" s="84" t="s">
        <v>2395</v>
      </c>
      <c r="B1616" s="84" t="s">
        <v>135</v>
      </c>
      <c r="C1616" s="84" t="s">
        <v>281</v>
      </c>
      <c r="D1616" s="85">
        <v>26641</v>
      </c>
      <c r="E1616" s="85">
        <v>1757258</v>
      </c>
      <c r="F1616" s="86">
        <v>148599.1</v>
      </c>
      <c r="G1616" s="87">
        <v>8.4563051999999992</v>
      </c>
    </row>
    <row r="1617" spans="1:7" x14ac:dyDescent="0.25">
      <c r="A1617" s="84" t="s">
        <v>422</v>
      </c>
      <c r="B1617" s="84" t="s">
        <v>135</v>
      </c>
      <c r="C1617" s="84" t="s">
        <v>351</v>
      </c>
      <c r="D1617" s="85">
        <v>5</v>
      </c>
      <c r="E1617" s="85">
        <v>41851</v>
      </c>
      <c r="F1617" s="86">
        <v>995.7</v>
      </c>
      <c r="G1617" s="87">
        <v>2.3791546000000001</v>
      </c>
    </row>
    <row r="1618" spans="1:7" x14ac:dyDescent="0.25">
      <c r="A1618" s="84" t="s">
        <v>510</v>
      </c>
      <c r="B1618" s="84" t="s">
        <v>135</v>
      </c>
      <c r="C1618" s="84" t="s">
        <v>281</v>
      </c>
      <c r="D1618" s="85">
        <v>763</v>
      </c>
      <c r="E1618" s="85">
        <v>10096</v>
      </c>
      <c r="F1618" s="86">
        <v>1261.8</v>
      </c>
      <c r="G1618" s="87">
        <v>12.498018999999999</v>
      </c>
    </row>
    <row r="1619" spans="1:7" x14ac:dyDescent="0.25">
      <c r="A1619" s="84" t="s">
        <v>2186</v>
      </c>
      <c r="B1619" s="84" t="s">
        <v>115</v>
      </c>
      <c r="C1619" s="84" t="s">
        <v>2409</v>
      </c>
      <c r="D1619" s="85">
        <v>24</v>
      </c>
      <c r="E1619" s="85">
        <v>6454584</v>
      </c>
      <c r="F1619" s="86">
        <v>216095.6</v>
      </c>
      <c r="G1619" s="87">
        <v>3.3479399999999999</v>
      </c>
    </row>
    <row r="1620" spans="1:7" x14ac:dyDescent="0.25">
      <c r="A1620" s="84" t="s">
        <v>2440</v>
      </c>
      <c r="B1620" s="84" t="s">
        <v>6</v>
      </c>
      <c r="C1620" s="84" t="s">
        <v>253</v>
      </c>
      <c r="D1620" s="85">
        <v>35725</v>
      </c>
      <c r="E1620" s="85">
        <v>613269</v>
      </c>
      <c r="F1620" s="86">
        <v>155580.79999999999</v>
      </c>
      <c r="G1620" s="87" t="s">
        <v>2189</v>
      </c>
    </row>
    <row r="1621" spans="1:7" x14ac:dyDescent="0.25">
      <c r="A1621" s="84" t="s">
        <v>2440</v>
      </c>
      <c r="B1621" s="84" t="s">
        <v>3</v>
      </c>
      <c r="C1621" s="84" t="s">
        <v>253</v>
      </c>
      <c r="D1621" s="85">
        <v>70418</v>
      </c>
      <c r="E1621" s="85">
        <v>1371994</v>
      </c>
      <c r="F1621" s="86">
        <v>153714.5</v>
      </c>
      <c r="G1621" s="87" t="s">
        <v>2189</v>
      </c>
    </row>
    <row r="1622" spans="1:7" x14ac:dyDescent="0.25">
      <c r="A1622" s="84" t="s">
        <v>2440</v>
      </c>
      <c r="B1622" s="84" t="s">
        <v>12</v>
      </c>
      <c r="C1622" s="84" t="s">
        <v>253</v>
      </c>
      <c r="D1622" s="85">
        <v>28612</v>
      </c>
      <c r="E1622" s="85">
        <v>606815</v>
      </c>
      <c r="F1622" s="86">
        <v>65621.899999999994</v>
      </c>
      <c r="G1622" s="87" t="s">
        <v>2189</v>
      </c>
    </row>
    <row r="1623" spans="1:7" x14ac:dyDescent="0.25">
      <c r="A1623" s="84" t="s">
        <v>2440</v>
      </c>
      <c r="B1623" s="84" t="s">
        <v>8</v>
      </c>
      <c r="C1623" s="84" t="s">
        <v>253</v>
      </c>
      <c r="D1623" s="85">
        <v>-43153</v>
      </c>
      <c r="E1623" s="85">
        <v>1457512</v>
      </c>
      <c r="F1623" s="86">
        <v>123329.60000000001</v>
      </c>
      <c r="G1623" s="87" t="s">
        <v>2189</v>
      </c>
    </row>
    <row r="1624" spans="1:7" x14ac:dyDescent="0.25">
      <c r="A1624" s="84" t="s">
        <v>2440</v>
      </c>
      <c r="B1624" s="84" t="s">
        <v>15</v>
      </c>
      <c r="C1624" s="84" t="s">
        <v>253</v>
      </c>
      <c r="D1624" s="85">
        <v>-327155</v>
      </c>
      <c r="E1624" s="85">
        <v>1836367</v>
      </c>
      <c r="F1624" s="86">
        <v>273111.2</v>
      </c>
      <c r="G1624" s="87" t="s">
        <v>2189</v>
      </c>
    </row>
    <row r="1625" spans="1:7" x14ac:dyDescent="0.25">
      <c r="A1625" s="84" t="s">
        <v>2440</v>
      </c>
      <c r="B1625" s="84" t="s">
        <v>16</v>
      </c>
      <c r="C1625" s="84" t="s">
        <v>253</v>
      </c>
      <c r="D1625" s="85">
        <v>58520</v>
      </c>
      <c r="E1625" s="85">
        <v>1151881</v>
      </c>
      <c r="F1625" s="86">
        <v>159910.9</v>
      </c>
      <c r="G1625" s="87" t="s">
        <v>2189</v>
      </c>
    </row>
    <row r="1626" spans="1:7" x14ac:dyDescent="0.25">
      <c r="A1626" s="84" t="s">
        <v>2440</v>
      </c>
      <c r="B1626" s="84" t="s">
        <v>19</v>
      </c>
      <c r="C1626" s="84" t="s">
        <v>253</v>
      </c>
      <c r="D1626" s="85">
        <v>-17583</v>
      </c>
      <c r="E1626" s="85">
        <v>291718</v>
      </c>
      <c r="F1626" s="86">
        <v>40488.699999999997</v>
      </c>
      <c r="G1626" s="87" t="s">
        <v>2189</v>
      </c>
    </row>
    <row r="1627" spans="1:7" x14ac:dyDescent="0.25">
      <c r="A1627" s="84" t="s">
        <v>2440</v>
      </c>
      <c r="B1627" s="84" t="s">
        <v>184</v>
      </c>
      <c r="C1627" s="84" t="s">
        <v>253</v>
      </c>
      <c r="D1627" s="85">
        <v>-536</v>
      </c>
      <c r="E1627" s="85">
        <v>0</v>
      </c>
      <c r="F1627" s="86">
        <v>0</v>
      </c>
      <c r="G1627" s="87" t="s">
        <v>2189</v>
      </c>
    </row>
    <row r="1628" spans="1:7" x14ac:dyDescent="0.25">
      <c r="A1628" s="84" t="s">
        <v>2440</v>
      </c>
      <c r="B1628" s="84" t="s">
        <v>22</v>
      </c>
      <c r="C1628" s="84" t="s">
        <v>253</v>
      </c>
      <c r="D1628" s="85">
        <v>14372</v>
      </c>
      <c r="E1628" s="85">
        <v>388579</v>
      </c>
      <c r="F1628" s="86">
        <v>44066.3</v>
      </c>
      <c r="G1628" s="87" t="s">
        <v>2189</v>
      </c>
    </row>
    <row r="1629" spans="1:7" x14ac:dyDescent="0.25">
      <c r="A1629" s="84" t="s">
        <v>2440</v>
      </c>
      <c r="B1629" s="84" t="s">
        <v>24</v>
      </c>
      <c r="C1629" s="84" t="s">
        <v>253</v>
      </c>
      <c r="D1629" s="85">
        <v>49950</v>
      </c>
      <c r="E1629" s="85">
        <v>1142488</v>
      </c>
      <c r="F1629" s="86">
        <v>131572.29999999999</v>
      </c>
      <c r="G1629" s="87" t="s">
        <v>2189</v>
      </c>
    </row>
    <row r="1630" spans="1:7" x14ac:dyDescent="0.25">
      <c r="A1630" s="84" t="s">
        <v>2440</v>
      </c>
      <c r="B1630" s="84" t="s">
        <v>27</v>
      </c>
      <c r="C1630" s="84" t="s">
        <v>253</v>
      </c>
      <c r="D1630" s="85">
        <v>150827</v>
      </c>
      <c r="E1630" s="85">
        <v>3505689</v>
      </c>
      <c r="F1630" s="86">
        <v>406105.2</v>
      </c>
      <c r="G1630" s="87" t="s">
        <v>2189</v>
      </c>
    </row>
    <row r="1631" spans="1:7" x14ac:dyDescent="0.25">
      <c r="A1631" s="84" t="s">
        <v>2440</v>
      </c>
      <c r="B1631" s="84" t="s">
        <v>29</v>
      </c>
      <c r="C1631" s="84" t="s">
        <v>253</v>
      </c>
      <c r="D1631" s="85">
        <v>-19815</v>
      </c>
      <c r="E1631" s="85">
        <v>0</v>
      </c>
      <c r="F1631" s="86">
        <v>0</v>
      </c>
      <c r="G1631" s="87" t="s">
        <v>2189</v>
      </c>
    </row>
    <row r="1632" spans="1:7" x14ac:dyDescent="0.25">
      <c r="A1632" s="84" t="s">
        <v>2440</v>
      </c>
      <c r="B1632" s="84" t="s">
        <v>40</v>
      </c>
      <c r="C1632" s="84" t="s">
        <v>253</v>
      </c>
      <c r="D1632" s="85">
        <v>237125</v>
      </c>
      <c r="E1632" s="85">
        <v>5239544</v>
      </c>
      <c r="F1632" s="86">
        <v>547001.1</v>
      </c>
      <c r="G1632" s="87" t="s">
        <v>2189</v>
      </c>
    </row>
    <row r="1633" spans="1:7" x14ac:dyDescent="0.25">
      <c r="A1633" s="84" t="s">
        <v>2440</v>
      </c>
      <c r="B1633" s="84" t="s">
        <v>32</v>
      </c>
      <c r="C1633" s="84" t="s">
        <v>253</v>
      </c>
      <c r="D1633" s="85">
        <v>38672</v>
      </c>
      <c r="E1633" s="85">
        <v>873558</v>
      </c>
      <c r="F1633" s="86">
        <v>71789.899999999994</v>
      </c>
      <c r="G1633" s="87" t="s">
        <v>2189</v>
      </c>
    </row>
    <row r="1634" spans="1:7" x14ac:dyDescent="0.25">
      <c r="A1634" s="84" t="s">
        <v>2440</v>
      </c>
      <c r="B1634" s="84" t="s">
        <v>35</v>
      </c>
      <c r="C1634" s="84" t="s">
        <v>253</v>
      </c>
      <c r="D1634" s="85">
        <v>167975</v>
      </c>
      <c r="E1634" s="85">
        <v>3022013</v>
      </c>
      <c r="F1634" s="86">
        <v>404352.5</v>
      </c>
      <c r="G1634" s="87" t="s">
        <v>2189</v>
      </c>
    </row>
    <row r="1635" spans="1:7" x14ac:dyDescent="0.25">
      <c r="A1635" s="84" t="s">
        <v>2440</v>
      </c>
      <c r="B1635" s="84" t="s">
        <v>37</v>
      </c>
      <c r="C1635" s="84" t="s">
        <v>253</v>
      </c>
      <c r="D1635" s="85">
        <v>175367</v>
      </c>
      <c r="E1635" s="85">
        <v>3833169</v>
      </c>
      <c r="F1635" s="86">
        <v>427271.3</v>
      </c>
      <c r="G1635" s="87" t="s">
        <v>2189</v>
      </c>
    </row>
    <row r="1636" spans="1:7" x14ac:dyDescent="0.25">
      <c r="A1636" s="84" t="s">
        <v>2440</v>
      </c>
      <c r="B1636" s="84" t="s">
        <v>42</v>
      </c>
      <c r="C1636" s="84" t="s">
        <v>253</v>
      </c>
      <c r="D1636" s="85">
        <v>242357</v>
      </c>
      <c r="E1636" s="85">
        <v>3977627</v>
      </c>
      <c r="F1636" s="86">
        <v>497041.7</v>
      </c>
      <c r="G1636" s="87" t="s">
        <v>2189</v>
      </c>
    </row>
    <row r="1637" spans="1:7" x14ac:dyDescent="0.25">
      <c r="A1637" s="84" t="s">
        <v>2440</v>
      </c>
      <c r="B1637" s="84" t="s">
        <v>45</v>
      </c>
      <c r="C1637" s="84" t="s">
        <v>253</v>
      </c>
      <c r="D1637" s="85">
        <v>30366</v>
      </c>
      <c r="E1637" s="85">
        <v>647252</v>
      </c>
      <c r="F1637" s="86">
        <v>63412.800000000003</v>
      </c>
      <c r="G1637" s="87" t="s">
        <v>2189</v>
      </c>
    </row>
    <row r="1638" spans="1:7" x14ac:dyDescent="0.25">
      <c r="A1638" s="84" t="s">
        <v>2440</v>
      </c>
      <c r="B1638" s="84" t="s">
        <v>48</v>
      </c>
      <c r="C1638" s="84" t="s">
        <v>253</v>
      </c>
      <c r="D1638" s="85">
        <v>45433</v>
      </c>
      <c r="E1638" s="85">
        <v>950997</v>
      </c>
      <c r="F1638" s="86">
        <v>96653.8</v>
      </c>
      <c r="G1638" s="87" t="s">
        <v>2189</v>
      </c>
    </row>
    <row r="1639" spans="1:7" x14ac:dyDescent="0.25">
      <c r="A1639" s="84" t="s">
        <v>2440</v>
      </c>
      <c r="B1639" s="84" t="s">
        <v>56</v>
      </c>
      <c r="C1639" s="84" t="s">
        <v>253</v>
      </c>
      <c r="D1639" s="85">
        <v>58515</v>
      </c>
      <c r="E1639" s="85">
        <v>1661221</v>
      </c>
      <c r="F1639" s="86">
        <v>262136.1</v>
      </c>
      <c r="G1639" s="87" t="s">
        <v>2189</v>
      </c>
    </row>
    <row r="1640" spans="1:7" x14ac:dyDescent="0.25">
      <c r="A1640" s="84" t="s">
        <v>2440</v>
      </c>
      <c r="B1640" s="84" t="s">
        <v>53</v>
      </c>
      <c r="C1640" s="84" t="s">
        <v>253</v>
      </c>
      <c r="D1640" s="85">
        <v>-52342</v>
      </c>
      <c r="E1640" s="85">
        <v>133180</v>
      </c>
      <c r="F1640" s="86">
        <v>12803.6</v>
      </c>
      <c r="G1640" s="87" t="s">
        <v>2189</v>
      </c>
    </row>
    <row r="1641" spans="1:7" x14ac:dyDescent="0.25">
      <c r="A1641" s="84" t="s">
        <v>2440</v>
      </c>
      <c r="B1641" s="84" t="s">
        <v>51</v>
      </c>
      <c r="C1641" s="84" t="s">
        <v>253</v>
      </c>
      <c r="D1641" s="85">
        <v>10860</v>
      </c>
      <c r="E1641" s="85">
        <v>117216</v>
      </c>
      <c r="F1641" s="86">
        <v>17832</v>
      </c>
      <c r="G1641" s="87" t="s">
        <v>2189</v>
      </c>
    </row>
    <row r="1642" spans="1:7" x14ac:dyDescent="0.25">
      <c r="A1642" s="84" t="s">
        <v>2440</v>
      </c>
      <c r="B1642" s="84" t="s">
        <v>59</v>
      </c>
      <c r="C1642" s="84" t="s">
        <v>253</v>
      </c>
      <c r="D1642" s="85">
        <v>92437</v>
      </c>
      <c r="E1642" s="85">
        <v>1602969</v>
      </c>
      <c r="F1642" s="86">
        <v>180708.7</v>
      </c>
      <c r="G1642" s="87" t="s">
        <v>2189</v>
      </c>
    </row>
    <row r="1643" spans="1:7" x14ac:dyDescent="0.25">
      <c r="A1643" s="84" t="s">
        <v>2440</v>
      </c>
      <c r="B1643" s="84" t="s">
        <v>61</v>
      </c>
      <c r="C1643" s="84" t="s">
        <v>253</v>
      </c>
      <c r="D1643" s="85">
        <v>297300</v>
      </c>
      <c r="E1643" s="85">
        <v>6467674</v>
      </c>
      <c r="F1643" s="86">
        <v>725606.8</v>
      </c>
      <c r="G1643" s="87" t="s">
        <v>2189</v>
      </c>
    </row>
    <row r="1644" spans="1:7" x14ac:dyDescent="0.25">
      <c r="A1644" s="84" t="s">
        <v>2440</v>
      </c>
      <c r="B1644" s="84" t="s">
        <v>67</v>
      </c>
      <c r="C1644" s="84" t="s">
        <v>253</v>
      </c>
      <c r="D1644" s="85">
        <v>230122</v>
      </c>
      <c r="E1644" s="85">
        <v>4579493</v>
      </c>
      <c r="F1644" s="86">
        <v>513928.5</v>
      </c>
      <c r="G1644" s="87" t="s">
        <v>2189</v>
      </c>
    </row>
    <row r="1645" spans="1:7" x14ac:dyDescent="0.25">
      <c r="A1645" s="84" t="s">
        <v>2440</v>
      </c>
      <c r="B1645" s="84" t="s">
        <v>64</v>
      </c>
      <c r="C1645" s="84" t="s">
        <v>253</v>
      </c>
      <c r="D1645" s="85">
        <v>45488</v>
      </c>
      <c r="E1645" s="85">
        <v>865620</v>
      </c>
      <c r="F1645" s="86">
        <v>97951.1</v>
      </c>
      <c r="G1645" s="87" t="s">
        <v>2189</v>
      </c>
    </row>
    <row r="1646" spans="1:7" x14ac:dyDescent="0.25">
      <c r="A1646" s="84" t="s">
        <v>2440</v>
      </c>
      <c r="B1646" s="84" t="s">
        <v>70</v>
      </c>
      <c r="C1646" s="84" t="s">
        <v>253</v>
      </c>
      <c r="D1646" s="85">
        <v>90314</v>
      </c>
      <c r="E1646" s="85">
        <v>1754770</v>
      </c>
      <c r="F1646" s="86">
        <v>184499.8</v>
      </c>
      <c r="G1646" s="87" t="s">
        <v>2189</v>
      </c>
    </row>
    <row r="1647" spans="1:7" x14ac:dyDescent="0.25">
      <c r="A1647" s="84" t="s">
        <v>2440</v>
      </c>
      <c r="B1647" s="84" t="s">
        <v>89</v>
      </c>
      <c r="C1647" s="84" t="s">
        <v>253</v>
      </c>
      <c r="D1647" s="85">
        <v>149875</v>
      </c>
      <c r="E1647" s="85">
        <v>3007085</v>
      </c>
      <c r="F1647" s="86">
        <v>347797.2</v>
      </c>
      <c r="G1647" s="87" t="s">
        <v>2189</v>
      </c>
    </row>
    <row r="1648" spans="1:7" x14ac:dyDescent="0.25">
      <c r="A1648" s="84" t="s">
        <v>2440</v>
      </c>
      <c r="B1648" s="84" t="s">
        <v>91</v>
      </c>
      <c r="C1648" s="84" t="s">
        <v>253</v>
      </c>
      <c r="D1648" s="85">
        <v>26975</v>
      </c>
      <c r="E1648" s="85">
        <v>642648</v>
      </c>
      <c r="F1648" s="86">
        <v>69019.5</v>
      </c>
      <c r="G1648" s="87" t="s">
        <v>2189</v>
      </c>
    </row>
    <row r="1649" spans="1:7" x14ac:dyDescent="0.25">
      <c r="A1649" s="84" t="s">
        <v>2440</v>
      </c>
      <c r="B1649" s="84" t="s">
        <v>72</v>
      </c>
      <c r="C1649" s="84" t="s">
        <v>253</v>
      </c>
      <c r="D1649" s="85">
        <v>222308</v>
      </c>
      <c r="E1649" s="85">
        <v>5231584</v>
      </c>
      <c r="F1649" s="86">
        <v>572845</v>
      </c>
      <c r="G1649" s="87" t="s">
        <v>2189</v>
      </c>
    </row>
    <row r="1650" spans="1:7" x14ac:dyDescent="0.25">
      <c r="A1650" s="84" t="s">
        <v>2440</v>
      </c>
      <c r="B1650" s="84" t="s">
        <v>78</v>
      </c>
      <c r="C1650" s="84" t="s">
        <v>253</v>
      </c>
      <c r="D1650" s="85">
        <v>10644</v>
      </c>
      <c r="E1650" s="85">
        <v>178514</v>
      </c>
      <c r="F1650" s="86">
        <v>25690.3</v>
      </c>
      <c r="G1650" s="87" t="s">
        <v>2189</v>
      </c>
    </row>
    <row r="1651" spans="1:7" x14ac:dyDescent="0.25">
      <c r="A1651" s="84" t="s">
        <v>2440</v>
      </c>
      <c r="B1651" s="84" t="s">
        <v>80</v>
      </c>
      <c r="C1651" s="84" t="s">
        <v>253</v>
      </c>
      <c r="D1651" s="85">
        <v>-22990</v>
      </c>
      <c r="E1651" s="85">
        <v>655310</v>
      </c>
      <c r="F1651" s="86">
        <v>99809</v>
      </c>
      <c r="G1651" s="87" t="s">
        <v>2189</v>
      </c>
    </row>
    <row r="1652" spans="1:7" x14ac:dyDescent="0.25">
      <c r="A1652" s="84" t="s">
        <v>2440</v>
      </c>
      <c r="B1652" s="84" t="s">
        <v>83</v>
      </c>
      <c r="C1652" s="84" t="s">
        <v>253</v>
      </c>
      <c r="D1652" s="85">
        <v>53415</v>
      </c>
      <c r="E1652" s="85">
        <v>747608</v>
      </c>
      <c r="F1652" s="86">
        <v>104703</v>
      </c>
      <c r="G1652" s="87" t="s">
        <v>2189</v>
      </c>
    </row>
    <row r="1653" spans="1:7" x14ac:dyDescent="0.25">
      <c r="A1653" s="84" t="s">
        <v>2440</v>
      </c>
      <c r="B1653" s="84" t="s">
        <v>75</v>
      </c>
      <c r="C1653" s="84" t="s">
        <v>253</v>
      </c>
      <c r="D1653" s="85">
        <v>-16925</v>
      </c>
      <c r="E1653" s="85">
        <v>325794</v>
      </c>
      <c r="F1653" s="86">
        <v>29557.4</v>
      </c>
      <c r="G1653" s="87" t="s">
        <v>2189</v>
      </c>
    </row>
    <row r="1654" spans="1:7" x14ac:dyDescent="0.25">
      <c r="A1654" s="84" t="s">
        <v>2440</v>
      </c>
      <c r="B1654" s="84" t="s">
        <v>86</v>
      </c>
      <c r="C1654" s="84" t="s">
        <v>253</v>
      </c>
      <c r="D1654" s="85">
        <v>46801</v>
      </c>
      <c r="E1654" s="85">
        <v>2352437</v>
      </c>
      <c r="F1654" s="86">
        <v>159878</v>
      </c>
      <c r="G1654" s="87" t="s">
        <v>2189</v>
      </c>
    </row>
    <row r="1655" spans="1:7" x14ac:dyDescent="0.25">
      <c r="A1655" s="84" t="s">
        <v>2440</v>
      </c>
      <c r="B1655" s="84" t="s">
        <v>94</v>
      </c>
      <c r="C1655" s="84" t="s">
        <v>253</v>
      </c>
      <c r="D1655" s="85">
        <v>191577</v>
      </c>
      <c r="E1655" s="85">
        <v>4063881</v>
      </c>
      <c r="F1655" s="86">
        <v>485426</v>
      </c>
      <c r="G1655" s="87" t="s">
        <v>2189</v>
      </c>
    </row>
    <row r="1656" spans="1:7" x14ac:dyDescent="0.25">
      <c r="A1656" s="84" t="s">
        <v>2440</v>
      </c>
      <c r="B1656" s="84" t="s">
        <v>96</v>
      </c>
      <c r="C1656" s="84" t="s">
        <v>253</v>
      </c>
      <c r="D1656" s="85">
        <v>129575</v>
      </c>
      <c r="E1656" s="85">
        <v>2506815</v>
      </c>
      <c r="F1656" s="86">
        <v>259710.8</v>
      </c>
      <c r="G1656" s="87" t="s">
        <v>2189</v>
      </c>
    </row>
    <row r="1657" spans="1:7" x14ac:dyDescent="0.25">
      <c r="A1657" s="84" t="s">
        <v>2440</v>
      </c>
      <c r="B1657" s="84" t="s">
        <v>98</v>
      </c>
      <c r="C1657" s="84" t="s">
        <v>253</v>
      </c>
      <c r="D1657" s="85">
        <v>71910</v>
      </c>
      <c r="E1657" s="85">
        <v>1600437</v>
      </c>
      <c r="F1657" s="86">
        <v>144783.29999999999</v>
      </c>
      <c r="G1657" s="87" t="s">
        <v>2189</v>
      </c>
    </row>
    <row r="1658" spans="1:7" x14ac:dyDescent="0.25">
      <c r="A1658" s="84" t="s">
        <v>2440</v>
      </c>
      <c r="B1658" s="84" t="s">
        <v>101</v>
      </c>
      <c r="C1658" s="84" t="s">
        <v>253</v>
      </c>
      <c r="D1658" s="85">
        <v>99158</v>
      </c>
      <c r="E1658" s="85">
        <v>1442431</v>
      </c>
      <c r="F1658" s="86">
        <v>204821.9</v>
      </c>
      <c r="G1658" s="87" t="s">
        <v>2189</v>
      </c>
    </row>
    <row r="1659" spans="1:7" x14ac:dyDescent="0.25">
      <c r="A1659" s="84" t="s">
        <v>2440</v>
      </c>
      <c r="B1659" s="84" t="s">
        <v>104</v>
      </c>
      <c r="C1659" s="84" t="s">
        <v>253</v>
      </c>
      <c r="D1659" s="85">
        <v>-1839</v>
      </c>
      <c r="E1659" s="85">
        <v>0</v>
      </c>
      <c r="F1659" s="86">
        <v>0</v>
      </c>
      <c r="G1659" s="87" t="s">
        <v>2189</v>
      </c>
    </row>
    <row r="1660" spans="1:7" x14ac:dyDescent="0.25">
      <c r="A1660" s="84" t="s">
        <v>2440</v>
      </c>
      <c r="B1660" s="84" t="s">
        <v>106</v>
      </c>
      <c r="C1660" s="84" t="s">
        <v>253</v>
      </c>
      <c r="D1660" s="85">
        <v>74955</v>
      </c>
      <c r="E1660" s="85">
        <v>1402544</v>
      </c>
      <c r="F1660" s="86">
        <v>182067.5</v>
      </c>
      <c r="G1660" s="87" t="s">
        <v>2189</v>
      </c>
    </row>
    <row r="1661" spans="1:7" x14ac:dyDescent="0.25">
      <c r="A1661" s="84" t="s">
        <v>2440</v>
      </c>
      <c r="B1661" s="84" t="s">
        <v>109</v>
      </c>
      <c r="C1661" s="84" t="s">
        <v>253</v>
      </c>
      <c r="D1661" s="85">
        <v>97656</v>
      </c>
      <c r="E1661" s="85">
        <v>2384910</v>
      </c>
      <c r="F1661" s="86">
        <v>259463.5</v>
      </c>
      <c r="G1661" s="87" t="s">
        <v>2189</v>
      </c>
    </row>
    <row r="1662" spans="1:7" x14ac:dyDescent="0.25">
      <c r="A1662" s="84" t="s">
        <v>2440</v>
      </c>
      <c r="B1662" s="84" t="s">
        <v>115</v>
      </c>
      <c r="C1662" s="84" t="s">
        <v>253</v>
      </c>
      <c r="D1662" s="85">
        <v>162365</v>
      </c>
      <c r="E1662" s="85">
        <v>3663325</v>
      </c>
      <c r="F1662" s="86">
        <v>396702.9</v>
      </c>
      <c r="G1662" s="87" t="s">
        <v>2189</v>
      </c>
    </row>
    <row r="1663" spans="1:7" x14ac:dyDescent="0.25">
      <c r="A1663" s="84" t="s">
        <v>2440</v>
      </c>
      <c r="B1663" s="84" t="s">
        <v>117</v>
      </c>
      <c r="C1663" s="84" t="s">
        <v>253</v>
      </c>
      <c r="D1663" s="85">
        <v>93117</v>
      </c>
      <c r="E1663" s="85">
        <v>1588385</v>
      </c>
      <c r="F1663" s="86">
        <v>147811.79999999999</v>
      </c>
      <c r="G1663" s="87" t="s">
        <v>2189</v>
      </c>
    </row>
    <row r="1664" spans="1:7" x14ac:dyDescent="0.25">
      <c r="A1664" s="84" t="s">
        <v>2440</v>
      </c>
      <c r="B1664" s="84" t="s">
        <v>123</v>
      </c>
      <c r="C1664" s="84" t="s">
        <v>253</v>
      </c>
      <c r="D1664" s="85">
        <v>71215</v>
      </c>
      <c r="E1664" s="85">
        <v>1254359</v>
      </c>
      <c r="F1664" s="86">
        <v>148757.5</v>
      </c>
      <c r="G1664" s="87" t="s">
        <v>2189</v>
      </c>
    </row>
    <row r="1665" spans="1:7" x14ac:dyDescent="0.25">
      <c r="A1665" s="84" t="s">
        <v>2440</v>
      </c>
      <c r="B1665" s="84" t="s">
        <v>120</v>
      </c>
      <c r="C1665" s="84" t="s">
        <v>253</v>
      </c>
      <c r="D1665" s="85">
        <v>33527</v>
      </c>
      <c r="E1665" s="85">
        <v>420382</v>
      </c>
      <c r="F1665" s="86">
        <v>65791.399999999994</v>
      </c>
      <c r="G1665" s="87" t="s">
        <v>2189</v>
      </c>
    </row>
    <row r="1666" spans="1:7" x14ac:dyDescent="0.25">
      <c r="A1666" s="84" t="s">
        <v>2440</v>
      </c>
      <c r="B1666" s="84" t="s">
        <v>126</v>
      </c>
      <c r="C1666" s="84" t="s">
        <v>253</v>
      </c>
      <c r="D1666" s="85">
        <v>65326</v>
      </c>
      <c r="E1666" s="85">
        <v>1279211</v>
      </c>
      <c r="F1666" s="86">
        <v>119511.7</v>
      </c>
      <c r="G1666" s="87" t="s">
        <v>2189</v>
      </c>
    </row>
    <row r="1667" spans="1:7" x14ac:dyDescent="0.25">
      <c r="A1667" s="84" t="s">
        <v>2440</v>
      </c>
      <c r="B1667" s="84" t="s">
        <v>132</v>
      </c>
      <c r="C1667" s="84" t="s">
        <v>253</v>
      </c>
      <c r="D1667" s="85">
        <v>179711</v>
      </c>
      <c r="E1667" s="85">
        <v>3216892</v>
      </c>
      <c r="F1667" s="86">
        <v>379321.8</v>
      </c>
      <c r="G1667" s="87" t="s">
        <v>2189</v>
      </c>
    </row>
    <row r="1668" spans="1:7" x14ac:dyDescent="0.25">
      <c r="A1668" s="84" t="s">
        <v>2440</v>
      </c>
      <c r="B1668" s="84" t="s">
        <v>129</v>
      </c>
      <c r="C1668" s="84" t="s">
        <v>253</v>
      </c>
      <c r="D1668" s="85">
        <v>10867</v>
      </c>
      <c r="E1668" s="85">
        <v>148887</v>
      </c>
      <c r="F1668" s="86">
        <v>20923.5</v>
      </c>
      <c r="G1668" s="87" t="s">
        <v>2189</v>
      </c>
    </row>
    <row r="1669" spans="1:7" x14ac:dyDescent="0.25">
      <c r="A1669" s="84" t="s">
        <v>2440</v>
      </c>
      <c r="B1669" s="84" t="s">
        <v>135</v>
      </c>
      <c r="C1669" s="84" t="s">
        <v>253</v>
      </c>
      <c r="D1669" s="85">
        <v>49518</v>
      </c>
      <c r="E1669" s="85">
        <v>1048533</v>
      </c>
      <c r="F1669" s="86">
        <v>124972.4</v>
      </c>
      <c r="G1669" s="87" t="s">
        <v>2189</v>
      </c>
    </row>
    <row r="1670" spans="1:7" x14ac:dyDescent="0.25">
      <c r="A1670" s="84" t="s">
        <v>1252</v>
      </c>
      <c r="B1670" s="84" t="s">
        <v>64</v>
      </c>
      <c r="C1670" s="84" t="s">
        <v>283</v>
      </c>
      <c r="D1670" s="85">
        <v>1189</v>
      </c>
      <c r="E1670" s="85">
        <v>25043</v>
      </c>
      <c r="F1670" s="86">
        <v>3021</v>
      </c>
      <c r="G1670" s="87">
        <v>12.063250999999999</v>
      </c>
    </row>
    <row r="1671" spans="1:7" x14ac:dyDescent="0.25">
      <c r="A1671" s="84" t="s">
        <v>1253</v>
      </c>
      <c r="B1671" s="84" t="s">
        <v>64</v>
      </c>
      <c r="C1671" s="84" t="s">
        <v>283</v>
      </c>
      <c r="D1671" s="85">
        <v>10894</v>
      </c>
      <c r="E1671" s="85">
        <v>333680</v>
      </c>
      <c r="F1671" s="86">
        <v>30641</v>
      </c>
      <c r="G1671" s="87">
        <v>9.1827498999999992</v>
      </c>
    </row>
    <row r="1672" spans="1:7" x14ac:dyDescent="0.25">
      <c r="A1672" s="84" t="s">
        <v>1254</v>
      </c>
      <c r="B1672" s="84" t="s">
        <v>64</v>
      </c>
      <c r="C1672" s="84" t="s">
        <v>283</v>
      </c>
      <c r="D1672" s="85">
        <v>5281</v>
      </c>
      <c r="E1672" s="85">
        <v>92533</v>
      </c>
      <c r="F1672" s="86">
        <v>10657</v>
      </c>
      <c r="G1672" s="87">
        <v>11.516972000000001</v>
      </c>
    </row>
    <row r="1673" spans="1:7" x14ac:dyDescent="0.25">
      <c r="A1673" s="84" t="s">
        <v>1255</v>
      </c>
      <c r="B1673" s="84" t="s">
        <v>64</v>
      </c>
      <c r="C1673" s="84" t="s">
        <v>283</v>
      </c>
      <c r="D1673" s="85">
        <v>9756</v>
      </c>
      <c r="E1673" s="85">
        <v>221242</v>
      </c>
      <c r="F1673" s="86">
        <v>23508</v>
      </c>
      <c r="G1673" s="87">
        <v>10.625469000000001</v>
      </c>
    </row>
    <row r="1674" spans="1:7" x14ac:dyDescent="0.25">
      <c r="A1674" s="84" t="s">
        <v>1256</v>
      </c>
      <c r="B1674" s="84" t="s">
        <v>64</v>
      </c>
      <c r="C1674" s="84" t="s">
        <v>283</v>
      </c>
      <c r="D1674" s="85">
        <v>3834</v>
      </c>
      <c r="E1674" s="85">
        <v>117139</v>
      </c>
      <c r="F1674" s="86">
        <v>11809</v>
      </c>
      <c r="G1674" s="87">
        <v>10.081186000000001</v>
      </c>
    </row>
    <row r="1675" spans="1:7" x14ac:dyDescent="0.25">
      <c r="A1675" s="84" t="s">
        <v>1257</v>
      </c>
      <c r="B1675" s="84" t="s">
        <v>64</v>
      </c>
      <c r="C1675" s="84" t="s">
        <v>283</v>
      </c>
      <c r="D1675" s="85">
        <v>13682</v>
      </c>
      <c r="E1675" s="85">
        <v>437557</v>
      </c>
      <c r="F1675" s="86">
        <v>41104</v>
      </c>
      <c r="G1675" s="87">
        <v>9.3939760999999997</v>
      </c>
    </row>
    <row r="1676" spans="1:7" x14ac:dyDescent="0.25">
      <c r="A1676" s="84" t="s">
        <v>1258</v>
      </c>
      <c r="B1676" s="84" t="s">
        <v>64</v>
      </c>
      <c r="C1676" s="84" t="s">
        <v>283</v>
      </c>
      <c r="D1676" s="85">
        <v>15247</v>
      </c>
      <c r="E1676" s="85">
        <v>621426</v>
      </c>
      <c r="F1676" s="86">
        <v>53679</v>
      </c>
      <c r="G1676" s="87">
        <v>8.6380356999999997</v>
      </c>
    </row>
    <row r="1677" spans="1:7" x14ac:dyDescent="0.25">
      <c r="A1677" s="84" t="s">
        <v>1259</v>
      </c>
      <c r="B1677" s="84" t="s">
        <v>64</v>
      </c>
      <c r="C1677" s="84" t="s">
        <v>283</v>
      </c>
      <c r="D1677" s="85">
        <v>2048</v>
      </c>
      <c r="E1677" s="85">
        <v>66776</v>
      </c>
      <c r="F1677" s="86">
        <v>5327</v>
      </c>
      <c r="G1677" s="87">
        <v>7.977417</v>
      </c>
    </row>
    <row r="1678" spans="1:7" x14ac:dyDescent="0.25">
      <c r="A1678" s="84" t="s">
        <v>1260</v>
      </c>
      <c r="B1678" s="84" t="s">
        <v>64</v>
      </c>
      <c r="C1678" s="84" t="s">
        <v>283</v>
      </c>
      <c r="D1678" s="85">
        <v>3911</v>
      </c>
      <c r="E1678" s="85">
        <v>81936</v>
      </c>
      <c r="F1678" s="86">
        <v>9793</v>
      </c>
      <c r="G1678" s="87">
        <v>11.952011000000001</v>
      </c>
    </row>
    <row r="1679" spans="1:7" x14ac:dyDescent="0.25">
      <c r="A1679" s="84" t="s">
        <v>1261</v>
      </c>
      <c r="B1679" s="84" t="s">
        <v>64</v>
      </c>
      <c r="C1679" s="84" t="s">
        <v>283</v>
      </c>
      <c r="D1679" s="85">
        <v>6474</v>
      </c>
      <c r="E1679" s="85">
        <v>122772</v>
      </c>
      <c r="F1679" s="86">
        <v>15509</v>
      </c>
      <c r="G1679" s="87">
        <v>12.632358999999999</v>
      </c>
    </row>
    <row r="1680" spans="1:7" x14ac:dyDescent="0.25">
      <c r="A1680" s="84" t="s">
        <v>1262</v>
      </c>
      <c r="B1680" s="84" t="s">
        <v>64</v>
      </c>
      <c r="C1680" s="84" t="s">
        <v>281</v>
      </c>
      <c r="D1680" s="85">
        <v>8021</v>
      </c>
      <c r="E1680" s="85">
        <v>165549</v>
      </c>
      <c r="F1680" s="86">
        <v>19002.5</v>
      </c>
      <c r="G1680" s="87">
        <v>11.478475</v>
      </c>
    </row>
    <row r="1681" spans="1:7" x14ac:dyDescent="0.25">
      <c r="A1681" s="84" t="s">
        <v>1263</v>
      </c>
      <c r="B1681" s="84" t="s">
        <v>64</v>
      </c>
      <c r="C1681" s="84" t="s">
        <v>281</v>
      </c>
      <c r="D1681" s="85">
        <v>83541</v>
      </c>
      <c r="E1681" s="85">
        <v>1776192</v>
      </c>
      <c r="F1681" s="86">
        <v>192619</v>
      </c>
      <c r="G1681" s="87">
        <v>10.844492000000001</v>
      </c>
    </row>
    <row r="1682" spans="1:7" x14ac:dyDescent="0.25">
      <c r="A1682" s="84" t="s">
        <v>1264</v>
      </c>
      <c r="B1682" s="84" t="s">
        <v>64</v>
      </c>
      <c r="C1682" s="84" t="s">
        <v>281</v>
      </c>
      <c r="D1682" s="85">
        <v>28173</v>
      </c>
      <c r="E1682" s="85">
        <v>496236</v>
      </c>
      <c r="F1682" s="86">
        <v>60160</v>
      </c>
      <c r="G1682" s="87">
        <v>12.123264000000001</v>
      </c>
    </row>
    <row r="1683" spans="1:7" x14ac:dyDescent="0.25">
      <c r="A1683" s="84" t="s">
        <v>1265</v>
      </c>
      <c r="B1683" s="84" t="s">
        <v>64</v>
      </c>
      <c r="C1683" s="84" t="s">
        <v>281</v>
      </c>
      <c r="D1683" s="85">
        <v>39374</v>
      </c>
      <c r="E1683" s="85">
        <v>824309</v>
      </c>
      <c r="F1683" s="86">
        <v>94249.7</v>
      </c>
      <c r="G1683" s="87">
        <v>11.433783</v>
      </c>
    </row>
    <row r="1684" spans="1:7" x14ac:dyDescent="0.25">
      <c r="A1684" s="84" t="s">
        <v>1266</v>
      </c>
      <c r="B1684" s="84" t="s">
        <v>64</v>
      </c>
      <c r="C1684" s="84" t="s">
        <v>281</v>
      </c>
      <c r="D1684" s="85">
        <v>12826</v>
      </c>
      <c r="E1684" s="85">
        <v>227422</v>
      </c>
      <c r="F1684" s="86">
        <v>28747</v>
      </c>
      <c r="G1684" s="87">
        <v>12.640378</v>
      </c>
    </row>
    <row r="1685" spans="1:7" x14ac:dyDescent="0.25">
      <c r="A1685" s="84" t="s">
        <v>2393</v>
      </c>
      <c r="B1685" s="84" t="s">
        <v>64</v>
      </c>
      <c r="C1685" s="84" t="s">
        <v>278</v>
      </c>
      <c r="D1685" s="85">
        <v>450377</v>
      </c>
      <c r="E1685" s="85">
        <v>13235520</v>
      </c>
      <c r="F1685" s="86">
        <v>1215182.1000000001</v>
      </c>
      <c r="G1685" s="87">
        <v>9.1812191999999992</v>
      </c>
    </row>
    <row r="1686" spans="1:7" x14ac:dyDescent="0.25">
      <c r="A1686" s="84" t="s">
        <v>1268</v>
      </c>
      <c r="B1686" s="84" t="s">
        <v>64</v>
      </c>
      <c r="C1686" s="84" t="s">
        <v>283</v>
      </c>
      <c r="D1686" s="85">
        <v>9198</v>
      </c>
      <c r="E1686" s="85">
        <v>272213</v>
      </c>
      <c r="F1686" s="86">
        <v>24447</v>
      </c>
      <c r="G1686" s="87">
        <v>8.9808348999999996</v>
      </c>
    </row>
    <row r="1687" spans="1:7" x14ac:dyDescent="0.25">
      <c r="A1687" s="84" t="s">
        <v>1269</v>
      </c>
      <c r="B1687" s="84" t="s">
        <v>64</v>
      </c>
      <c r="C1687" s="84" t="s">
        <v>283</v>
      </c>
      <c r="D1687" s="85">
        <v>3448</v>
      </c>
      <c r="E1687" s="85">
        <v>130663</v>
      </c>
      <c r="F1687" s="86">
        <v>11516</v>
      </c>
      <c r="G1687" s="87">
        <v>8.8135125999999993</v>
      </c>
    </row>
    <row r="1688" spans="1:7" x14ac:dyDescent="0.25">
      <c r="A1688" s="84" t="s">
        <v>1270</v>
      </c>
      <c r="B1688" s="84" t="s">
        <v>64</v>
      </c>
      <c r="C1688" s="84" t="s">
        <v>281</v>
      </c>
      <c r="D1688" s="85">
        <v>31964</v>
      </c>
      <c r="E1688" s="85">
        <v>655901</v>
      </c>
      <c r="F1688" s="86">
        <v>75513</v>
      </c>
      <c r="G1688" s="87">
        <v>11.512866000000001</v>
      </c>
    </row>
    <row r="1689" spans="1:7" x14ac:dyDescent="0.25">
      <c r="A1689" s="84" t="s">
        <v>1271</v>
      </c>
      <c r="B1689" s="84" t="s">
        <v>64</v>
      </c>
      <c r="C1689" s="84" t="s">
        <v>278</v>
      </c>
      <c r="D1689" s="85">
        <v>188342</v>
      </c>
      <c r="E1689" s="85">
        <v>9608278</v>
      </c>
      <c r="F1689" s="86">
        <v>873190</v>
      </c>
      <c r="G1689" s="87">
        <v>9.0878928000000005</v>
      </c>
    </row>
    <row r="1690" spans="1:7" x14ac:dyDescent="0.25">
      <c r="A1690" s="84" t="s">
        <v>1272</v>
      </c>
      <c r="B1690" s="84" t="s">
        <v>64</v>
      </c>
      <c r="C1690" s="84" t="s">
        <v>281</v>
      </c>
      <c r="D1690" s="85">
        <v>11291</v>
      </c>
      <c r="E1690" s="85">
        <v>207694</v>
      </c>
      <c r="F1690" s="86">
        <v>24153</v>
      </c>
      <c r="G1690" s="87">
        <v>11.629127</v>
      </c>
    </row>
    <row r="1691" spans="1:7" x14ac:dyDescent="0.25">
      <c r="A1691" s="84" t="s">
        <v>1273</v>
      </c>
      <c r="B1691" s="84" t="s">
        <v>64</v>
      </c>
      <c r="C1691" s="84" t="s">
        <v>281</v>
      </c>
      <c r="D1691" s="85">
        <v>15848</v>
      </c>
      <c r="E1691" s="85">
        <v>318854</v>
      </c>
      <c r="F1691" s="86">
        <v>36567</v>
      </c>
      <c r="G1691" s="87">
        <v>11.468258000000001</v>
      </c>
    </row>
    <row r="1692" spans="1:7" x14ac:dyDescent="0.25">
      <c r="A1692" s="84" t="s">
        <v>1274</v>
      </c>
      <c r="B1692" s="84" t="s">
        <v>64</v>
      </c>
      <c r="C1692" s="84" t="s">
        <v>281</v>
      </c>
      <c r="D1692" s="85">
        <v>27116</v>
      </c>
      <c r="E1692" s="85">
        <v>665901</v>
      </c>
      <c r="F1692" s="86">
        <v>69269</v>
      </c>
      <c r="G1692" s="87">
        <v>10.402297000000001</v>
      </c>
    </row>
    <row r="1693" spans="1:7" x14ac:dyDescent="0.25">
      <c r="A1693" s="84" t="s">
        <v>1275</v>
      </c>
      <c r="B1693" s="84" t="s">
        <v>64</v>
      </c>
      <c r="C1693" s="84" t="s">
        <v>281</v>
      </c>
      <c r="D1693" s="85">
        <v>32162</v>
      </c>
      <c r="E1693" s="85">
        <v>1066303</v>
      </c>
      <c r="F1693" s="86">
        <v>105069</v>
      </c>
      <c r="G1693" s="87">
        <v>9.8535781999999994</v>
      </c>
    </row>
    <row r="1694" spans="1:7" x14ac:dyDescent="0.25">
      <c r="A1694" s="84" t="s">
        <v>1276</v>
      </c>
      <c r="B1694" s="84" t="s">
        <v>64</v>
      </c>
      <c r="C1694" s="84" t="s">
        <v>281</v>
      </c>
      <c r="D1694" s="85">
        <v>50466</v>
      </c>
      <c r="E1694" s="85">
        <v>1039735</v>
      </c>
      <c r="F1694" s="86">
        <v>124295.1</v>
      </c>
      <c r="G1694" s="87">
        <v>11.954497999999999</v>
      </c>
    </row>
    <row r="1695" spans="1:7" x14ac:dyDescent="0.25">
      <c r="A1695" s="84" t="s">
        <v>1277</v>
      </c>
      <c r="B1695" s="84" t="s">
        <v>64</v>
      </c>
      <c r="C1695" s="84" t="s">
        <v>281</v>
      </c>
      <c r="D1695" s="85">
        <v>19463</v>
      </c>
      <c r="E1695" s="85">
        <v>425936</v>
      </c>
      <c r="F1695" s="86">
        <v>47817</v>
      </c>
      <c r="G1695" s="87">
        <v>11.226334</v>
      </c>
    </row>
    <row r="1696" spans="1:7" x14ac:dyDescent="0.25">
      <c r="A1696" s="84" t="s">
        <v>1278</v>
      </c>
      <c r="B1696" s="84" t="s">
        <v>64</v>
      </c>
      <c r="C1696" s="84" t="s">
        <v>281</v>
      </c>
      <c r="D1696" s="85">
        <v>13826</v>
      </c>
      <c r="E1696" s="85">
        <v>341972</v>
      </c>
      <c r="F1696" s="86">
        <v>32315</v>
      </c>
      <c r="G1696" s="87">
        <v>9.4496041000000002</v>
      </c>
    </row>
    <row r="1697" spans="1:7" x14ac:dyDescent="0.25">
      <c r="A1697" s="84" t="s">
        <v>1279</v>
      </c>
      <c r="B1697" s="84" t="s">
        <v>64</v>
      </c>
      <c r="C1697" s="84" t="s">
        <v>283</v>
      </c>
      <c r="D1697" s="85">
        <v>5100</v>
      </c>
      <c r="E1697" s="85">
        <v>112791</v>
      </c>
      <c r="F1697" s="86">
        <v>11000</v>
      </c>
      <c r="G1697" s="87">
        <v>9.7525511999999992</v>
      </c>
    </row>
    <row r="1698" spans="1:7" x14ac:dyDescent="0.25">
      <c r="A1698" s="84" t="s">
        <v>2362</v>
      </c>
      <c r="B1698" s="84" t="s">
        <v>64</v>
      </c>
      <c r="C1698" s="84" t="s">
        <v>281</v>
      </c>
      <c r="D1698" s="85">
        <v>74443</v>
      </c>
      <c r="E1698" s="85">
        <v>1394254</v>
      </c>
      <c r="F1698" s="86">
        <v>150120.5</v>
      </c>
      <c r="G1698" s="87">
        <v>10.767084000000001</v>
      </c>
    </row>
    <row r="1699" spans="1:7" x14ac:dyDescent="0.25">
      <c r="A1699" s="84" t="s">
        <v>2394</v>
      </c>
      <c r="B1699" s="84" t="s">
        <v>64</v>
      </c>
      <c r="C1699" s="84" t="s">
        <v>281</v>
      </c>
      <c r="D1699" s="85">
        <v>68129</v>
      </c>
      <c r="E1699" s="85">
        <v>1856403</v>
      </c>
      <c r="F1699" s="86">
        <v>201755</v>
      </c>
      <c r="G1699" s="87">
        <v>10.86806</v>
      </c>
    </row>
    <row r="1700" spans="1:7" x14ac:dyDescent="0.25">
      <c r="A1700" s="84" t="s">
        <v>1281</v>
      </c>
      <c r="B1700" s="84" t="s">
        <v>64</v>
      </c>
      <c r="C1700" s="84" t="s">
        <v>281</v>
      </c>
      <c r="D1700" s="85">
        <v>25140</v>
      </c>
      <c r="E1700" s="85">
        <v>480566</v>
      </c>
      <c r="F1700" s="86">
        <v>55181.3</v>
      </c>
      <c r="G1700" s="87">
        <v>11.482564</v>
      </c>
    </row>
    <row r="1701" spans="1:7" x14ac:dyDescent="0.25">
      <c r="A1701" s="84" t="s">
        <v>1282</v>
      </c>
      <c r="B1701" s="84" t="s">
        <v>64</v>
      </c>
      <c r="C1701" s="84" t="s">
        <v>281</v>
      </c>
      <c r="D1701" s="85">
        <v>27543</v>
      </c>
      <c r="E1701" s="85">
        <v>658734</v>
      </c>
      <c r="F1701" s="86">
        <v>71886</v>
      </c>
      <c r="G1701" s="87">
        <v>10.912751</v>
      </c>
    </row>
    <row r="1702" spans="1:7" x14ac:dyDescent="0.25">
      <c r="A1702" s="84" t="s">
        <v>350</v>
      </c>
      <c r="B1702" s="84" t="s">
        <v>64</v>
      </c>
      <c r="C1702" s="84" t="s">
        <v>351</v>
      </c>
      <c r="D1702" s="85">
        <v>8</v>
      </c>
      <c r="E1702" s="85">
        <v>4562947</v>
      </c>
      <c r="F1702" s="86">
        <v>160763.1</v>
      </c>
      <c r="G1702" s="87">
        <v>3.5232296000000001</v>
      </c>
    </row>
    <row r="1703" spans="1:7" x14ac:dyDescent="0.25">
      <c r="A1703" s="84" t="s">
        <v>1283</v>
      </c>
      <c r="B1703" s="84" t="s">
        <v>64</v>
      </c>
      <c r="C1703" s="84" t="s">
        <v>281</v>
      </c>
      <c r="D1703" s="85">
        <v>13823</v>
      </c>
      <c r="E1703" s="85">
        <v>339783</v>
      </c>
      <c r="F1703" s="86">
        <v>36012</v>
      </c>
      <c r="G1703" s="87">
        <v>10.598528999999999</v>
      </c>
    </row>
    <row r="1704" spans="1:7" x14ac:dyDescent="0.25">
      <c r="A1704" s="84" t="s">
        <v>1284</v>
      </c>
      <c r="B1704" s="84" t="s">
        <v>64</v>
      </c>
      <c r="C1704" s="84" t="s">
        <v>281</v>
      </c>
      <c r="D1704" s="85">
        <v>13515</v>
      </c>
      <c r="E1704" s="85">
        <v>281284</v>
      </c>
      <c r="F1704" s="86">
        <v>30835</v>
      </c>
      <c r="G1704" s="87">
        <v>10.96223</v>
      </c>
    </row>
    <row r="1705" spans="1:7" x14ac:dyDescent="0.25">
      <c r="A1705" s="84" t="s">
        <v>1285</v>
      </c>
      <c r="B1705" s="84" t="s">
        <v>64</v>
      </c>
      <c r="C1705" s="84" t="s">
        <v>281</v>
      </c>
      <c r="D1705" s="85">
        <v>43946</v>
      </c>
      <c r="E1705" s="85">
        <v>1123945</v>
      </c>
      <c r="F1705" s="86">
        <v>115625</v>
      </c>
      <c r="G1705" s="87">
        <v>10.287425000000001</v>
      </c>
    </row>
    <row r="1706" spans="1:7" x14ac:dyDescent="0.25">
      <c r="A1706" s="84" t="s">
        <v>1286</v>
      </c>
      <c r="B1706" s="84" t="s">
        <v>64</v>
      </c>
      <c r="C1706" s="84" t="s">
        <v>281</v>
      </c>
      <c r="D1706" s="85">
        <v>12081</v>
      </c>
      <c r="E1706" s="85">
        <v>197394</v>
      </c>
      <c r="F1706" s="86">
        <v>29929.200000000001</v>
      </c>
      <c r="G1706" s="87">
        <v>15.162163</v>
      </c>
    </row>
    <row r="1707" spans="1:7" x14ac:dyDescent="0.25">
      <c r="A1707" s="84" t="s">
        <v>1287</v>
      </c>
      <c r="B1707" s="84" t="s">
        <v>64</v>
      </c>
      <c r="C1707" s="84" t="s">
        <v>281</v>
      </c>
      <c r="D1707" s="85">
        <v>10339</v>
      </c>
      <c r="E1707" s="85">
        <v>586652</v>
      </c>
      <c r="F1707" s="86">
        <v>50114</v>
      </c>
      <c r="G1707" s="87">
        <v>8.5423726999999996</v>
      </c>
    </row>
    <row r="1708" spans="1:7" x14ac:dyDescent="0.25">
      <c r="A1708" s="84" t="s">
        <v>742</v>
      </c>
      <c r="B1708" s="84" t="s">
        <v>70</v>
      </c>
      <c r="C1708" s="84" t="s">
        <v>278</v>
      </c>
      <c r="D1708" s="85">
        <v>31</v>
      </c>
      <c r="E1708" s="85">
        <v>1023</v>
      </c>
      <c r="F1708" s="86">
        <v>93.4</v>
      </c>
      <c r="G1708" s="87">
        <v>9.1300097999999998</v>
      </c>
    </row>
    <row r="1709" spans="1:7" x14ac:dyDescent="0.25">
      <c r="A1709" s="84" t="s">
        <v>1288</v>
      </c>
      <c r="B1709" s="84" t="s">
        <v>70</v>
      </c>
      <c r="C1709" s="84" t="s">
        <v>281</v>
      </c>
      <c r="D1709" s="85">
        <v>5775</v>
      </c>
      <c r="E1709" s="85">
        <v>63238</v>
      </c>
      <c r="F1709" s="86">
        <v>7969.4</v>
      </c>
      <c r="G1709" s="87">
        <v>12.602233</v>
      </c>
    </row>
    <row r="1710" spans="1:7" x14ac:dyDescent="0.25">
      <c r="A1710" s="84" t="s">
        <v>2441</v>
      </c>
      <c r="B1710" s="84" t="s">
        <v>70</v>
      </c>
      <c r="C1710" s="84" t="s">
        <v>281</v>
      </c>
      <c r="D1710" s="85">
        <v>2034</v>
      </c>
      <c r="E1710" s="85">
        <v>30117</v>
      </c>
      <c r="F1710" s="86">
        <v>3754.9</v>
      </c>
      <c r="G1710" s="87">
        <v>12.467708999999999</v>
      </c>
    </row>
    <row r="1711" spans="1:7" x14ac:dyDescent="0.25">
      <c r="A1711" s="84" t="s">
        <v>1289</v>
      </c>
      <c r="B1711" s="84" t="s">
        <v>70</v>
      </c>
      <c r="C1711" s="84" t="s">
        <v>281</v>
      </c>
      <c r="D1711" s="85">
        <v>3642</v>
      </c>
      <c r="E1711" s="85">
        <v>57723</v>
      </c>
      <c r="F1711" s="86">
        <v>6885.7</v>
      </c>
      <c r="G1711" s="87">
        <v>11.928867</v>
      </c>
    </row>
    <row r="1712" spans="1:7" x14ac:dyDescent="0.25">
      <c r="A1712" s="84" t="s">
        <v>1290</v>
      </c>
      <c r="B1712" s="84" t="s">
        <v>70</v>
      </c>
      <c r="C1712" s="84" t="s">
        <v>281</v>
      </c>
      <c r="D1712" s="85">
        <v>68</v>
      </c>
      <c r="E1712" s="85">
        <v>20190</v>
      </c>
      <c r="F1712" s="86">
        <v>2339</v>
      </c>
      <c r="G1712" s="87">
        <v>11.584943000000001</v>
      </c>
    </row>
    <row r="1713" spans="1:7" x14ac:dyDescent="0.25">
      <c r="A1713" s="84" t="s">
        <v>1291</v>
      </c>
      <c r="B1713" s="84" t="s">
        <v>70</v>
      </c>
      <c r="C1713" s="84" t="s">
        <v>278</v>
      </c>
      <c r="D1713" s="85">
        <v>41</v>
      </c>
      <c r="E1713" s="85">
        <v>137021</v>
      </c>
      <c r="F1713" s="86">
        <v>9306.6</v>
      </c>
      <c r="G1713" s="87">
        <v>6.7920976</v>
      </c>
    </row>
    <row r="1714" spans="1:7" x14ac:dyDescent="0.25">
      <c r="A1714" s="84" t="s">
        <v>2442</v>
      </c>
      <c r="B1714" s="84" t="s">
        <v>70</v>
      </c>
      <c r="C1714" s="84" t="s">
        <v>283</v>
      </c>
      <c r="D1714" s="85">
        <v>1034</v>
      </c>
      <c r="E1714" s="85">
        <v>16770</v>
      </c>
      <c r="F1714" s="86">
        <v>1157</v>
      </c>
      <c r="G1714" s="87">
        <v>6.8992247999999998</v>
      </c>
    </row>
    <row r="1715" spans="1:7" x14ac:dyDescent="0.25">
      <c r="A1715" s="84" t="s">
        <v>747</v>
      </c>
      <c r="B1715" s="84" t="s">
        <v>70</v>
      </c>
      <c r="C1715" s="84" t="s">
        <v>281</v>
      </c>
      <c r="D1715" s="85">
        <v>1999</v>
      </c>
      <c r="E1715" s="85">
        <v>52860</v>
      </c>
      <c r="F1715" s="86">
        <v>4804</v>
      </c>
      <c r="G1715" s="87">
        <v>9.0881574000000001</v>
      </c>
    </row>
    <row r="1716" spans="1:7" x14ac:dyDescent="0.25">
      <c r="A1716" s="84" t="s">
        <v>1292</v>
      </c>
      <c r="B1716" s="84" t="s">
        <v>70</v>
      </c>
      <c r="C1716" s="84" t="s">
        <v>281</v>
      </c>
      <c r="D1716" s="85">
        <v>6496</v>
      </c>
      <c r="E1716" s="85">
        <v>247670</v>
      </c>
      <c r="F1716" s="86">
        <v>26597.3</v>
      </c>
      <c r="G1716" s="87">
        <v>10.739008</v>
      </c>
    </row>
    <row r="1717" spans="1:7" x14ac:dyDescent="0.25">
      <c r="A1717" s="84" t="s">
        <v>1293</v>
      </c>
      <c r="B1717" s="84" t="s">
        <v>70</v>
      </c>
      <c r="C1717" s="84" t="s">
        <v>281</v>
      </c>
      <c r="D1717" s="85">
        <v>68218</v>
      </c>
      <c r="E1717" s="85">
        <v>1457797</v>
      </c>
      <c r="F1717" s="86">
        <v>120262.6</v>
      </c>
      <c r="G1717" s="87">
        <v>8.2496123000000008</v>
      </c>
    </row>
    <row r="1718" spans="1:7" x14ac:dyDescent="0.25">
      <c r="A1718" s="84" t="s">
        <v>1294</v>
      </c>
      <c r="B1718" s="84" t="s">
        <v>70</v>
      </c>
      <c r="C1718" s="84" t="s">
        <v>281</v>
      </c>
      <c r="D1718" s="85">
        <v>7758</v>
      </c>
      <c r="E1718" s="85">
        <v>174811</v>
      </c>
      <c r="F1718" s="86">
        <v>15774.4</v>
      </c>
      <c r="G1718" s="87">
        <v>9.0236883999999993</v>
      </c>
    </row>
    <row r="1719" spans="1:7" x14ac:dyDescent="0.25">
      <c r="A1719" s="84" t="s">
        <v>2443</v>
      </c>
      <c r="B1719" s="84" t="s">
        <v>70</v>
      </c>
      <c r="C1719" s="84" t="s">
        <v>281</v>
      </c>
      <c r="D1719" s="85">
        <v>817</v>
      </c>
      <c r="E1719" s="85">
        <v>27240</v>
      </c>
      <c r="F1719" s="86">
        <v>2797</v>
      </c>
      <c r="G1719" s="87">
        <v>10.267988000000001</v>
      </c>
    </row>
    <row r="1720" spans="1:7" x14ac:dyDescent="0.25">
      <c r="A1720" s="84" t="s">
        <v>1295</v>
      </c>
      <c r="B1720" s="84" t="s">
        <v>70</v>
      </c>
      <c r="C1720" s="84" t="s">
        <v>281</v>
      </c>
      <c r="D1720" s="85">
        <v>13</v>
      </c>
      <c r="E1720" s="85">
        <v>124</v>
      </c>
      <c r="F1720" s="86">
        <v>15.5</v>
      </c>
      <c r="G1720" s="87">
        <v>12.5</v>
      </c>
    </row>
    <row r="1721" spans="1:7" x14ac:dyDescent="0.25">
      <c r="A1721" s="84" t="s">
        <v>1296</v>
      </c>
      <c r="B1721" s="84" t="s">
        <v>70</v>
      </c>
      <c r="C1721" s="84" t="s">
        <v>281</v>
      </c>
      <c r="D1721" s="85">
        <v>3846</v>
      </c>
      <c r="E1721" s="85">
        <v>167697</v>
      </c>
      <c r="F1721" s="86">
        <v>16353.6</v>
      </c>
      <c r="G1721" s="87">
        <v>9.7518738999999997</v>
      </c>
    </row>
    <row r="1722" spans="1:7" x14ac:dyDescent="0.25">
      <c r="A1722" s="84" t="s">
        <v>1297</v>
      </c>
      <c r="B1722" s="84" t="s">
        <v>70</v>
      </c>
      <c r="C1722" s="84" t="s">
        <v>281</v>
      </c>
      <c r="D1722" s="85">
        <v>6063</v>
      </c>
      <c r="E1722" s="85">
        <v>120428</v>
      </c>
      <c r="F1722" s="86">
        <v>11717</v>
      </c>
      <c r="G1722" s="87">
        <v>9.7294649</v>
      </c>
    </row>
    <row r="1723" spans="1:7" x14ac:dyDescent="0.25">
      <c r="A1723" s="84" t="s">
        <v>1298</v>
      </c>
      <c r="B1723" s="84" t="s">
        <v>70</v>
      </c>
      <c r="C1723" s="84" t="s">
        <v>281</v>
      </c>
      <c r="D1723" s="85">
        <v>5076</v>
      </c>
      <c r="E1723" s="85">
        <v>208735</v>
      </c>
      <c r="F1723" s="86">
        <v>21460</v>
      </c>
      <c r="G1723" s="87">
        <v>10.280977999999999</v>
      </c>
    </row>
    <row r="1724" spans="1:7" x14ac:dyDescent="0.25">
      <c r="A1724" s="84" t="s">
        <v>1299</v>
      </c>
      <c r="B1724" s="84" t="s">
        <v>70</v>
      </c>
      <c r="C1724" s="84" t="s">
        <v>281</v>
      </c>
      <c r="D1724" s="85">
        <v>3820</v>
      </c>
      <c r="E1724" s="85">
        <v>79762</v>
      </c>
      <c r="F1724" s="86">
        <v>6976</v>
      </c>
      <c r="G1724" s="87">
        <v>8.7460193999999998</v>
      </c>
    </row>
    <row r="1725" spans="1:7" x14ac:dyDescent="0.25">
      <c r="A1725" s="84" t="s">
        <v>1300</v>
      </c>
      <c r="B1725" s="84" t="s">
        <v>70</v>
      </c>
      <c r="C1725" s="84" t="s">
        <v>281</v>
      </c>
      <c r="D1725" s="85">
        <v>5316</v>
      </c>
      <c r="E1725" s="85">
        <v>70916</v>
      </c>
      <c r="F1725" s="86">
        <v>9356.2000000000007</v>
      </c>
      <c r="G1725" s="87">
        <v>13.193356</v>
      </c>
    </row>
    <row r="1726" spans="1:7" x14ac:dyDescent="0.25">
      <c r="A1726" s="84" t="s">
        <v>1301</v>
      </c>
      <c r="B1726" s="84" t="s">
        <v>70</v>
      </c>
      <c r="C1726" s="84" t="s">
        <v>281</v>
      </c>
      <c r="D1726" s="85">
        <v>116</v>
      </c>
      <c r="E1726" s="85">
        <v>706</v>
      </c>
      <c r="F1726" s="86">
        <v>79.7</v>
      </c>
      <c r="G1726" s="87">
        <v>11.288952</v>
      </c>
    </row>
    <row r="1727" spans="1:7" x14ac:dyDescent="0.25">
      <c r="A1727" s="84" t="s">
        <v>1302</v>
      </c>
      <c r="B1727" s="84" t="s">
        <v>70</v>
      </c>
      <c r="C1727" s="84" t="s">
        <v>281</v>
      </c>
      <c r="D1727" s="85">
        <v>2026</v>
      </c>
      <c r="E1727" s="85">
        <v>25227</v>
      </c>
      <c r="F1727" s="86">
        <v>3465.6</v>
      </c>
      <c r="G1727" s="87">
        <v>13.737662</v>
      </c>
    </row>
    <row r="1728" spans="1:7" x14ac:dyDescent="0.25">
      <c r="A1728" s="84" t="s">
        <v>752</v>
      </c>
      <c r="B1728" s="84" t="s">
        <v>70</v>
      </c>
      <c r="C1728" s="84" t="s">
        <v>281</v>
      </c>
      <c r="D1728" s="85">
        <v>15335</v>
      </c>
      <c r="E1728" s="85">
        <v>233871</v>
      </c>
      <c r="F1728" s="86">
        <v>22767.5</v>
      </c>
      <c r="G1728" s="87">
        <v>9.7350676000000007</v>
      </c>
    </row>
    <row r="1729" spans="1:7" x14ac:dyDescent="0.25">
      <c r="A1729" s="84" t="s">
        <v>1303</v>
      </c>
      <c r="B1729" s="84" t="s">
        <v>70</v>
      </c>
      <c r="C1729" s="84" t="s">
        <v>278</v>
      </c>
      <c r="D1729" s="85">
        <v>25629</v>
      </c>
      <c r="E1729" s="85">
        <v>781667</v>
      </c>
      <c r="F1729" s="86">
        <v>67712</v>
      </c>
      <c r="G1729" s="87">
        <v>8.6625122999999995</v>
      </c>
    </row>
    <row r="1730" spans="1:7" x14ac:dyDescent="0.25">
      <c r="A1730" s="84" t="s">
        <v>2444</v>
      </c>
      <c r="B1730" s="84" t="s">
        <v>70</v>
      </c>
      <c r="C1730" s="84" t="s">
        <v>281</v>
      </c>
      <c r="D1730" s="85">
        <v>3436</v>
      </c>
      <c r="E1730" s="85">
        <v>50898</v>
      </c>
      <c r="F1730" s="86">
        <v>7383.5</v>
      </c>
      <c r="G1730" s="87">
        <v>14.506463999999999</v>
      </c>
    </row>
    <row r="1731" spans="1:7" x14ac:dyDescent="0.25">
      <c r="A1731" s="84" t="s">
        <v>1304</v>
      </c>
      <c r="B1731" s="84" t="s">
        <v>70</v>
      </c>
      <c r="C1731" s="84" t="s">
        <v>278</v>
      </c>
      <c r="D1731" s="85">
        <v>376984</v>
      </c>
      <c r="E1731" s="85">
        <v>6070325</v>
      </c>
      <c r="F1731" s="86">
        <v>706905.7</v>
      </c>
      <c r="G1731" s="87">
        <v>11.645269000000001</v>
      </c>
    </row>
    <row r="1732" spans="1:7" x14ac:dyDescent="0.25">
      <c r="A1732" s="84" t="s">
        <v>753</v>
      </c>
      <c r="B1732" s="84" t="s">
        <v>70</v>
      </c>
      <c r="C1732" s="84" t="s">
        <v>281</v>
      </c>
      <c r="D1732" s="85">
        <v>4613</v>
      </c>
      <c r="E1732" s="85">
        <v>56592</v>
      </c>
      <c r="F1732" s="86">
        <v>6654</v>
      </c>
      <c r="G1732" s="87">
        <v>11.757846000000001</v>
      </c>
    </row>
    <row r="1733" spans="1:7" x14ac:dyDescent="0.25">
      <c r="A1733" s="84" t="s">
        <v>1305</v>
      </c>
      <c r="B1733" s="84" t="s">
        <v>70</v>
      </c>
      <c r="C1733" s="84" t="s">
        <v>281</v>
      </c>
      <c r="D1733" s="85">
        <v>6178</v>
      </c>
      <c r="E1733" s="85">
        <v>180221</v>
      </c>
      <c r="F1733" s="86">
        <v>15275.1</v>
      </c>
      <c r="G1733" s="87">
        <v>8.4757602999999992</v>
      </c>
    </row>
    <row r="1734" spans="1:7" x14ac:dyDescent="0.25">
      <c r="A1734" s="84" t="s">
        <v>2395</v>
      </c>
      <c r="B1734" s="84" t="s">
        <v>70</v>
      </c>
      <c r="C1734" s="84" t="s">
        <v>281</v>
      </c>
      <c r="D1734" s="85">
        <v>175</v>
      </c>
      <c r="E1734" s="85">
        <v>97020</v>
      </c>
      <c r="F1734" s="86">
        <v>6489.5</v>
      </c>
      <c r="G1734" s="87">
        <v>6.6888269999999999</v>
      </c>
    </row>
    <row r="1735" spans="1:7" x14ac:dyDescent="0.25">
      <c r="A1735" s="84" t="s">
        <v>1307</v>
      </c>
      <c r="B1735" s="84" t="s">
        <v>70</v>
      </c>
      <c r="C1735" s="84" t="s">
        <v>281</v>
      </c>
      <c r="D1735" s="85">
        <v>10837</v>
      </c>
      <c r="E1735" s="85">
        <v>163895</v>
      </c>
      <c r="F1735" s="86">
        <v>16043.1</v>
      </c>
      <c r="G1735" s="87">
        <v>9.7886451999999995</v>
      </c>
    </row>
    <row r="1736" spans="1:7" x14ac:dyDescent="0.25">
      <c r="A1736" s="84" t="s">
        <v>1308</v>
      </c>
      <c r="B1736" s="84" t="s">
        <v>70</v>
      </c>
      <c r="C1736" s="84" t="s">
        <v>281</v>
      </c>
      <c r="D1736" s="85">
        <v>3680</v>
      </c>
      <c r="E1736" s="85">
        <v>107784</v>
      </c>
      <c r="F1736" s="86">
        <v>13604</v>
      </c>
      <c r="G1736" s="87">
        <v>12.621539</v>
      </c>
    </row>
    <row r="1737" spans="1:7" x14ac:dyDescent="0.25">
      <c r="A1737" s="84" t="s">
        <v>2445</v>
      </c>
      <c r="B1737" s="84" t="s">
        <v>70</v>
      </c>
      <c r="C1737" s="84" t="s">
        <v>281</v>
      </c>
      <c r="D1737" s="85">
        <v>2090</v>
      </c>
      <c r="E1737" s="85">
        <v>60145</v>
      </c>
      <c r="F1737" s="86">
        <v>6885</v>
      </c>
      <c r="G1737" s="87">
        <v>11.447336</v>
      </c>
    </row>
    <row r="1738" spans="1:7" x14ac:dyDescent="0.25">
      <c r="A1738" s="84" t="s">
        <v>1309</v>
      </c>
      <c r="B1738" s="84" t="s">
        <v>70</v>
      </c>
      <c r="C1738" s="84" t="s">
        <v>281</v>
      </c>
      <c r="D1738" s="85">
        <v>5913</v>
      </c>
      <c r="E1738" s="85">
        <v>93704</v>
      </c>
      <c r="F1738" s="86">
        <v>11250.3</v>
      </c>
      <c r="G1738" s="87">
        <v>12.006211</v>
      </c>
    </row>
    <row r="1739" spans="1:7" x14ac:dyDescent="0.25">
      <c r="A1739" s="84" t="s">
        <v>1310</v>
      </c>
      <c r="B1739" s="84" t="s">
        <v>70</v>
      </c>
      <c r="C1739" s="84" t="s">
        <v>281</v>
      </c>
      <c r="D1739" s="85">
        <v>5035</v>
      </c>
      <c r="E1739" s="85">
        <v>96983</v>
      </c>
      <c r="F1739" s="86">
        <v>12794</v>
      </c>
      <c r="G1739" s="87">
        <v>13.192003</v>
      </c>
    </row>
    <row r="1740" spans="1:7" x14ac:dyDescent="0.25">
      <c r="A1740" s="84" t="s">
        <v>1311</v>
      </c>
      <c r="B1740" s="84" t="s">
        <v>70</v>
      </c>
      <c r="C1740" s="84" t="s">
        <v>351</v>
      </c>
      <c r="D1740" s="85">
        <v>21477</v>
      </c>
      <c r="E1740" s="85">
        <v>396666</v>
      </c>
      <c r="F1740" s="86">
        <v>25901</v>
      </c>
      <c r="G1740" s="87">
        <v>6.5296747999999996</v>
      </c>
    </row>
    <row r="1741" spans="1:7" x14ac:dyDescent="0.25">
      <c r="A1741" s="84" t="s">
        <v>757</v>
      </c>
      <c r="B1741" s="84" t="s">
        <v>70</v>
      </c>
      <c r="C1741" s="84" t="s">
        <v>281</v>
      </c>
      <c r="D1741" s="85">
        <v>10178</v>
      </c>
      <c r="E1741" s="85">
        <v>174855</v>
      </c>
      <c r="F1741" s="86">
        <v>14027</v>
      </c>
      <c r="G1741" s="87">
        <v>8.0220754000000003</v>
      </c>
    </row>
    <row r="1742" spans="1:7" x14ac:dyDescent="0.25">
      <c r="A1742" s="84" t="s">
        <v>422</v>
      </c>
      <c r="B1742" s="84" t="s">
        <v>70</v>
      </c>
      <c r="C1742" s="84" t="s">
        <v>351</v>
      </c>
      <c r="D1742" s="85">
        <v>15</v>
      </c>
      <c r="E1742" s="85">
        <v>121281</v>
      </c>
      <c r="F1742" s="86">
        <v>2421.4</v>
      </c>
      <c r="G1742" s="87">
        <v>1.9965204999999999</v>
      </c>
    </row>
    <row r="1743" spans="1:7" x14ac:dyDescent="0.25">
      <c r="A1743" s="84" t="s">
        <v>2396</v>
      </c>
      <c r="B1743" s="84" t="s">
        <v>70</v>
      </c>
      <c r="C1743" s="84" t="s">
        <v>281</v>
      </c>
      <c r="D1743" s="85">
        <v>20588</v>
      </c>
      <c r="E1743" s="85">
        <v>284044</v>
      </c>
      <c r="F1743" s="86">
        <v>35342</v>
      </c>
      <c r="G1743" s="87">
        <v>12.442437999999999</v>
      </c>
    </row>
    <row r="1744" spans="1:7" x14ac:dyDescent="0.25">
      <c r="A1744" s="84" t="s">
        <v>1313</v>
      </c>
      <c r="B1744" s="84" t="s">
        <v>89</v>
      </c>
      <c r="C1744" s="84" t="s">
        <v>281</v>
      </c>
      <c r="D1744" s="85">
        <v>13079</v>
      </c>
      <c r="E1744" s="85">
        <v>219383</v>
      </c>
      <c r="F1744" s="86">
        <v>29768</v>
      </c>
      <c r="G1744" s="87">
        <v>13.568963999999999</v>
      </c>
    </row>
    <row r="1745" spans="1:7" x14ac:dyDescent="0.25">
      <c r="A1745" s="84" t="s">
        <v>1314</v>
      </c>
      <c r="B1745" s="84" t="s">
        <v>89</v>
      </c>
      <c r="C1745" s="84" t="s">
        <v>281</v>
      </c>
      <c r="D1745" s="85">
        <v>76823</v>
      </c>
      <c r="E1745" s="85">
        <v>1100595</v>
      </c>
      <c r="F1745" s="86">
        <v>122264</v>
      </c>
      <c r="G1745" s="87">
        <v>11.1089</v>
      </c>
    </row>
    <row r="1746" spans="1:7" x14ac:dyDescent="0.25">
      <c r="A1746" s="84" t="s">
        <v>578</v>
      </c>
      <c r="B1746" s="84" t="s">
        <v>89</v>
      </c>
      <c r="C1746" s="84" t="s">
        <v>281</v>
      </c>
      <c r="D1746" s="85">
        <v>18167</v>
      </c>
      <c r="E1746" s="85">
        <v>201983</v>
      </c>
      <c r="F1746" s="86">
        <v>27127</v>
      </c>
      <c r="G1746" s="87">
        <v>13.430338000000001</v>
      </c>
    </row>
    <row r="1747" spans="1:7" x14ac:dyDescent="0.25">
      <c r="A1747" s="84" t="s">
        <v>1315</v>
      </c>
      <c r="B1747" s="84" t="s">
        <v>89</v>
      </c>
      <c r="C1747" s="84" t="s">
        <v>281</v>
      </c>
      <c r="D1747" s="85">
        <v>431</v>
      </c>
      <c r="E1747" s="85">
        <v>5998</v>
      </c>
      <c r="F1747" s="86">
        <v>857.3</v>
      </c>
      <c r="G1747" s="87">
        <v>14.293098000000001</v>
      </c>
    </row>
    <row r="1748" spans="1:7" x14ac:dyDescent="0.25">
      <c r="A1748" s="84" t="s">
        <v>1316</v>
      </c>
      <c r="B1748" s="84" t="s">
        <v>89</v>
      </c>
      <c r="C1748" s="84" t="s">
        <v>281</v>
      </c>
      <c r="D1748" s="85">
        <v>95216</v>
      </c>
      <c r="E1748" s="85">
        <v>1405438</v>
      </c>
      <c r="F1748" s="86">
        <v>176074</v>
      </c>
      <c r="G1748" s="87">
        <v>12.528052000000001</v>
      </c>
    </row>
    <row r="1749" spans="1:7" x14ac:dyDescent="0.25">
      <c r="A1749" s="84" t="s">
        <v>1317</v>
      </c>
      <c r="B1749" s="84" t="s">
        <v>89</v>
      </c>
      <c r="C1749" s="84" t="s">
        <v>281</v>
      </c>
      <c r="D1749" s="85">
        <v>7770</v>
      </c>
      <c r="E1749" s="85">
        <v>131659</v>
      </c>
      <c r="F1749" s="86">
        <v>19384</v>
      </c>
      <c r="G1749" s="87">
        <v>14.722882999999999</v>
      </c>
    </row>
    <row r="1750" spans="1:7" x14ac:dyDescent="0.25">
      <c r="A1750" s="84" t="s">
        <v>1318</v>
      </c>
      <c r="B1750" s="84" t="s">
        <v>89</v>
      </c>
      <c r="C1750" s="84" t="s">
        <v>281</v>
      </c>
      <c r="D1750" s="85">
        <v>40589</v>
      </c>
      <c r="E1750" s="85">
        <v>594969</v>
      </c>
      <c r="F1750" s="86">
        <v>68538</v>
      </c>
      <c r="G1750" s="87">
        <v>11.519591999999999</v>
      </c>
    </row>
    <row r="1751" spans="1:7" x14ac:dyDescent="0.25">
      <c r="A1751" s="84" t="s">
        <v>1319</v>
      </c>
      <c r="B1751" s="84" t="s">
        <v>89</v>
      </c>
      <c r="C1751" s="84" t="s">
        <v>281</v>
      </c>
      <c r="D1751" s="85">
        <v>23098</v>
      </c>
      <c r="E1751" s="85">
        <v>428558</v>
      </c>
      <c r="F1751" s="86">
        <v>53462</v>
      </c>
      <c r="G1751" s="87">
        <v>12.474857999999999</v>
      </c>
    </row>
    <row r="1752" spans="1:7" x14ac:dyDescent="0.25">
      <c r="A1752" s="84" t="s">
        <v>1320</v>
      </c>
      <c r="B1752" s="84" t="s">
        <v>89</v>
      </c>
      <c r="C1752" s="84" t="s">
        <v>283</v>
      </c>
      <c r="D1752" s="85">
        <v>12072</v>
      </c>
      <c r="E1752" s="85">
        <v>282568</v>
      </c>
      <c r="F1752" s="86">
        <v>32014.1</v>
      </c>
      <c r="G1752" s="87">
        <v>11.329698</v>
      </c>
    </row>
    <row r="1753" spans="1:7" x14ac:dyDescent="0.25">
      <c r="A1753" s="84" t="s">
        <v>2446</v>
      </c>
      <c r="B1753" s="84" t="s">
        <v>89</v>
      </c>
      <c r="C1753" s="84" t="s">
        <v>283</v>
      </c>
      <c r="D1753" s="85">
        <v>2443</v>
      </c>
      <c r="E1753" s="85">
        <v>50727</v>
      </c>
      <c r="F1753" s="86">
        <v>5799</v>
      </c>
      <c r="G1753" s="87">
        <v>11.431782</v>
      </c>
    </row>
    <row r="1754" spans="1:7" x14ac:dyDescent="0.25">
      <c r="A1754" s="84" t="s">
        <v>1321</v>
      </c>
      <c r="B1754" s="84" t="s">
        <v>89</v>
      </c>
      <c r="C1754" s="84" t="s">
        <v>283</v>
      </c>
      <c r="D1754" s="85">
        <v>31957</v>
      </c>
      <c r="E1754" s="85">
        <v>925514</v>
      </c>
      <c r="F1754" s="86">
        <v>84151.8</v>
      </c>
      <c r="G1754" s="87">
        <v>9.0924393999999999</v>
      </c>
    </row>
    <row r="1755" spans="1:7" x14ac:dyDescent="0.25">
      <c r="A1755" s="84" t="s">
        <v>1322</v>
      </c>
      <c r="B1755" s="84" t="s">
        <v>89</v>
      </c>
      <c r="C1755" s="84" t="s">
        <v>283</v>
      </c>
      <c r="D1755" s="85">
        <v>11870</v>
      </c>
      <c r="E1755" s="85">
        <v>292153</v>
      </c>
      <c r="F1755" s="86">
        <v>30773</v>
      </c>
      <c r="G1755" s="87">
        <v>10.53318</v>
      </c>
    </row>
    <row r="1756" spans="1:7" x14ac:dyDescent="0.25">
      <c r="A1756" s="84" t="s">
        <v>1323</v>
      </c>
      <c r="B1756" s="84" t="s">
        <v>89</v>
      </c>
      <c r="C1756" s="84" t="s">
        <v>283</v>
      </c>
      <c r="D1756" s="85">
        <v>28220</v>
      </c>
      <c r="E1756" s="85">
        <v>719019</v>
      </c>
      <c r="F1756" s="86">
        <v>78260</v>
      </c>
      <c r="G1756" s="87">
        <v>10.884274</v>
      </c>
    </row>
    <row r="1757" spans="1:7" x14ac:dyDescent="0.25">
      <c r="A1757" s="84" t="s">
        <v>2447</v>
      </c>
      <c r="B1757" s="84" t="s">
        <v>89</v>
      </c>
      <c r="C1757" s="84" t="s">
        <v>283</v>
      </c>
      <c r="D1757" s="85">
        <v>1314</v>
      </c>
      <c r="E1757" s="85">
        <v>21372</v>
      </c>
      <c r="F1757" s="86">
        <v>4449</v>
      </c>
      <c r="G1757" s="87">
        <v>20.816956999999999</v>
      </c>
    </row>
    <row r="1758" spans="1:7" x14ac:dyDescent="0.25">
      <c r="A1758" s="84" t="s">
        <v>2448</v>
      </c>
      <c r="B1758" s="84" t="s">
        <v>89</v>
      </c>
      <c r="C1758" s="84" t="s">
        <v>283</v>
      </c>
      <c r="D1758" s="85">
        <v>2852</v>
      </c>
      <c r="E1758" s="85">
        <v>43057</v>
      </c>
      <c r="F1758" s="86">
        <v>5426</v>
      </c>
      <c r="G1758" s="87">
        <v>12.601900000000001</v>
      </c>
    </row>
    <row r="1759" spans="1:7" x14ac:dyDescent="0.25">
      <c r="A1759" s="84" t="s">
        <v>1324</v>
      </c>
      <c r="B1759" s="84" t="s">
        <v>89</v>
      </c>
      <c r="C1759" s="84" t="s">
        <v>283</v>
      </c>
      <c r="D1759" s="85">
        <v>5022</v>
      </c>
      <c r="E1759" s="85">
        <v>141140</v>
      </c>
      <c r="F1759" s="86">
        <v>13192</v>
      </c>
      <c r="G1759" s="87">
        <v>9.3467479000000004</v>
      </c>
    </row>
    <row r="1760" spans="1:7" x14ac:dyDescent="0.25">
      <c r="A1760" s="84" t="s">
        <v>1325</v>
      </c>
      <c r="B1760" s="84" t="s">
        <v>89</v>
      </c>
      <c r="C1760" s="84" t="s">
        <v>283</v>
      </c>
      <c r="D1760" s="85">
        <v>11536</v>
      </c>
      <c r="E1760" s="85">
        <v>445220</v>
      </c>
      <c r="F1760" s="86">
        <v>46761</v>
      </c>
      <c r="G1760" s="87">
        <v>10.502897000000001</v>
      </c>
    </row>
    <row r="1761" spans="1:7" x14ac:dyDescent="0.25">
      <c r="A1761" s="84" t="s">
        <v>1326</v>
      </c>
      <c r="B1761" s="84" t="s">
        <v>89</v>
      </c>
      <c r="C1761" s="84" t="s">
        <v>283</v>
      </c>
      <c r="D1761" s="85">
        <v>5552</v>
      </c>
      <c r="E1761" s="85">
        <v>132474</v>
      </c>
      <c r="F1761" s="86">
        <v>13371.2</v>
      </c>
      <c r="G1761" s="87">
        <v>10.093451999999999</v>
      </c>
    </row>
    <row r="1762" spans="1:7" x14ac:dyDescent="0.25">
      <c r="A1762" s="84" t="s">
        <v>1327</v>
      </c>
      <c r="B1762" s="84" t="s">
        <v>89</v>
      </c>
      <c r="C1762" s="84" t="s">
        <v>283</v>
      </c>
      <c r="D1762" s="85">
        <v>19026</v>
      </c>
      <c r="E1762" s="85">
        <v>397488</v>
      </c>
      <c r="F1762" s="86">
        <v>49035.3</v>
      </c>
      <c r="G1762" s="87">
        <v>12.336297</v>
      </c>
    </row>
    <row r="1763" spans="1:7" x14ac:dyDescent="0.25">
      <c r="A1763" s="84" t="s">
        <v>2449</v>
      </c>
      <c r="B1763" s="84" t="s">
        <v>89</v>
      </c>
      <c r="C1763" s="84" t="s">
        <v>283</v>
      </c>
      <c r="D1763" s="85">
        <v>3056</v>
      </c>
      <c r="E1763" s="85">
        <v>64929</v>
      </c>
      <c r="F1763" s="86">
        <v>6629</v>
      </c>
      <c r="G1763" s="87">
        <v>10.209614</v>
      </c>
    </row>
    <row r="1764" spans="1:7" x14ac:dyDescent="0.25">
      <c r="A1764" s="84" t="s">
        <v>1328</v>
      </c>
      <c r="B1764" s="84" t="s">
        <v>89</v>
      </c>
      <c r="C1764" s="84" t="s">
        <v>283</v>
      </c>
      <c r="D1764" s="85">
        <v>11384</v>
      </c>
      <c r="E1764" s="85">
        <v>265838</v>
      </c>
      <c r="F1764" s="86">
        <v>29304</v>
      </c>
      <c r="G1764" s="87">
        <v>11.023255000000001</v>
      </c>
    </row>
    <row r="1765" spans="1:7" x14ac:dyDescent="0.25">
      <c r="A1765" s="84" t="s">
        <v>1329</v>
      </c>
      <c r="B1765" s="84" t="s">
        <v>89</v>
      </c>
      <c r="C1765" s="84" t="s">
        <v>283</v>
      </c>
      <c r="D1765" s="85">
        <v>10996</v>
      </c>
      <c r="E1765" s="85">
        <v>703554</v>
      </c>
      <c r="F1765" s="86">
        <v>61035.6</v>
      </c>
      <c r="G1765" s="87">
        <v>8.6753256000000007</v>
      </c>
    </row>
    <row r="1766" spans="1:7" x14ac:dyDescent="0.25">
      <c r="A1766" s="84" t="s">
        <v>1330</v>
      </c>
      <c r="B1766" s="84" t="s">
        <v>89</v>
      </c>
      <c r="C1766" s="84" t="s">
        <v>283</v>
      </c>
      <c r="D1766" s="85">
        <v>8409</v>
      </c>
      <c r="E1766" s="85">
        <v>327457</v>
      </c>
      <c r="F1766" s="86">
        <v>30791.4</v>
      </c>
      <c r="G1766" s="87">
        <v>9.4031888000000006</v>
      </c>
    </row>
    <row r="1767" spans="1:7" x14ac:dyDescent="0.25">
      <c r="A1767" s="84" t="s">
        <v>1331</v>
      </c>
      <c r="B1767" s="84" t="s">
        <v>89</v>
      </c>
      <c r="C1767" s="84" t="s">
        <v>283</v>
      </c>
      <c r="D1767" s="85">
        <v>22783</v>
      </c>
      <c r="E1767" s="85">
        <v>453232</v>
      </c>
      <c r="F1767" s="86">
        <v>51168</v>
      </c>
      <c r="G1767" s="87">
        <v>11.289581999999999</v>
      </c>
    </row>
    <row r="1768" spans="1:7" x14ac:dyDescent="0.25">
      <c r="A1768" s="84" t="s">
        <v>1332</v>
      </c>
      <c r="B1768" s="84" t="s">
        <v>89</v>
      </c>
      <c r="C1768" s="84" t="s">
        <v>283</v>
      </c>
      <c r="D1768" s="85">
        <v>4740</v>
      </c>
      <c r="E1768" s="85">
        <v>148421</v>
      </c>
      <c r="F1768" s="86">
        <v>15081.8</v>
      </c>
      <c r="G1768" s="87">
        <v>10.1615</v>
      </c>
    </row>
    <row r="1769" spans="1:7" x14ac:dyDescent="0.25">
      <c r="A1769" s="84" t="s">
        <v>2450</v>
      </c>
      <c r="B1769" s="84" t="s">
        <v>89</v>
      </c>
      <c r="C1769" s="84" t="s">
        <v>283</v>
      </c>
      <c r="D1769" s="85">
        <v>982</v>
      </c>
      <c r="E1769" s="85">
        <v>20804</v>
      </c>
      <c r="F1769" s="86">
        <v>2301</v>
      </c>
      <c r="G1769" s="87">
        <v>11.060373</v>
      </c>
    </row>
    <row r="1770" spans="1:7" x14ac:dyDescent="0.25">
      <c r="A1770" s="84" t="s">
        <v>1333</v>
      </c>
      <c r="B1770" s="84" t="s">
        <v>89</v>
      </c>
      <c r="C1770" s="84" t="s">
        <v>283</v>
      </c>
      <c r="D1770" s="85">
        <v>28331</v>
      </c>
      <c r="E1770" s="85">
        <v>699987</v>
      </c>
      <c r="F1770" s="86">
        <v>75408</v>
      </c>
      <c r="G1770" s="87">
        <v>10.772771000000001</v>
      </c>
    </row>
    <row r="1771" spans="1:7" x14ac:dyDescent="0.25">
      <c r="A1771" s="84" t="s">
        <v>1334</v>
      </c>
      <c r="B1771" s="84" t="s">
        <v>89</v>
      </c>
      <c r="C1771" s="84" t="s">
        <v>283</v>
      </c>
      <c r="D1771" s="85">
        <v>8340</v>
      </c>
      <c r="E1771" s="85">
        <v>190671</v>
      </c>
      <c r="F1771" s="86">
        <v>20078</v>
      </c>
      <c r="G1771" s="87">
        <v>10.53018</v>
      </c>
    </row>
    <row r="1772" spans="1:7" x14ac:dyDescent="0.25">
      <c r="A1772" s="84" t="s">
        <v>2451</v>
      </c>
      <c r="B1772" s="84" t="s">
        <v>89</v>
      </c>
      <c r="C1772" s="84" t="s">
        <v>283</v>
      </c>
      <c r="D1772" s="85">
        <v>3073</v>
      </c>
      <c r="E1772" s="85">
        <v>56550</v>
      </c>
      <c r="F1772" s="86">
        <v>6166.1</v>
      </c>
      <c r="G1772" s="87">
        <v>10.903802000000001</v>
      </c>
    </row>
    <row r="1773" spans="1:7" x14ac:dyDescent="0.25">
      <c r="A1773" s="84" t="s">
        <v>1335</v>
      </c>
      <c r="B1773" s="84" t="s">
        <v>89</v>
      </c>
      <c r="C1773" s="84" t="s">
        <v>283</v>
      </c>
      <c r="D1773" s="85">
        <v>13738</v>
      </c>
      <c r="E1773" s="85">
        <v>466672</v>
      </c>
      <c r="F1773" s="86">
        <v>45468.3</v>
      </c>
      <c r="G1773" s="87">
        <v>9.7430958000000008</v>
      </c>
    </row>
    <row r="1774" spans="1:7" x14ac:dyDescent="0.25">
      <c r="A1774" s="84" t="s">
        <v>1336</v>
      </c>
      <c r="B1774" s="84" t="s">
        <v>89</v>
      </c>
      <c r="C1774" s="84" t="s">
        <v>283</v>
      </c>
      <c r="D1774" s="85">
        <v>13838</v>
      </c>
      <c r="E1774" s="85">
        <v>270695</v>
      </c>
      <c r="F1774" s="86">
        <v>34156</v>
      </c>
      <c r="G1774" s="87">
        <v>12.617891</v>
      </c>
    </row>
    <row r="1775" spans="1:7" x14ac:dyDescent="0.25">
      <c r="A1775" s="84" t="s">
        <v>1337</v>
      </c>
      <c r="B1775" s="84" t="s">
        <v>89</v>
      </c>
      <c r="C1775" s="84" t="s">
        <v>283</v>
      </c>
      <c r="D1775" s="85">
        <v>34908</v>
      </c>
      <c r="E1775" s="85">
        <v>1243394</v>
      </c>
      <c r="F1775" s="86">
        <v>121934.39999999999</v>
      </c>
      <c r="G1775" s="87">
        <v>9.8065777999999995</v>
      </c>
    </row>
    <row r="1776" spans="1:7" x14ac:dyDescent="0.25">
      <c r="A1776" s="84" t="s">
        <v>2452</v>
      </c>
      <c r="B1776" s="84" t="s">
        <v>89</v>
      </c>
      <c r="C1776" s="84" t="s">
        <v>283</v>
      </c>
      <c r="D1776" s="85">
        <v>3100</v>
      </c>
      <c r="E1776" s="85">
        <v>50993</v>
      </c>
      <c r="F1776" s="86">
        <v>6394</v>
      </c>
      <c r="G1776" s="87">
        <v>12.538976</v>
      </c>
    </row>
    <row r="1777" spans="1:7" x14ac:dyDescent="0.25">
      <c r="A1777" s="84" t="s">
        <v>1338</v>
      </c>
      <c r="B1777" s="84" t="s">
        <v>89</v>
      </c>
      <c r="C1777" s="84" t="s">
        <v>278</v>
      </c>
      <c r="D1777" s="85">
        <v>2047365</v>
      </c>
      <c r="E1777" s="85">
        <v>58505595</v>
      </c>
      <c r="F1777" s="86">
        <v>4866784.8</v>
      </c>
      <c r="G1777" s="87">
        <v>8.3184947000000005</v>
      </c>
    </row>
    <row r="1778" spans="1:7" x14ac:dyDescent="0.25">
      <c r="A1778" s="84" t="s">
        <v>1339</v>
      </c>
      <c r="B1778" s="84" t="s">
        <v>89</v>
      </c>
      <c r="C1778" s="84" t="s">
        <v>278</v>
      </c>
      <c r="D1778" s="85">
        <v>1431264</v>
      </c>
      <c r="E1778" s="85">
        <v>37893975</v>
      </c>
      <c r="F1778" s="86">
        <v>3716933.9</v>
      </c>
      <c r="G1778" s="87">
        <v>9.8087727999999998</v>
      </c>
    </row>
    <row r="1779" spans="1:7" x14ac:dyDescent="0.25">
      <c r="A1779" s="84" t="s">
        <v>1340</v>
      </c>
      <c r="B1779" s="84" t="s">
        <v>89</v>
      </c>
      <c r="C1779" s="84" t="s">
        <v>281</v>
      </c>
      <c r="D1779" s="85">
        <v>12065</v>
      </c>
      <c r="E1779" s="85">
        <v>228710</v>
      </c>
      <c r="F1779" s="86">
        <v>28415</v>
      </c>
      <c r="G1779" s="87">
        <v>12.42403</v>
      </c>
    </row>
    <row r="1780" spans="1:7" x14ac:dyDescent="0.25">
      <c r="A1780" s="84" t="s">
        <v>1341</v>
      </c>
      <c r="B1780" s="84" t="s">
        <v>89</v>
      </c>
      <c r="C1780" s="84" t="s">
        <v>281</v>
      </c>
      <c r="D1780" s="85">
        <v>130295</v>
      </c>
      <c r="E1780" s="85">
        <v>2685780</v>
      </c>
      <c r="F1780" s="86">
        <v>269489</v>
      </c>
      <c r="G1780" s="87">
        <v>10.033918999999999</v>
      </c>
    </row>
    <row r="1781" spans="1:7" x14ac:dyDescent="0.25">
      <c r="A1781" s="84" t="s">
        <v>1342</v>
      </c>
      <c r="B1781" s="84" t="s">
        <v>89</v>
      </c>
      <c r="C1781" s="84" t="s">
        <v>283</v>
      </c>
      <c r="D1781" s="85">
        <v>85342</v>
      </c>
      <c r="E1781" s="85">
        <v>2020855</v>
      </c>
      <c r="F1781" s="86">
        <v>219086</v>
      </c>
      <c r="G1781" s="87">
        <v>10.841253</v>
      </c>
    </row>
    <row r="1782" spans="1:7" x14ac:dyDescent="0.25">
      <c r="A1782" s="84" t="s">
        <v>1343</v>
      </c>
      <c r="B1782" s="84" t="s">
        <v>89</v>
      </c>
      <c r="C1782" s="84" t="s">
        <v>281</v>
      </c>
      <c r="D1782" s="85">
        <v>32455</v>
      </c>
      <c r="E1782" s="85">
        <v>968919</v>
      </c>
      <c r="F1782" s="86">
        <v>93367</v>
      </c>
      <c r="G1782" s="87">
        <v>9.6362027999999995</v>
      </c>
    </row>
    <row r="1783" spans="1:7" x14ac:dyDescent="0.25">
      <c r="A1783" s="84" t="s">
        <v>1344</v>
      </c>
      <c r="B1783" s="84" t="s">
        <v>89</v>
      </c>
      <c r="C1783" s="84" t="s">
        <v>281</v>
      </c>
      <c r="D1783" s="85">
        <v>37509</v>
      </c>
      <c r="E1783" s="85">
        <v>513322</v>
      </c>
      <c r="F1783" s="86">
        <v>60100.5</v>
      </c>
      <c r="G1783" s="87">
        <v>11.708148</v>
      </c>
    </row>
    <row r="1784" spans="1:7" x14ac:dyDescent="0.25">
      <c r="A1784" s="84" t="s">
        <v>1345</v>
      </c>
      <c r="B1784" s="84" t="s">
        <v>89</v>
      </c>
      <c r="C1784" s="84" t="s">
        <v>283</v>
      </c>
      <c r="D1784" s="85">
        <v>68815</v>
      </c>
      <c r="E1784" s="85">
        <v>1776178</v>
      </c>
      <c r="F1784" s="86">
        <v>173618.8</v>
      </c>
      <c r="G1784" s="87">
        <v>9.7748536000000001</v>
      </c>
    </row>
    <row r="1785" spans="1:7" x14ac:dyDescent="0.25">
      <c r="A1785" s="84" t="s">
        <v>1346</v>
      </c>
      <c r="B1785" s="84" t="s">
        <v>89</v>
      </c>
      <c r="C1785" s="84" t="s">
        <v>281</v>
      </c>
      <c r="D1785" s="85">
        <v>11763</v>
      </c>
      <c r="E1785" s="85">
        <v>159729</v>
      </c>
      <c r="F1785" s="86">
        <v>23269</v>
      </c>
      <c r="G1785" s="87">
        <v>14.567799000000001</v>
      </c>
    </row>
    <row r="1786" spans="1:7" x14ac:dyDescent="0.25">
      <c r="A1786" s="84" t="s">
        <v>622</v>
      </c>
      <c r="B1786" s="84" t="s">
        <v>89</v>
      </c>
      <c r="C1786" s="84" t="s">
        <v>281</v>
      </c>
      <c r="D1786" s="85">
        <v>27124</v>
      </c>
      <c r="E1786" s="85">
        <v>291977</v>
      </c>
      <c r="F1786" s="86">
        <v>42113</v>
      </c>
      <c r="G1786" s="87">
        <v>14.423396</v>
      </c>
    </row>
    <row r="1787" spans="1:7" x14ac:dyDescent="0.25">
      <c r="A1787" s="84" t="s">
        <v>1347</v>
      </c>
      <c r="B1787" s="84" t="s">
        <v>89</v>
      </c>
      <c r="C1787" s="84" t="s">
        <v>281</v>
      </c>
      <c r="D1787" s="85">
        <v>76544</v>
      </c>
      <c r="E1787" s="85">
        <v>1226419</v>
      </c>
      <c r="F1787" s="86">
        <v>138630.6</v>
      </c>
      <c r="G1787" s="87">
        <v>11.30369</v>
      </c>
    </row>
    <row r="1788" spans="1:7" x14ac:dyDescent="0.25">
      <c r="A1788" s="84" t="s">
        <v>1348</v>
      </c>
      <c r="B1788" s="84" t="s">
        <v>89</v>
      </c>
      <c r="C1788" s="84" t="s">
        <v>281</v>
      </c>
      <c r="D1788" s="85">
        <v>62240</v>
      </c>
      <c r="E1788" s="85">
        <v>1316720</v>
      </c>
      <c r="F1788" s="86">
        <v>140950.9</v>
      </c>
      <c r="G1788" s="87">
        <v>10.704698</v>
      </c>
    </row>
    <row r="1789" spans="1:7" x14ac:dyDescent="0.25">
      <c r="A1789" s="84" t="s">
        <v>1349</v>
      </c>
      <c r="B1789" s="84" t="s">
        <v>89</v>
      </c>
      <c r="C1789" s="84" t="s">
        <v>281</v>
      </c>
      <c r="D1789" s="85">
        <v>133</v>
      </c>
      <c r="E1789" s="85">
        <v>1770</v>
      </c>
      <c r="F1789" s="86">
        <v>238.3</v>
      </c>
      <c r="G1789" s="87">
        <v>13.463277</v>
      </c>
    </row>
    <row r="1790" spans="1:7" x14ac:dyDescent="0.25">
      <c r="A1790" s="84" t="s">
        <v>1350</v>
      </c>
      <c r="B1790" s="84" t="s">
        <v>89</v>
      </c>
      <c r="C1790" s="84" t="s">
        <v>281</v>
      </c>
      <c r="D1790" s="85">
        <v>18995</v>
      </c>
      <c r="E1790" s="85">
        <v>260679</v>
      </c>
      <c r="F1790" s="86">
        <v>29667</v>
      </c>
      <c r="G1790" s="87">
        <v>11.380663999999999</v>
      </c>
    </row>
    <row r="1791" spans="1:7" x14ac:dyDescent="0.25">
      <c r="A1791" s="84" t="s">
        <v>1351</v>
      </c>
      <c r="B1791" s="84" t="s">
        <v>89</v>
      </c>
      <c r="C1791" s="84" t="s">
        <v>174</v>
      </c>
      <c r="D1791" s="85">
        <v>8356</v>
      </c>
      <c r="E1791" s="85">
        <v>208448</v>
      </c>
      <c r="F1791" s="86">
        <v>18802.2</v>
      </c>
      <c r="G1791" s="87">
        <v>9.0200913000000007</v>
      </c>
    </row>
    <row r="1792" spans="1:7" x14ac:dyDescent="0.25">
      <c r="A1792" s="84" t="s">
        <v>1352</v>
      </c>
      <c r="B1792" s="84" t="s">
        <v>89</v>
      </c>
      <c r="C1792" s="84" t="s">
        <v>281</v>
      </c>
      <c r="D1792" s="85">
        <v>21110</v>
      </c>
      <c r="E1792" s="85">
        <v>389641</v>
      </c>
      <c r="F1792" s="86">
        <v>45379.4</v>
      </c>
      <c r="G1792" s="87">
        <v>11.646464</v>
      </c>
    </row>
    <row r="1793" spans="1:7" x14ac:dyDescent="0.25">
      <c r="A1793" s="84" t="s">
        <v>1353</v>
      </c>
      <c r="B1793" s="84" t="s">
        <v>89</v>
      </c>
      <c r="C1793" s="84" t="s">
        <v>281</v>
      </c>
      <c r="D1793" s="85">
        <v>32534</v>
      </c>
      <c r="E1793" s="85">
        <v>488011</v>
      </c>
      <c r="F1793" s="86">
        <v>62377</v>
      </c>
      <c r="G1793" s="87">
        <v>12.781884</v>
      </c>
    </row>
    <row r="1794" spans="1:7" x14ac:dyDescent="0.25">
      <c r="A1794" s="84" t="s">
        <v>1354</v>
      </c>
      <c r="B1794" s="84" t="s">
        <v>89</v>
      </c>
      <c r="C1794" s="84" t="s">
        <v>281</v>
      </c>
      <c r="D1794" s="85">
        <v>8829</v>
      </c>
      <c r="E1794" s="85">
        <v>188621</v>
      </c>
      <c r="F1794" s="86">
        <v>22309.200000000001</v>
      </c>
      <c r="G1794" s="87">
        <v>11.827527</v>
      </c>
    </row>
    <row r="1795" spans="1:7" x14ac:dyDescent="0.25">
      <c r="A1795" s="84" t="s">
        <v>1355</v>
      </c>
      <c r="B1795" s="84" t="s">
        <v>89</v>
      </c>
      <c r="C1795" s="84" t="s">
        <v>281</v>
      </c>
      <c r="D1795" s="85">
        <v>32223</v>
      </c>
      <c r="E1795" s="85">
        <v>516382</v>
      </c>
      <c r="F1795" s="86">
        <v>66394.7</v>
      </c>
      <c r="G1795" s="87">
        <v>12.857671</v>
      </c>
    </row>
    <row r="1796" spans="1:7" x14ac:dyDescent="0.25">
      <c r="A1796" s="84" t="s">
        <v>1356</v>
      </c>
      <c r="B1796" s="84" t="s">
        <v>89</v>
      </c>
      <c r="C1796" s="84" t="s">
        <v>281</v>
      </c>
      <c r="D1796" s="85">
        <v>14187</v>
      </c>
      <c r="E1796" s="85">
        <v>272893</v>
      </c>
      <c r="F1796" s="86">
        <v>39659</v>
      </c>
      <c r="G1796" s="87">
        <v>14.532802</v>
      </c>
    </row>
    <row r="1797" spans="1:7" x14ac:dyDescent="0.25">
      <c r="A1797" s="84" t="s">
        <v>1357</v>
      </c>
      <c r="B1797" s="84" t="s">
        <v>89</v>
      </c>
      <c r="C1797" s="84" t="s">
        <v>281</v>
      </c>
      <c r="D1797" s="85">
        <v>70835</v>
      </c>
      <c r="E1797" s="85">
        <v>1301651</v>
      </c>
      <c r="F1797" s="86">
        <v>133050</v>
      </c>
      <c r="G1797" s="87">
        <v>10.221634</v>
      </c>
    </row>
    <row r="1798" spans="1:7" x14ac:dyDescent="0.25">
      <c r="A1798" s="84" t="s">
        <v>1358</v>
      </c>
      <c r="B1798" s="84" t="s">
        <v>89</v>
      </c>
      <c r="C1798" s="84" t="s">
        <v>281</v>
      </c>
      <c r="D1798" s="85">
        <v>45132</v>
      </c>
      <c r="E1798" s="85">
        <v>818322</v>
      </c>
      <c r="F1798" s="86">
        <v>98643.6</v>
      </c>
      <c r="G1798" s="87">
        <v>12.054375</v>
      </c>
    </row>
    <row r="1799" spans="1:7" x14ac:dyDescent="0.25">
      <c r="A1799" s="84" t="s">
        <v>1359</v>
      </c>
      <c r="B1799" s="84" t="s">
        <v>89</v>
      </c>
      <c r="C1799" s="84" t="s">
        <v>281</v>
      </c>
      <c r="D1799" s="85">
        <v>27055</v>
      </c>
      <c r="E1799" s="85">
        <v>366587</v>
      </c>
      <c r="F1799" s="86">
        <v>54385.5</v>
      </c>
      <c r="G1799" s="87">
        <v>14.835632</v>
      </c>
    </row>
    <row r="1800" spans="1:7" x14ac:dyDescent="0.25">
      <c r="A1800" s="84" t="s">
        <v>350</v>
      </c>
      <c r="B1800" s="84" t="s">
        <v>89</v>
      </c>
      <c r="C1800" s="84" t="s">
        <v>351</v>
      </c>
      <c r="D1800" s="85">
        <v>2</v>
      </c>
      <c r="E1800" s="85">
        <v>4355</v>
      </c>
      <c r="F1800" s="86">
        <v>424.6</v>
      </c>
      <c r="G1800" s="87">
        <v>9.7497129999999999</v>
      </c>
    </row>
    <row r="1801" spans="1:7" x14ac:dyDescent="0.25">
      <c r="A1801" s="84" t="s">
        <v>1360</v>
      </c>
      <c r="B1801" s="84" t="s">
        <v>89</v>
      </c>
      <c r="C1801" s="84" t="s">
        <v>281</v>
      </c>
      <c r="D1801" s="85">
        <v>22931</v>
      </c>
      <c r="E1801" s="85">
        <v>345933</v>
      </c>
      <c r="F1801" s="86">
        <v>47251</v>
      </c>
      <c r="G1801" s="87">
        <v>13.659003</v>
      </c>
    </row>
    <row r="1802" spans="1:7" x14ac:dyDescent="0.25">
      <c r="A1802" s="84" t="s">
        <v>1361</v>
      </c>
      <c r="B1802" s="84" t="s">
        <v>89</v>
      </c>
      <c r="C1802" s="84" t="s">
        <v>283</v>
      </c>
      <c r="D1802" s="85">
        <v>22183</v>
      </c>
      <c r="E1802" s="85">
        <v>341460</v>
      </c>
      <c r="F1802" s="86">
        <v>33264.1</v>
      </c>
      <c r="G1802" s="87">
        <v>9.7417266999999992</v>
      </c>
    </row>
    <row r="1803" spans="1:7" x14ac:dyDescent="0.25">
      <c r="A1803" s="84" t="s">
        <v>1362</v>
      </c>
      <c r="B1803" s="84" t="s">
        <v>89</v>
      </c>
      <c r="C1803" s="84" t="s">
        <v>283</v>
      </c>
      <c r="D1803" s="85">
        <v>4115</v>
      </c>
      <c r="E1803" s="85">
        <v>106705</v>
      </c>
      <c r="F1803" s="86">
        <v>11617</v>
      </c>
      <c r="G1803" s="87">
        <v>10.887025</v>
      </c>
    </row>
    <row r="1804" spans="1:7" x14ac:dyDescent="0.25">
      <c r="A1804" s="84" t="s">
        <v>2453</v>
      </c>
      <c r="B1804" s="84" t="s">
        <v>89</v>
      </c>
      <c r="C1804" s="84" t="s">
        <v>283</v>
      </c>
      <c r="D1804" s="85">
        <v>1108</v>
      </c>
      <c r="E1804" s="85">
        <v>15236</v>
      </c>
      <c r="F1804" s="86">
        <v>2222.1</v>
      </c>
      <c r="G1804" s="87">
        <v>14.584536999999999</v>
      </c>
    </row>
    <row r="1805" spans="1:7" x14ac:dyDescent="0.25">
      <c r="A1805" s="84" t="s">
        <v>2454</v>
      </c>
      <c r="B1805" s="84" t="s">
        <v>89</v>
      </c>
      <c r="C1805" s="84" t="s">
        <v>283</v>
      </c>
      <c r="D1805" s="85">
        <v>1997</v>
      </c>
      <c r="E1805" s="85">
        <v>37536</v>
      </c>
      <c r="F1805" s="86">
        <v>4817.8999999999996</v>
      </c>
      <c r="G1805" s="87">
        <v>12.835411000000001</v>
      </c>
    </row>
    <row r="1806" spans="1:7" x14ac:dyDescent="0.25">
      <c r="A1806" s="84" t="s">
        <v>2455</v>
      </c>
      <c r="B1806" s="84" t="s">
        <v>89</v>
      </c>
      <c r="C1806" s="84" t="s">
        <v>283</v>
      </c>
      <c r="D1806" s="85">
        <v>762</v>
      </c>
      <c r="E1806" s="85">
        <v>11366</v>
      </c>
      <c r="F1806" s="86">
        <v>1462</v>
      </c>
      <c r="G1806" s="87">
        <v>12.862925000000001</v>
      </c>
    </row>
    <row r="1807" spans="1:7" x14ac:dyDescent="0.25">
      <c r="A1807" s="84" t="s">
        <v>2456</v>
      </c>
      <c r="B1807" s="84" t="s">
        <v>89</v>
      </c>
      <c r="C1807" s="84" t="s">
        <v>283</v>
      </c>
      <c r="D1807" s="85">
        <v>200</v>
      </c>
      <c r="E1807" s="85">
        <v>3245</v>
      </c>
      <c r="F1807" s="86">
        <v>393.8</v>
      </c>
      <c r="G1807" s="87">
        <v>12.135593</v>
      </c>
    </row>
    <row r="1808" spans="1:7" x14ac:dyDescent="0.25">
      <c r="A1808" s="84" t="s">
        <v>529</v>
      </c>
      <c r="B1808" s="84" t="s">
        <v>89</v>
      </c>
      <c r="C1808" s="84" t="s">
        <v>283</v>
      </c>
      <c r="D1808" s="85">
        <v>7064</v>
      </c>
      <c r="E1808" s="85">
        <v>113393</v>
      </c>
      <c r="F1808" s="86">
        <v>15003</v>
      </c>
      <c r="G1808" s="87">
        <v>13.230975000000001</v>
      </c>
    </row>
    <row r="1809" spans="1:7" x14ac:dyDescent="0.25">
      <c r="A1809" s="84" t="s">
        <v>2457</v>
      </c>
      <c r="B1809" s="84" t="s">
        <v>89</v>
      </c>
      <c r="C1809" s="84" t="s">
        <v>283</v>
      </c>
      <c r="D1809" s="85">
        <v>3949</v>
      </c>
      <c r="E1809" s="85">
        <v>57391</v>
      </c>
      <c r="F1809" s="86">
        <v>6120.7</v>
      </c>
      <c r="G1809" s="87">
        <v>10.664913</v>
      </c>
    </row>
    <row r="1810" spans="1:7" x14ac:dyDescent="0.25">
      <c r="A1810" s="84" t="s">
        <v>2458</v>
      </c>
      <c r="B1810" s="84" t="s">
        <v>89</v>
      </c>
      <c r="C1810" s="84" t="s">
        <v>283</v>
      </c>
      <c r="D1810" s="85">
        <v>3703</v>
      </c>
      <c r="E1810" s="85">
        <v>69508</v>
      </c>
      <c r="F1810" s="86">
        <v>6973</v>
      </c>
      <c r="G1810" s="87">
        <v>10.031938999999999</v>
      </c>
    </row>
    <row r="1811" spans="1:7" x14ac:dyDescent="0.25">
      <c r="A1811" s="84" t="s">
        <v>2459</v>
      </c>
      <c r="B1811" s="84" t="s">
        <v>89</v>
      </c>
      <c r="C1811" s="84" t="s">
        <v>283</v>
      </c>
      <c r="D1811" s="85">
        <v>1226</v>
      </c>
      <c r="E1811" s="85">
        <v>18239</v>
      </c>
      <c r="F1811" s="86">
        <v>2352</v>
      </c>
      <c r="G1811" s="87">
        <v>12.895443999999999</v>
      </c>
    </row>
    <row r="1812" spans="1:7" x14ac:dyDescent="0.25">
      <c r="A1812" s="84" t="s">
        <v>1363</v>
      </c>
      <c r="B1812" s="84" t="s">
        <v>89</v>
      </c>
      <c r="C1812" s="84" t="s">
        <v>283</v>
      </c>
      <c r="D1812" s="85">
        <v>4147</v>
      </c>
      <c r="E1812" s="85">
        <v>98482</v>
      </c>
      <c r="F1812" s="86">
        <v>11218</v>
      </c>
      <c r="G1812" s="87">
        <v>11.390914</v>
      </c>
    </row>
    <row r="1813" spans="1:7" x14ac:dyDescent="0.25">
      <c r="A1813" s="84" t="s">
        <v>2460</v>
      </c>
      <c r="B1813" s="84" t="s">
        <v>89</v>
      </c>
      <c r="C1813" s="84" t="s">
        <v>283</v>
      </c>
      <c r="D1813" s="85">
        <v>1273</v>
      </c>
      <c r="E1813" s="85">
        <v>18750</v>
      </c>
      <c r="F1813" s="86">
        <v>2477</v>
      </c>
      <c r="G1813" s="87">
        <v>13.210667000000001</v>
      </c>
    </row>
    <row r="1814" spans="1:7" x14ac:dyDescent="0.25">
      <c r="A1814" s="84" t="s">
        <v>2461</v>
      </c>
      <c r="B1814" s="84" t="s">
        <v>89</v>
      </c>
      <c r="C1814" s="84" t="s">
        <v>283</v>
      </c>
      <c r="D1814" s="85">
        <v>2855</v>
      </c>
      <c r="E1814" s="85">
        <v>47650</v>
      </c>
      <c r="F1814" s="86">
        <v>6069</v>
      </c>
      <c r="G1814" s="87">
        <v>12.736621</v>
      </c>
    </row>
    <row r="1815" spans="1:7" x14ac:dyDescent="0.25">
      <c r="A1815" s="84" t="s">
        <v>1364</v>
      </c>
      <c r="B1815" s="84" t="s">
        <v>89</v>
      </c>
      <c r="C1815" s="84" t="s">
        <v>283</v>
      </c>
      <c r="D1815" s="85">
        <v>4127</v>
      </c>
      <c r="E1815" s="85">
        <v>99189</v>
      </c>
      <c r="F1815" s="86">
        <v>11731</v>
      </c>
      <c r="G1815" s="87">
        <v>11.826916000000001</v>
      </c>
    </row>
    <row r="1816" spans="1:7" x14ac:dyDescent="0.25">
      <c r="A1816" s="84" t="s">
        <v>2462</v>
      </c>
      <c r="B1816" s="84" t="s">
        <v>89</v>
      </c>
      <c r="C1816" s="84" t="s">
        <v>283</v>
      </c>
      <c r="D1816" s="85">
        <v>302</v>
      </c>
      <c r="E1816" s="85">
        <v>4214</v>
      </c>
      <c r="F1816" s="86">
        <v>604</v>
      </c>
      <c r="G1816" s="87">
        <v>14.333175000000001</v>
      </c>
    </row>
    <row r="1817" spans="1:7" x14ac:dyDescent="0.25">
      <c r="A1817" s="84" t="s">
        <v>2463</v>
      </c>
      <c r="B1817" s="84" t="s">
        <v>89</v>
      </c>
      <c r="C1817" s="84" t="s">
        <v>283</v>
      </c>
      <c r="D1817" s="85">
        <v>743</v>
      </c>
      <c r="E1817" s="85">
        <v>11928</v>
      </c>
      <c r="F1817" s="86">
        <v>1562</v>
      </c>
      <c r="G1817" s="87">
        <v>13.095238</v>
      </c>
    </row>
    <row r="1818" spans="1:7" x14ac:dyDescent="0.25">
      <c r="A1818" s="84" t="s">
        <v>2464</v>
      </c>
      <c r="B1818" s="84" t="s">
        <v>89</v>
      </c>
      <c r="C1818" s="84" t="s">
        <v>283</v>
      </c>
      <c r="D1818" s="85">
        <v>2539</v>
      </c>
      <c r="E1818" s="85">
        <v>57526</v>
      </c>
      <c r="F1818" s="86">
        <v>6378.6</v>
      </c>
      <c r="G1818" s="87">
        <v>11.088203999999999</v>
      </c>
    </row>
    <row r="1819" spans="1:7" x14ac:dyDescent="0.25">
      <c r="A1819" s="84" t="s">
        <v>2465</v>
      </c>
      <c r="B1819" s="84" t="s">
        <v>89</v>
      </c>
      <c r="C1819" s="84" t="s">
        <v>283</v>
      </c>
      <c r="D1819" s="85">
        <v>261</v>
      </c>
      <c r="E1819" s="85">
        <v>2622</v>
      </c>
      <c r="F1819" s="86">
        <v>353</v>
      </c>
      <c r="G1819" s="87">
        <v>13.463005000000001</v>
      </c>
    </row>
    <row r="1820" spans="1:7" x14ac:dyDescent="0.25">
      <c r="A1820" s="84" t="s">
        <v>1365</v>
      </c>
      <c r="B1820" s="84" t="s">
        <v>89</v>
      </c>
      <c r="C1820" s="84" t="s">
        <v>283</v>
      </c>
      <c r="D1820" s="85">
        <v>43251</v>
      </c>
      <c r="E1820" s="85">
        <v>1165307</v>
      </c>
      <c r="F1820" s="86">
        <v>125837</v>
      </c>
      <c r="G1820" s="87">
        <v>10.798614000000001</v>
      </c>
    </row>
    <row r="1821" spans="1:7" x14ac:dyDescent="0.25">
      <c r="A1821" s="84" t="s">
        <v>2466</v>
      </c>
      <c r="B1821" s="84" t="s">
        <v>89</v>
      </c>
      <c r="C1821" s="84" t="s">
        <v>283</v>
      </c>
      <c r="D1821" s="85">
        <v>263</v>
      </c>
      <c r="E1821" s="85">
        <v>2720</v>
      </c>
      <c r="F1821" s="86">
        <v>437.7</v>
      </c>
      <c r="G1821" s="87">
        <v>16.091912000000001</v>
      </c>
    </row>
    <row r="1822" spans="1:7" x14ac:dyDescent="0.25">
      <c r="A1822" s="84" t="s">
        <v>2467</v>
      </c>
      <c r="B1822" s="84" t="s">
        <v>89</v>
      </c>
      <c r="C1822" s="84" t="s">
        <v>283</v>
      </c>
      <c r="D1822" s="85">
        <v>423</v>
      </c>
      <c r="E1822" s="85">
        <v>5554</v>
      </c>
      <c r="F1822" s="86">
        <v>762</v>
      </c>
      <c r="G1822" s="87">
        <v>13.719842</v>
      </c>
    </row>
    <row r="1823" spans="1:7" x14ac:dyDescent="0.25">
      <c r="A1823" s="84" t="s">
        <v>1366</v>
      </c>
      <c r="B1823" s="84" t="s">
        <v>89</v>
      </c>
      <c r="C1823" s="84" t="s">
        <v>283</v>
      </c>
      <c r="D1823" s="85">
        <v>6664</v>
      </c>
      <c r="E1823" s="85">
        <v>246830</v>
      </c>
      <c r="F1823" s="86">
        <v>20240.3</v>
      </c>
      <c r="G1823" s="87">
        <v>8.2000972000000001</v>
      </c>
    </row>
    <row r="1824" spans="1:7" x14ac:dyDescent="0.25">
      <c r="A1824" s="84" t="s">
        <v>2468</v>
      </c>
      <c r="B1824" s="84" t="s">
        <v>89</v>
      </c>
      <c r="C1824" s="84" t="s">
        <v>283</v>
      </c>
      <c r="D1824" s="85">
        <v>1717</v>
      </c>
      <c r="E1824" s="85">
        <v>25625</v>
      </c>
      <c r="F1824" s="86">
        <v>3279.2</v>
      </c>
      <c r="G1824" s="87">
        <v>12.796878</v>
      </c>
    </row>
    <row r="1825" spans="1:7" x14ac:dyDescent="0.25">
      <c r="A1825" s="84" t="s">
        <v>2469</v>
      </c>
      <c r="B1825" s="84" t="s">
        <v>89</v>
      </c>
      <c r="C1825" s="84" t="s">
        <v>283</v>
      </c>
      <c r="D1825" s="85">
        <v>3030</v>
      </c>
      <c r="E1825" s="85">
        <v>46422</v>
      </c>
      <c r="F1825" s="86">
        <v>6118</v>
      </c>
      <c r="G1825" s="87">
        <v>13.179095999999999</v>
      </c>
    </row>
    <row r="1826" spans="1:7" x14ac:dyDescent="0.25">
      <c r="A1826" s="84" t="s">
        <v>2470</v>
      </c>
      <c r="B1826" s="84" t="s">
        <v>89</v>
      </c>
      <c r="C1826" s="84" t="s">
        <v>283</v>
      </c>
      <c r="D1826" s="85">
        <v>1978</v>
      </c>
      <c r="E1826" s="85">
        <v>53436</v>
      </c>
      <c r="F1826" s="86">
        <v>6888.6</v>
      </c>
      <c r="G1826" s="87">
        <v>12.891309</v>
      </c>
    </row>
    <row r="1827" spans="1:7" x14ac:dyDescent="0.25">
      <c r="A1827" s="84" t="s">
        <v>2471</v>
      </c>
      <c r="B1827" s="84" t="s">
        <v>89</v>
      </c>
      <c r="C1827" s="84" t="s">
        <v>283</v>
      </c>
      <c r="D1827" s="85">
        <v>1153</v>
      </c>
      <c r="E1827" s="85">
        <v>17038</v>
      </c>
      <c r="F1827" s="86">
        <v>2121</v>
      </c>
      <c r="G1827" s="87">
        <v>12.448644</v>
      </c>
    </row>
    <row r="1828" spans="1:7" x14ac:dyDescent="0.25">
      <c r="A1828" s="84" t="s">
        <v>2472</v>
      </c>
      <c r="B1828" s="84" t="s">
        <v>89</v>
      </c>
      <c r="C1828" s="84" t="s">
        <v>283</v>
      </c>
      <c r="D1828" s="85">
        <v>263</v>
      </c>
      <c r="E1828" s="85">
        <v>2862</v>
      </c>
      <c r="F1828" s="86">
        <v>449</v>
      </c>
      <c r="G1828" s="87">
        <v>15.688330000000001</v>
      </c>
    </row>
    <row r="1829" spans="1:7" x14ac:dyDescent="0.25">
      <c r="A1829" s="84" t="s">
        <v>2473</v>
      </c>
      <c r="B1829" s="84" t="s">
        <v>89</v>
      </c>
      <c r="C1829" s="84" t="s">
        <v>283</v>
      </c>
      <c r="D1829" s="85">
        <v>1182</v>
      </c>
      <c r="E1829" s="85">
        <v>80099</v>
      </c>
      <c r="F1829" s="86">
        <v>7394</v>
      </c>
      <c r="G1829" s="87">
        <v>9.2310765000000004</v>
      </c>
    </row>
    <row r="1830" spans="1:7" x14ac:dyDescent="0.25">
      <c r="A1830" s="84" t="s">
        <v>1367</v>
      </c>
      <c r="B1830" s="84" t="s">
        <v>89</v>
      </c>
      <c r="C1830" s="84" t="s">
        <v>283</v>
      </c>
      <c r="D1830" s="85">
        <v>5106</v>
      </c>
      <c r="E1830" s="85">
        <v>413724</v>
      </c>
      <c r="F1830" s="86">
        <v>26814</v>
      </c>
      <c r="G1830" s="87">
        <v>6.4811322999999996</v>
      </c>
    </row>
    <row r="1831" spans="1:7" x14ac:dyDescent="0.25">
      <c r="A1831" s="84" t="s">
        <v>2474</v>
      </c>
      <c r="B1831" s="84" t="s">
        <v>89</v>
      </c>
      <c r="C1831" s="84" t="s">
        <v>283</v>
      </c>
      <c r="D1831" s="85">
        <v>481</v>
      </c>
      <c r="E1831" s="85">
        <v>7817</v>
      </c>
      <c r="F1831" s="86">
        <v>1057</v>
      </c>
      <c r="G1831" s="87">
        <v>13.521811</v>
      </c>
    </row>
    <row r="1832" spans="1:7" x14ac:dyDescent="0.25">
      <c r="A1832" s="84" t="s">
        <v>2475</v>
      </c>
      <c r="B1832" s="84" t="s">
        <v>89</v>
      </c>
      <c r="C1832" s="84" t="s">
        <v>283</v>
      </c>
      <c r="D1832" s="85">
        <v>722</v>
      </c>
      <c r="E1832" s="85">
        <v>19405</v>
      </c>
      <c r="F1832" s="86">
        <v>2660</v>
      </c>
      <c r="G1832" s="87">
        <v>13.707807000000001</v>
      </c>
    </row>
    <row r="1833" spans="1:7" x14ac:dyDescent="0.25">
      <c r="A1833" s="84" t="s">
        <v>1368</v>
      </c>
      <c r="B1833" s="84" t="s">
        <v>89</v>
      </c>
      <c r="C1833" s="84" t="s">
        <v>283</v>
      </c>
      <c r="D1833" s="85">
        <v>3747</v>
      </c>
      <c r="E1833" s="85">
        <v>108636</v>
      </c>
      <c r="F1833" s="86">
        <v>11776</v>
      </c>
      <c r="G1833" s="87">
        <v>10.839869</v>
      </c>
    </row>
    <row r="1834" spans="1:7" x14ac:dyDescent="0.25">
      <c r="A1834" s="84" t="s">
        <v>2476</v>
      </c>
      <c r="B1834" s="84" t="s">
        <v>89</v>
      </c>
      <c r="C1834" s="84" t="s">
        <v>283</v>
      </c>
      <c r="D1834" s="85">
        <v>1682</v>
      </c>
      <c r="E1834" s="85">
        <v>31637</v>
      </c>
      <c r="F1834" s="86">
        <v>4524.3</v>
      </c>
      <c r="G1834" s="87">
        <v>14.300661</v>
      </c>
    </row>
    <row r="1835" spans="1:7" x14ac:dyDescent="0.25">
      <c r="A1835" s="84" t="s">
        <v>2477</v>
      </c>
      <c r="B1835" s="84" t="s">
        <v>89</v>
      </c>
      <c r="C1835" s="84" t="s">
        <v>283</v>
      </c>
      <c r="D1835" s="85">
        <v>1398</v>
      </c>
      <c r="E1835" s="85">
        <v>25380</v>
      </c>
      <c r="F1835" s="86">
        <v>3594</v>
      </c>
      <c r="G1835" s="87">
        <v>14.160757</v>
      </c>
    </row>
    <row r="1836" spans="1:7" x14ac:dyDescent="0.25">
      <c r="A1836" s="84" t="s">
        <v>2478</v>
      </c>
      <c r="B1836" s="84" t="s">
        <v>89</v>
      </c>
      <c r="C1836" s="84" t="s">
        <v>283</v>
      </c>
      <c r="D1836" s="85">
        <v>2828</v>
      </c>
      <c r="E1836" s="85">
        <v>66506</v>
      </c>
      <c r="F1836" s="86">
        <v>6837</v>
      </c>
      <c r="G1836" s="87">
        <v>10.280275</v>
      </c>
    </row>
    <row r="1837" spans="1:7" x14ac:dyDescent="0.25">
      <c r="A1837" s="84" t="s">
        <v>2479</v>
      </c>
      <c r="B1837" s="84" t="s">
        <v>89</v>
      </c>
      <c r="C1837" s="84" t="s">
        <v>283</v>
      </c>
      <c r="D1837" s="85">
        <v>1163</v>
      </c>
      <c r="E1837" s="85">
        <v>16910</v>
      </c>
      <c r="F1837" s="86">
        <v>2006</v>
      </c>
      <c r="G1837" s="87">
        <v>11.862803</v>
      </c>
    </row>
    <row r="1838" spans="1:7" x14ac:dyDescent="0.25">
      <c r="A1838" s="84" t="s">
        <v>1369</v>
      </c>
      <c r="B1838" s="84" t="s">
        <v>89</v>
      </c>
      <c r="C1838" s="84" t="s">
        <v>283</v>
      </c>
      <c r="D1838" s="85">
        <v>4598</v>
      </c>
      <c r="E1838" s="85">
        <v>168802</v>
      </c>
      <c r="F1838" s="86">
        <v>16535</v>
      </c>
      <c r="G1838" s="87">
        <v>9.7955000999999999</v>
      </c>
    </row>
    <row r="1839" spans="1:7" x14ac:dyDescent="0.25">
      <c r="A1839" s="84" t="s">
        <v>2480</v>
      </c>
      <c r="B1839" s="84" t="s">
        <v>89</v>
      </c>
      <c r="C1839" s="84" t="s">
        <v>283</v>
      </c>
      <c r="D1839" s="85">
        <v>1205</v>
      </c>
      <c r="E1839" s="85">
        <v>19843</v>
      </c>
      <c r="F1839" s="86">
        <v>2101</v>
      </c>
      <c r="G1839" s="87">
        <v>10.588117</v>
      </c>
    </row>
    <row r="1840" spans="1:7" x14ac:dyDescent="0.25">
      <c r="A1840" s="84" t="s">
        <v>1370</v>
      </c>
      <c r="B1840" s="84" t="s">
        <v>89</v>
      </c>
      <c r="C1840" s="84" t="s">
        <v>283</v>
      </c>
      <c r="D1840" s="85">
        <v>6035</v>
      </c>
      <c r="E1840" s="85">
        <v>218419</v>
      </c>
      <c r="F1840" s="86">
        <v>21546</v>
      </c>
      <c r="G1840" s="87">
        <v>9.8645264000000008</v>
      </c>
    </row>
    <row r="1841" spans="1:7" x14ac:dyDescent="0.25">
      <c r="A1841" s="84" t="s">
        <v>1371</v>
      </c>
      <c r="B1841" s="84" t="s">
        <v>89</v>
      </c>
      <c r="C1841" s="84" t="s">
        <v>283</v>
      </c>
      <c r="D1841" s="85">
        <v>6502</v>
      </c>
      <c r="E1841" s="85">
        <v>157035</v>
      </c>
      <c r="F1841" s="86">
        <v>20061.2</v>
      </c>
      <c r="G1841" s="87">
        <v>12.774986</v>
      </c>
    </row>
    <row r="1842" spans="1:7" x14ac:dyDescent="0.25">
      <c r="A1842" s="84" t="s">
        <v>2481</v>
      </c>
      <c r="B1842" s="84" t="s">
        <v>89</v>
      </c>
      <c r="C1842" s="84" t="s">
        <v>283</v>
      </c>
      <c r="D1842" s="85">
        <v>132</v>
      </c>
      <c r="E1842" s="85">
        <v>1854</v>
      </c>
      <c r="F1842" s="86">
        <v>261</v>
      </c>
      <c r="G1842" s="87">
        <v>14.077669999999999</v>
      </c>
    </row>
    <row r="1843" spans="1:7" x14ac:dyDescent="0.25">
      <c r="A1843" s="84" t="s">
        <v>2482</v>
      </c>
      <c r="B1843" s="84" t="s">
        <v>89</v>
      </c>
      <c r="C1843" s="84" t="s">
        <v>283</v>
      </c>
      <c r="D1843" s="85">
        <v>3088</v>
      </c>
      <c r="E1843" s="85">
        <v>84327</v>
      </c>
      <c r="F1843" s="86">
        <v>8653.7999999999993</v>
      </c>
      <c r="G1843" s="87">
        <v>10.262193999999999</v>
      </c>
    </row>
    <row r="1844" spans="1:7" x14ac:dyDescent="0.25">
      <c r="A1844" s="84" t="s">
        <v>2483</v>
      </c>
      <c r="B1844" s="84" t="s">
        <v>89</v>
      </c>
      <c r="C1844" s="84" t="s">
        <v>283</v>
      </c>
      <c r="D1844" s="85">
        <v>1753</v>
      </c>
      <c r="E1844" s="85">
        <v>47821</v>
      </c>
      <c r="F1844" s="86">
        <v>5253.5</v>
      </c>
      <c r="G1844" s="87">
        <v>10.985759</v>
      </c>
    </row>
    <row r="1845" spans="1:7" x14ac:dyDescent="0.25">
      <c r="A1845" s="84" t="s">
        <v>2397</v>
      </c>
      <c r="B1845" s="84" t="s">
        <v>89</v>
      </c>
      <c r="C1845" s="84" t="s">
        <v>281</v>
      </c>
      <c r="D1845" s="85">
        <v>25300</v>
      </c>
      <c r="E1845" s="85">
        <v>557298</v>
      </c>
      <c r="F1845" s="86">
        <v>56812.4</v>
      </c>
      <c r="G1845" s="87">
        <v>10.194259000000001</v>
      </c>
    </row>
    <row r="1846" spans="1:7" x14ac:dyDescent="0.25">
      <c r="A1846" s="84" t="s">
        <v>643</v>
      </c>
      <c r="B1846" s="84" t="s">
        <v>89</v>
      </c>
      <c r="C1846" s="84" t="s">
        <v>281</v>
      </c>
      <c r="D1846" s="85">
        <v>1527</v>
      </c>
      <c r="E1846" s="85">
        <v>14003</v>
      </c>
      <c r="F1846" s="86">
        <v>1884</v>
      </c>
      <c r="G1846" s="87">
        <v>13.45426</v>
      </c>
    </row>
    <row r="1847" spans="1:7" x14ac:dyDescent="0.25">
      <c r="A1847" s="84" t="s">
        <v>1372</v>
      </c>
      <c r="B1847" s="84" t="s">
        <v>89</v>
      </c>
      <c r="C1847" s="84" t="s">
        <v>281</v>
      </c>
      <c r="D1847" s="85">
        <v>77706</v>
      </c>
      <c r="E1847" s="85">
        <v>1361251</v>
      </c>
      <c r="F1847" s="86">
        <v>161085</v>
      </c>
      <c r="G1847" s="87">
        <v>11.833600000000001</v>
      </c>
    </row>
    <row r="1848" spans="1:7" x14ac:dyDescent="0.25">
      <c r="A1848" s="84" t="s">
        <v>1373</v>
      </c>
      <c r="B1848" s="84" t="s">
        <v>89</v>
      </c>
      <c r="C1848" s="84" t="s">
        <v>278</v>
      </c>
      <c r="D1848" s="85">
        <v>121776</v>
      </c>
      <c r="E1848" s="85">
        <v>4280695</v>
      </c>
      <c r="F1848" s="86">
        <v>389034.1</v>
      </c>
      <c r="G1848" s="87">
        <v>9.0881059999999998</v>
      </c>
    </row>
    <row r="1849" spans="1:7" x14ac:dyDescent="0.25">
      <c r="A1849" s="84" t="s">
        <v>1374</v>
      </c>
      <c r="B1849" s="84" t="s">
        <v>89</v>
      </c>
      <c r="C1849" s="84" t="s">
        <v>281</v>
      </c>
      <c r="D1849" s="85">
        <v>46983</v>
      </c>
      <c r="E1849" s="85">
        <v>811376</v>
      </c>
      <c r="F1849" s="86">
        <v>93204.4</v>
      </c>
      <c r="G1849" s="87">
        <v>11.487202</v>
      </c>
    </row>
    <row r="1850" spans="1:7" x14ac:dyDescent="0.25">
      <c r="A1850" s="84" t="s">
        <v>1375</v>
      </c>
      <c r="B1850" s="84" t="s">
        <v>89</v>
      </c>
      <c r="C1850" s="84" t="s">
        <v>281</v>
      </c>
      <c r="D1850" s="85">
        <v>15</v>
      </c>
      <c r="E1850" s="85">
        <v>355</v>
      </c>
      <c r="F1850" s="86">
        <v>40</v>
      </c>
      <c r="G1850" s="87">
        <v>11.267606000000001</v>
      </c>
    </row>
    <row r="1851" spans="1:7" x14ac:dyDescent="0.25">
      <c r="A1851" s="84" t="s">
        <v>1376</v>
      </c>
      <c r="B1851" s="84" t="s">
        <v>91</v>
      </c>
      <c r="C1851" s="84" t="s">
        <v>281</v>
      </c>
      <c r="D1851" s="85">
        <v>1</v>
      </c>
      <c r="E1851" s="85">
        <v>1094834</v>
      </c>
      <c r="F1851" s="86">
        <v>39196</v>
      </c>
      <c r="G1851" s="87">
        <v>3.5800860999999999</v>
      </c>
    </row>
    <row r="1852" spans="1:7" x14ac:dyDescent="0.25">
      <c r="A1852" s="84" t="s">
        <v>1377</v>
      </c>
      <c r="B1852" s="84" t="s">
        <v>91</v>
      </c>
      <c r="C1852" s="84" t="s">
        <v>281</v>
      </c>
      <c r="D1852" s="85">
        <v>3466</v>
      </c>
      <c r="E1852" s="85">
        <v>228432</v>
      </c>
      <c r="F1852" s="86">
        <v>24779</v>
      </c>
      <c r="G1852" s="87">
        <v>10.847429</v>
      </c>
    </row>
    <row r="1853" spans="1:7" x14ac:dyDescent="0.25">
      <c r="A1853" s="84" t="s">
        <v>1378</v>
      </c>
      <c r="B1853" s="84" t="s">
        <v>91</v>
      </c>
      <c r="C1853" s="84" t="s">
        <v>281</v>
      </c>
      <c r="D1853" s="85">
        <v>21058</v>
      </c>
      <c r="E1853" s="85">
        <v>372296</v>
      </c>
      <c r="F1853" s="86">
        <v>37995.599999999999</v>
      </c>
      <c r="G1853" s="87">
        <v>10.20575</v>
      </c>
    </row>
    <row r="1854" spans="1:7" x14ac:dyDescent="0.25">
      <c r="A1854" s="84" t="s">
        <v>2398</v>
      </c>
      <c r="B1854" s="84" t="s">
        <v>91</v>
      </c>
      <c r="C1854" s="84" t="s">
        <v>281</v>
      </c>
      <c r="D1854" s="85">
        <v>52086</v>
      </c>
      <c r="E1854" s="85">
        <v>1287375</v>
      </c>
      <c r="F1854" s="86">
        <v>139127</v>
      </c>
      <c r="G1854" s="87">
        <v>10.807029999999999</v>
      </c>
    </row>
    <row r="1855" spans="1:7" x14ac:dyDescent="0.25">
      <c r="A1855" s="84" t="s">
        <v>2484</v>
      </c>
      <c r="B1855" s="84" t="s">
        <v>91</v>
      </c>
      <c r="C1855" s="84" t="s">
        <v>283</v>
      </c>
      <c r="D1855" s="85">
        <v>886</v>
      </c>
      <c r="E1855" s="85">
        <v>16326</v>
      </c>
      <c r="F1855" s="86">
        <v>1362</v>
      </c>
      <c r="G1855" s="87">
        <v>8.3425211000000008</v>
      </c>
    </row>
    <row r="1856" spans="1:7" x14ac:dyDescent="0.25">
      <c r="A1856" s="84" t="s">
        <v>2485</v>
      </c>
      <c r="B1856" s="84" t="s">
        <v>91</v>
      </c>
      <c r="C1856" s="84" t="s">
        <v>283</v>
      </c>
      <c r="D1856" s="85">
        <v>2283</v>
      </c>
      <c r="E1856" s="85">
        <v>50491</v>
      </c>
      <c r="F1856" s="86">
        <v>6337.4</v>
      </c>
      <c r="G1856" s="87">
        <v>12.551544</v>
      </c>
    </row>
    <row r="1857" spans="1:7" x14ac:dyDescent="0.25">
      <c r="A1857" s="84" t="s">
        <v>2486</v>
      </c>
      <c r="B1857" s="84" t="s">
        <v>91</v>
      </c>
      <c r="C1857" s="84" t="s">
        <v>283</v>
      </c>
      <c r="D1857" s="85">
        <v>952</v>
      </c>
      <c r="E1857" s="85">
        <v>29538</v>
      </c>
      <c r="F1857" s="86">
        <v>2408.6</v>
      </c>
      <c r="G1857" s="87">
        <v>8.154242</v>
      </c>
    </row>
    <row r="1858" spans="1:7" x14ac:dyDescent="0.25">
      <c r="A1858" s="84" t="s">
        <v>360</v>
      </c>
      <c r="B1858" s="84" t="s">
        <v>91</v>
      </c>
      <c r="C1858" s="84" t="s">
        <v>283</v>
      </c>
      <c r="D1858" s="85">
        <v>197</v>
      </c>
      <c r="E1858" s="85">
        <v>5455</v>
      </c>
      <c r="F1858" s="86">
        <v>421.9</v>
      </c>
      <c r="G1858" s="87">
        <v>7.7341888000000001</v>
      </c>
    </row>
    <row r="1859" spans="1:7" x14ac:dyDescent="0.25">
      <c r="A1859" s="84" t="s">
        <v>1380</v>
      </c>
      <c r="B1859" s="84" t="s">
        <v>91</v>
      </c>
      <c r="C1859" s="84" t="s">
        <v>283</v>
      </c>
      <c r="D1859" s="85">
        <v>547</v>
      </c>
      <c r="E1859" s="85">
        <v>13861</v>
      </c>
      <c r="F1859" s="86">
        <v>1251</v>
      </c>
      <c r="G1859" s="87">
        <v>9.0253227999999996</v>
      </c>
    </row>
    <row r="1860" spans="1:7" x14ac:dyDescent="0.25">
      <c r="A1860" s="84" t="s">
        <v>2487</v>
      </c>
      <c r="B1860" s="84" t="s">
        <v>91</v>
      </c>
      <c r="C1860" s="84" t="s">
        <v>283</v>
      </c>
      <c r="D1860" s="85">
        <v>656</v>
      </c>
      <c r="E1860" s="85">
        <v>60783</v>
      </c>
      <c r="F1860" s="86">
        <v>1719.8</v>
      </c>
      <c r="G1860" s="87">
        <v>2.8294095000000001</v>
      </c>
    </row>
    <row r="1861" spans="1:7" x14ac:dyDescent="0.25">
      <c r="A1861" s="84" t="s">
        <v>2488</v>
      </c>
      <c r="B1861" s="84" t="s">
        <v>91</v>
      </c>
      <c r="C1861" s="84" t="s">
        <v>283</v>
      </c>
      <c r="D1861" s="85">
        <v>815</v>
      </c>
      <c r="E1861" s="85">
        <v>18701</v>
      </c>
      <c r="F1861" s="86">
        <v>2205</v>
      </c>
      <c r="G1861" s="87">
        <v>11.790813</v>
      </c>
    </row>
    <row r="1862" spans="1:7" x14ac:dyDescent="0.25">
      <c r="A1862" s="84" t="s">
        <v>2489</v>
      </c>
      <c r="B1862" s="84" t="s">
        <v>91</v>
      </c>
      <c r="C1862" s="84" t="s">
        <v>283</v>
      </c>
      <c r="D1862" s="85">
        <v>287</v>
      </c>
      <c r="E1862" s="85">
        <v>3273</v>
      </c>
      <c r="F1862" s="86">
        <v>354.5</v>
      </c>
      <c r="G1862" s="87">
        <v>10.831042</v>
      </c>
    </row>
    <row r="1863" spans="1:7" x14ac:dyDescent="0.25">
      <c r="A1863" s="84" t="s">
        <v>2490</v>
      </c>
      <c r="B1863" s="84" t="s">
        <v>91</v>
      </c>
      <c r="C1863" s="84" t="s">
        <v>283</v>
      </c>
      <c r="D1863" s="85">
        <v>80</v>
      </c>
      <c r="E1863" s="85">
        <v>1107</v>
      </c>
      <c r="F1863" s="86">
        <v>94.4</v>
      </c>
      <c r="G1863" s="87">
        <v>8.5275519000000006</v>
      </c>
    </row>
    <row r="1864" spans="1:7" x14ac:dyDescent="0.25">
      <c r="A1864" s="84" t="s">
        <v>2491</v>
      </c>
      <c r="B1864" s="84" t="s">
        <v>91</v>
      </c>
      <c r="C1864" s="84" t="s">
        <v>283</v>
      </c>
      <c r="D1864" s="85">
        <v>254</v>
      </c>
      <c r="E1864" s="85">
        <v>4350</v>
      </c>
      <c r="F1864" s="86">
        <v>545.9</v>
      </c>
      <c r="G1864" s="87">
        <v>12.549424999999999</v>
      </c>
    </row>
    <row r="1865" spans="1:7" x14ac:dyDescent="0.25">
      <c r="A1865" s="84" t="s">
        <v>1381</v>
      </c>
      <c r="B1865" s="84" t="s">
        <v>91</v>
      </c>
      <c r="C1865" s="84" t="s">
        <v>283</v>
      </c>
      <c r="D1865" s="85">
        <v>3953</v>
      </c>
      <c r="E1865" s="85">
        <v>109953</v>
      </c>
      <c r="F1865" s="86">
        <v>7677</v>
      </c>
      <c r="G1865" s="87">
        <v>6.9820741999999996</v>
      </c>
    </row>
    <row r="1866" spans="1:7" x14ac:dyDescent="0.25">
      <c r="A1866" s="84" t="s">
        <v>1382</v>
      </c>
      <c r="B1866" s="84" t="s">
        <v>91</v>
      </c>
      <c r="C1866" s="84" t="s">
        <v>281</v>
      </c>
      <c r="D1866" s="85">
        <v>6636</v>
      </c>
      <c r="E1866" s="85">
        <v>671486</v>
      </c>
      <c r="F1866" s="86">
        <v>55977.599999999999</v>
      </c>
      <c r="G1866" s="87">
        <v>8.3363762999999995</v>
      </c>
    </row>
    <row r="1867" spans="1:7" x14ac:dyDescent="0.25">
      <c r="A1867" s="84" t="s">
        <v>2443</v>
      </c>
      <c r="B1867" s="84" t="s">
        <v>91</v>
      </c>
      <c r="C1867" s="84" t="s">
        <v>281</v>
      </c>
      <c r="D1867" s="85">
        <v>774</v>
      </c>
      <c r="E1867" s="85">
        <v>30859</v>
      </c>
      <c r="F1867" s="86">
        <v>3356.2</v>
      </c>
      <c r="G1867" s="87">
        <v>10.875920000000001</v>
      </c>
    </row>
    <row r="1868" spans="1:7" x14ac:dyDescent="0.25">
      <c r="A1868" s="84" t="s">
        <v>1383</v>
      </c>
      <c r="B1868" s="84" t="s">
        <v>91</v>
      </c>
      <c r="C1868" s="84" t="s">
        <v>281</v>
      </c>
      <c r="D1868" s="85">
        <v>3899</v>
      </c>
      <c r="E1868" s="85">
        <v>83974</v>
      </c>
      <c r="F1868" s="86">
        <v>10640</v>
      </c>
      <c r="G1868" s="87">
        <v>12.670589</v>
      </c>
    </row>
    <row r="1869" spans="1:7" x14ac:dyDescent="0.25">
      <c r="A1869" s="84" t="s">
        <v>1298</v>
      </c>
      <c r="B1869" s="84" t="s">
        <v>91</v>
      </c>
      <c r="C1869" s="84" t="s">
        <v>281</v>
      </c>
      <c r="D1869" s="85">
        <v>1111</v>
      </c>
      <c r="E1869" s="85">
        <v>70238</v>
      </c>
      <c r="F1869" s="86">
        <v>7315</v>
      </c>
      <c r="G1869" s="87">
        <v>10.41459</v>
      </c>
    </row>
    <row r="1870" spans="1:7" x14ac:dyDescent="0.25">
      <c r="A1870" s="84" t="s">
        <v>1301</v>
      </c>
      <c r="B1870" s="84" t="s">
        <v>91</v>
      </c>
      <c r="C1870" s="84" t="s">
        <v>281</v>
      </c>
      <c r="D1870" s="85">
        <v>13022</v>
      </c>
      <c r="E1870" s="85">
        <v>4459225</v>
      </c>
      <c r="F1870" s="86">
        <v>323447.59999999998</v>
      </c>
      <c r="G1870" s="87">
        <v>7.2534486999999999</v>
      </c>
    </row>
    <row r="1871" spans="1:7" x14ac:dyDescent="0.25">
      <c r="A1871" s="84" t="s">
        <v>1384</v>
      </c>
      <c r="B1871" s="84" t="s">
        <v>91</v>
      </c>
      <c r="C1871" s="84" t="s">
        <v>281</v>
      </c>
      <c r="D1871" s="85">
        <v>4077</v>
      </c>
      <c r="E1871" s="85">
        <v>134538</v>
      </c>
      <c r="F1871" s="86">
        <v>15010</v>
      </c>
      <c r="G1871" s="87">
        <v>11.156699</v>
      </c>
    </row>
    <row r="1872" spans="1:7" x14ac:dyDescent="0.25">
      <c r="A1872" s="84" t="s">
        <v>1303</v>
      </c>
      <c r="B1872" s="84" t="s">
        <v>91</v>
      </c>
      <c r="C1872" s="84" t="s">
        <v>278</v>
      </c>
      <c r="D1872" s="85">
        <v>93065</v>
      </c>
      <c r="E1872" s="85">
        <v>2102091</v>
      </c>
      <c r="F1872" s="86">
        <v>203189</v>
      </c>
      <c r="G1872" s="87">
        <v>9.6660421000000003</v>
      </c>
    </row>
    <row r="1873" spans="1:7" x14ac:dyDescent="0.25">
      <c r="A1873" s="84" t="s">
        <v>1385</v>
      </c>
      <c r="B1873" s="84" t="s">
        <v>91</v>
      </c>
      <c r="C1873" s="84" t="s">
        <v>281</v>
      </c>
      <c r="D1873" s="85">
        <v>8559</v>
      </c>
      <c r="E1873" s="85">
        <v>160382</v>
      </c>
      <c r="F1873" s="86">
        <v>20678</v>
      </c>
      <c r="G1873" s="87">
        <v>12.892968</v>
      </c>
    </row>
    <row r="1874" spans="1:7" x14ac:dyDescent="0.25">
      <c r="A1874" s="84" t="s">
        <v>1386</v>
      </c>
      <c r="B1874" s="84" t="s">
        <v>91</v>
      </c>
      <c r="C1874" s="84" t="s">
        <v>281</v>
      </c>
      <c r="D1874" s="85">
        <v>20547</v>
      </c>
      <c r="E1874" s="85">
        <v>2617630</v>
      </c>
      <c r="F1874" s="86">
        <v>296325.90000000002</v>
      </c>
      <c r="G1874" s="87">
        <v>11.320389</v>
      </c>
    </row>
    <row r="1875" spans="1:7" x14ac:dyDescent="0.25">
      <c r="A1875" s="84" t="s">
        <v>1387</v>
      </c>
      <c r="B1875" s="84" t="s">
        <v>91</v>
      </c>
      <c r="C1875" s="84" t="s">
        <v>281</v>
      </c>
      <c r="D1875" s="85">
        <v>20220</v>
      </c>
      <c r="E1875" s="85">
        <v>1128452</v>
      </c>
      <c r="F1875" s="86">
        <v>102758</v>
      </c>
      <c r="G1875" s="87">
        <v>9.1061028999999998</v>
      </c>
    </row>
    <row r="1876" spans="1:7" x14ac:dyDescent="0.25">
      <c r="A1876" s="84" t="s">
        <v>1388</v>
      </c>
      <c r="B1876" s="84" t="s">
        <v>91</v>
      </c>
      <c r="C1876" s="84" t="s">
        <v>281</v>
      </c>
      <c r="D1876" s="85">
        <v>7650</v>
      </c>
      <c r="E1876" s="85">
        <v>252783</v>
      </c>
      <c r="F1876" s="86">
        <v>26588.400000000001</v>
      </c>
      <c r="G1876" s="87">
        <v>10.518271</v>
      </c>
    </row>
    <row r="1877" spans="1:7" x14ac:dyDescent="0.25">
      <c r="A1877" s="84" t="s">
        <v>1389</v>
      </c>
      <c r="B1877" s="84" t="s">
        <v>91</v>
      </c>
      <c r="C1877" s="84" t="s">
        <v>281</v>
      </c>
      <c r="D1877" s="85">
        <v>11678</v>
      </c>
      <c r="E1877" s="85">
        <v>443156</v>
      </c>
      <c r="F1877" s="86">
        <v>42171</v>
      </c>
      <c r="G1877" s="87">
        <v>9.5160620999999992</v>
      </c>
    </row>
    <row r="1878" spans="1:7" x14ac:dyDescent="0.25">
      <c r="A1878" s="84" t="s">
        <v>1153</v>
      </c>
      <c r="B1878" s="84" t="s">
        <v>91</v>
      </c>
      <c r="C1878" s="84" t="s">
        <v>278</v>
      </c>
      <c r="D1878" s="85">
        <v>94479</v>
      </c>
      <c r="E1878" s="85">
        <v>2213172</v>
      </c>
      <c r="F1878" s="86">
        <v>201521.9</v>
      </c>
      <c r="G1878" s="87">
        <v>9.1055688000000004</v>
      </c>
    </row>
    <row r="1879" spans="1:7" x14ac:dyDescent="0.25">
      <c r="A1879" s="84" t="s">
        <v>1155</v>
      </c>
      <c r="B1879" s="84" t="s">
        <v>91</v>
      </c>
      <c r="C1879" s="84" t="s">
        <v>278</v>
      </c>
      <c r="D1879" s="85">
        <v>59181</v>
      </c>
      <c r="E1879" s="85">
        <v>1820322</v>
      </c>
      <c r="F1879" s="86">
        <v>153052</v>
      </c>
      <c r="G1879" s="87">
        <v>8.4079630000000005</v>
      </c>
    </row>
    <row r="1880" spans="1:7" x14ac:dyDescent="0.25">
      <c r="A1880" s="84" t="s">
        <v>2399</v>
      </c>
      <c r="B1880" s="84" t="s">
        <v>91</v>
      </c>
      <c r="C1880" s="84" t="s">
        <v>281</v>
      </c>
      <c r="D1880" s="85">
        <v>14792</v>
      </c>
      <c r="E1880" s="85">
        <v>788318</v>
      </c>
      <c r="F1880" s="86">
        <v>80020</v>
      </c>
      <c r="G1880" s="87">
        <v>10.150726000000001</v>
      </c>
    </row>
    <row r="1881" spans="1:7" x14ac:dyDescent="0.25">
      <c r="A1881" s="84" t="s">
        <v>1308</v>
      </c>
      <c r="B1881" s="84" t="s">
        <v>91</v>
      </c>
      <c r="C1881" s="84" t="s">
        <v>281</v>
      </c>
      <c r="D1881" s="85">
        <v>423</v>
      </c>
      <c r="E1881" s="85">
        <v>32921</v>
      </c>
      <c r="F1881" s="86">
        <v>4670</v>
      </c>
      <c r="G1881" s="87">
        <v>14.185473999999999</v>
      </c>
    </row>
    <row r="1882" spans="1:7" x14ac:dyDescent="0.25">
      <c r="A1882" s="84" t="s">
        <v>1391</v>
      </c>
      <c r="B1882" s="84" t="s">
        <v>91</v>
      </c>
      <c r="C1882" s="84" t="s">
        <v>281</v>
      </c>
      <c r="D1882" s="85">
        <v>4012</v>
      </c>
      <c r="E1882" s="85">
        <v>413440</v>
      </c>
      <c r="F1882" s="86">
        <v>33374</v>
      </c>
      <c r="G1882" s="87">
        <v>8.0722716999999999</v>
      </c>
    </row>
    <row r="1883" spans="1:7" x14ac:dyDescent="0.25">
      <c r="A1883" s="84" t="s">
        <v>1174</v>
      </c>
      <c r="B1883" s="84" t="s">
        <v>91</v>
      </c>
      <c r="C1883" s="84" t="s">
        <v>281</v>
      </c>
      <c r="D1883" s="85">
        <v>35</v>
      </c>
      <c r="E1883" s="85">
        <v>647</v>
      </c>
      <c r="F1883" s="86">
        <v>75</v>
      </c>
      <c r="G1883" s="87">
        <v>11.591963</v>
      </c>
    </row>
    <row r="1884" spans="1:7" x14ac:dyDescent="0.25">
      <c r="A1884" s="84" t="s">
        <v>1392</v>
      </c>
      <c r="B1884" s="84" t="s">
        <v>91</v>
      </c>
      <c r="C1884" s="84" t="s">
        <v>281</v>
      </c>
      <c r="D1884" s="85">
        <v>16374</v>
      </c>
      <c r="E1884" s="85">
        <v>599807</v>
      </c>
      <c r="F1884" s="86">
        <v>52741.1</v>
      </c>
      <c r="G1884" s="87">
        <v>8.7930118000000004</v>
      </c>
    </row>
    <row r="1885" spans="1:7" x14ac:dyDescent="0.25">
      <c r="A1885" s="84" t="s">
        <v>422</v>
      </c>
      <c r="B1885" s="84" t="s">
        <v>91</v>
      </c>
      <c r="C1885" s="84" t="s">
        <v>351</v>
      </c>
      <c r="D1885" s="85">
        <v>24</v>
      </c>
      <c r="E1885" s="85">
        <v>194811</v>
      </c>
      <c r="F1885" s="86">
        <v>4649.7</v>
      </c>
      <c r="G1885" s="87">
        <v>2.3867748999999998</v>
      </c>
    </row>
    <row r="1886" spans="1:7" x14ac:dyDescent="0.25">
      <c r="A1886" s="84" t="s">
        <v>1393</v>
      </c>
      <c r="B1886" s="84" t="s">
        <v>72</v>
      </c>
      <c r="C1886" s="84" t="s">
        <v>283</v>
      </c>
      <c r="D1886" s="85">
        <v>2688</v>
      </c>
      <c r="E1886" s="85">
        <v>57338</v>
      </c>
      <c r="F1886" s="86">
        <v>5377</v>
      </c>
      <c r="G1886" s="87">
        <v>9.3777250999999993</v>
      </c>
    </row>
    <row r="1887" spans="1:7" x14ac:dyDescent="0.25">
      <c r="A1887" s="84" t="s">
        <v>1394</v>
      </c>
      <c r="B1887" s="84" t="s">
        <v>72</v>
      </c>
      <c r="C1887" s="84" t="s">
        <v>385</v>
      </c>
      <c r="D1887" s="85">
        <v>4185</v>
      </c>
      <c r="E1887" s="85">
        <v>90882</v>
      </c>
      <c r="F1887" s="86">
        <v>12386</v>
      </c>
      <c r="G1887" s="87">
        <v>13.628660999999999</v>
      </c>
    </row>
    <row r="1888" spans="1:7" x14ac:dyDescent="0.25">
      <c r="A1888" s="84" t="s">
        <v>1395</v>
      </c>
      <c r="B1888" s="84" t="s">
        <v>72</v>
      </c>
      <c r="C1888" s="84" t="s">
        <v>385</v>
      </c>
      <c r="D1888" s="85">
        <v>6313</v>
      </c>
      <c r="E1888" s="85">
        <v>193672</v>
      </c>
      <c r="F1888" s="86">
        <v>19567</v>
      </c>
      <c r="G1888" s="87">
        <v>10.103164</v>
      </c>
    </row>
    <row r="1889" spans="1:7" x14ac:dyDescent="0.25">
      <c r="A1889" s="84" t="s">
        <v>1396</v>
      </c>
      <c r="B1889" s="84" t="s">
        <v>72</v>
      </c>
      <c r="C1889" s="84" t="s">
        <v>385</v>
      </c>
      <c r="D1889" s="85">
        <v>7450</v>
      </c>
      <c r="E1889" s="85">
        <v>253522</v>
      </c>
      <c r="F1889" s="86">
        <v>22374</v>
      </c>
      <c r="G1889" s="87">
        <v>8.8252696000000004</v>
      </c>
    </row>
    <row r="1890" spans="1:7" x14ac:dyDescent="0.25">
      <c r="A1890" s="84" t="s">
        <v>1397</v>
      </c>
      <c r="B1890" s="84" t="s">
        <v>72</v>
      </c>
      <c r="C1890" s="84" t="s">
        <v>281</v>
      </c>
      <c r="D1890" s="85">
        <v>1095</v>
      </c>
      <c r="E1890" s="85">
        <v>22263</v>
      </c>
      <c r="F1890" s="86">
        <v>2687.9</v>
      </c>
      <c r="G1890" s="87">
        <v>12.073395</v>
      </c>
    </row>
    <row r="1891" spans="1:7" x14ac:dyDescent="0.25">
      <c r="A1891" s="84" t="s">
        <v>1398</v>
      </c>
      <c r="B1891" s="84" t="s">
        <v>72</v>
      </c>
      <c r="C1891" s="84" t="s">
        <v>385</v>
      </c>
      <c r="D1891" s="85">
        <v>3229</v>
      </c>
      <c r="E1891" s="85">
        <v>47209</v>
      </c>
      <c r="F1891" s="86">
        <v>6655</v>
      </c>
      <c r="G1891" s="87">
        <v>14.096888</v>
      </c>
    </row>
    <row r="1892" spans="1:7" x14ac:dyDescent="0.25">
      <c r="A1892" s="84" t="s">
        <v>1399</v>
      </c>
      <c r="B1892" s="84" t="s">
        <v>72</v>
      </c>
      <c r="C1892" s="84" t="s">
        <v>283</v>
      </c>
      <c r="D1892" s="85">
        <v>5266</v>
      </c>
      <c r="E1892" s="85">
        <v>108070</v>
      </c>
      <c r="F1892" s="86">
        <v>13012.9</v>
      </c>
      <c r="G1892" s="87">
        <v>12.041176999999999</v>
      </c>
    </row>
    <row r="1893" spans="1:7" x14ac:dyDescent="0.25">
      <c r="A1893" s="84" t="s">
        <v>2492</v>
      </c>
      <c r="B1893" s="84" t="s">
        <v>72</v>
      </c>
      <c r="C1893" s="84" t="s">
        <v>283</v>
      </c>
      <c r="D1893" s="85">
        <v>342</v>
      </c>
      <c r="E1893" s="85">
        <v>3926</v>
      </c>
      <c r="F1893" s="86">
        <v>624</v>
      </c>
      <c r="G1893" s="87">
        <v>15.89404</v>
      </c>
    </row>
    <row r="1894" spans="1:7" x14ac:dyDescent="0.25">
      <c r="A1894" s="84" t="s">
        <v>2493</v>
      </c>
      <c r="B1894" s="84" t="s">
        <v>72</v>
      </c>
      <c r="C1894" s="84" t="s">
        <v>283</v>
      </c>
      <c r="D1894" s="85">
        <v>723</v>
      </c>
      <c r="E1894" s="85">
        <v>10006</v>
      </c>
      <c r="F1894" s="86">
        <v>1483.2</v>
      </c>
      <c r="G1894" s="87">
        <v>14.823105999999999</v>
      </c>
    </row>
    <row r="1895" spans="1:7" x14ac:dyDescent="0.25">
      <c r="A1895" s="84" t="s">
        <v>2494</v>
      </c>
      <c r="B1895" s="84" t="s">
        <v>72</v>
      </c>
      <c r="C1895" s="84" t="s">
        <v>283</v>
      </c>
      <c r="D1895" s="85">
        <v>584</v>
      </c>
      <c r="E1895" s="85">
        <v>10704</v>
      </c>
      <c r="F1895" s="86">
        <v>1130.5</v>
      </c>
      <c r="G1895" s="87">
        <v>10.561472</v>
      </c>
    </row>
    <row r="1896" spans="1:7" x14ac:dyDescent="0.25">
      <c r="A1896" s="84" t="s">
        <v>2495</v>
      </c>
      <c r="B1896" s="84" t="s">
        <v>72</v>
      </c>
      <c r="C1896" s="84" t="s">
        <v>283</v>
      </c>
      <c r="D1896" s="85">
        <v>581</v>
      </c>
      <c r="E1896" s="85">
        <v>8396</v>
      </c>
      <c r="F1896" s="86">
        <v>1219</v>
      </c>
      <c r="G1896" s="87">
        <v>14.518818</v>
      </c>
    </row>
    <row r="1897" spans="1:7" x14ac:dyDescent="0.25">
      <c r="A1897" s="84" t="s">
        <v>1400</v>
      </c>
      <c r="B1897" s="84" t="s">
        <v>72</v>
      </c>
      <c r="C1897" s="84" t="s">
        <v>283</v>
      </c>
      <c r="D1897" s="85">
        <v>6821</v>
      </c>
      <c r="E1897" s="85">
        <v>178508</v>
      </c>
      <c r="F1897" s="86">
        <v>15693</v>
      </c>
      <c r="G1897" s="87">
        <v>8.7912026000000001</v>
      </c>
    </row>
    <row r="1898" spans="1:7" x14ac:dyDescent="0.25">
      <c r="A1898" s="84" t="s">
        <v>2496</v>
      </c>
      <c r="B1898" s="84" t="s">
        <v>72</v>
      </c>
      <c r="C1898" s="84" t="s">
        <v>283</v>
      </c>
      <c r="D1898" s="85">
        <v>296</v>
      </c>
      <c r="E1898" s="85">
        <v>5409</v>
      </c>
      <c r="F1898" s="86">
        <v>813</v>
      </c>
      <c r="G1898" s="87">
        <v>15.030505</v>
      </c>
    </row>
    <row r="1899" spans="1:7" x14ac:dyDescent="0.25">
      <c r="A1899" s="84" t="s">
        <v>2497</v>
      </c>
      <c r="B1899" s="84" t="s">
        <v>72</v>
      </c>
      <c r="C1899" s="84" t="s">
        <v>283</v>
      </c>
      <c r="D1899" s="85">
        <v>693</v>
      </c>
      <c r="E1899" s="85">
        <v>13093</v>
      </c>
      <c r="F1899" s="86">
        <v>1142</v>
      </c>
      <c r="G1899" s="87">
        <v>8.7222179999999998</v>
      </c>
    </row>
    <row r="1900" spans="1:7" x14ac:dyDescent="0.25">
      <c r="A1900" s="84" t="s">
        <v>2498</v>
      </c>
      <c r="B1900" s="84" t="s">
        <v>72</v>
      </c>
      <c r="C1900" s="84" t="s">
        <v>283</v>
      </c>
      <c r="D1900" s="85">
        <v>489</v>
      </c>
      <c r="E1900" s="85">
        <v>7755</v>
      </c>
      <c r="F1900" s="86">
        <v>725</v>
      </c>
      <c r="G1900" s="87">
        <v>9.3488071999999995</v>
      </c>
    </row>
    <row r="1901" spans="1:7" x14ac:dyDescent="0.25">
      <c r="A1901" s="84" t="s">
        <v>2499</v>
      </c>
      <c r="B1901" s="84" t="s">
        <v>72</v>
      </c>
      <c r="C1901" s="84" t="s">
        <v>283</v>
      </c>
      <c r="D1901" s="85">
        <v>908</v>
      </c>
      <c r="E1901" s="85">
        <v>16459</v>
      </c>
      <c r="F1901" s="86">
        <v>1863.3</v>
      </c>
      <c r="G1901" s="87">
        <v>11.320857999999999</v>
      </c>
    </row>
    <row r="1902" spans="1:7" x14ac:dyDescent="0.25">
      <c r="A1902" s="84" t="s">
        <v>1401</v>
      </c>
      <c r="B1902" s="84" t="s">
        <v>72</v>
      </c>
      <c r="C1902" s="84" t="s">
        <v>283</v>
      </c>
      <c r="D1902" s="85">
        <v>3038</v>
      </c>
      <c r="E1902" s="85">
        <v>98293</v>
      </c>
      <c r="F1902" s="86">
        <v>10124</v>
      </c>
      <c r="G1902" s="87">
        <v>10.299818</v>
      </c>
    </row>
    <row r="1903" spans="1:7" x14ac:dyDescent="0.25">
      <c r="A1903" s="84" t="s">
        <v>2500</v>
      </c>
      <c r="B1903" s="84" t="s">
        <v>72</v>
      </c>
      <c r="C1903" s="84" t="s">
        <v>283</v>
      </c>
      <c r="D1903" s="85">
        <v>695</v>
      </c>
      <c r="E1903" s="85">
        <v>12287</v>
      </c>
      <c r="F1903" s="86">
        <v>1788</v>
      </c>
      <c r="G1903" s="87">
        <v>14.551964999999999</v>
      </c>
    </row>
    <row r="1904" spans="1:7" x14ac:dyDescent="0.25">
      <c r="A1904" s="84" t="s">
        <v>1402</v>
      </c>
      <c r="B1904" s="84" t="s">
        <v>72</v>
      </c>
      <c r="C1904" s="84" t="s">
        <v>283</v>
      </c>
      <c r="D1904" s="85">
        <v>612</v>
      </c>
      <c r="E1904" s="85">
        <v>48038</v>
      </c>
      <c r="F1904" s="86">
        <v>3553</v>
      </c>
      <c r="G1904" s="87">
        <v>7.3962279999999998</v>
      </c>
    </row>
    <row r="1905" spans="1:7" x14ac:dyDescent="0.25">
      <c r="A1905" s="84" t="s">
        <v>1403</v>
      </c>
      <c r="B1905" s="84" t="s">
        <v>72</v>
      </c>
      <c r="C1905" s="84" t="s">
        <v>283</v>
      </c>
      <c r="D1905" s="85">
        <v>1702</v>
      </c>
      <c r="E1905" s="85">
        <v>33200</v>
      </c>
      <c r="F1905" s="86">
        <v>3551</v>
      </c>
      <c r="G1905" s="87">
        <v>10.695783</v>
      </c>
    </row>
    <row r="1906" spans="1:7" x14ac:dyDescent="0.25">
      <c r="A1906" s="84" t="s">
        <v>2501</v>
      </c>
      <c r="B1906" s="84" t="s">
        <v>72</v>
      </c>
      <c r="C1906" s="84" t="s">
        <v>283</v>
      </c>
      <c r="D1906" s="85">
        <v>774</v>
      </c>
      <c r="E1906" s="85">
        <v>8955</v>
      </c>
      <c r="F1906" s="86">
        <v>916</v>
      </c>
      <c r="G1906" s="87">
        <v>10.228922000000001</v>
      </c>
    </row>
    <row r="1907" spans="1:7" x14ac:dyDescent="0.25">
      <c r="A1907" s="84" t="s">
        <v>1404</v>
      </c>
      <c r="B1907" s="84" t="s">
        <v>72</v>
      </c>
      <c r="C1907" s="84" t="s">
        <v>283</v>
      </c>
      <c r="D1907" s="85">
        <v>3203</v>
      </c>
      <c r="E1907" s="85">
        <v>120907</v>
      </c>
      <c r="F1907" s="86">
        <v>11342</v>
      </c>
      <c r="G1907" s="87">
        <v>9.3807636999999993</v>
      </c>
    </row>
    <row r="1908" spans="1:7" x14ac:dyDescent="0.25">
      <c r="A1908" s="84" t="s">
        <v>2502</v>
      </c>
      <c r="B1908" s="84" t="s">
        <v>72</v>
      </c>
      <c r="C1908" s="84" t="s">
        <v>283</v>
      </c>
      <c r="D1908" s="85">
        <v>697</v>
      </c>
      <c r="E1908" s="85">
        <v>14519</v>
      </c>
      <c r="F1908" s="86">
        <v>1679</v>
      </c>
      <c r="G1908" s="87">
        <v>11.564157</v>
      </c>
    </row>
    <row r="1909" spans="1:7" x14ac:dyDescent="0.25">
      <c r="A1909" s="84" t="s">
        <v>1405</v>
      </c>
      <c r="B1909" s="84" t="s">
        <v>72</v>
      </c>
      <c r="C1909" s="84" t="s">
        <v>283</v>
      </c>
      <c r="D1909" s="85">
        <v>1492</v>
      </c>
      <c r="E1909" s="85">
        <v>40367</v>
      </c>
      <c r="F1909" s="86">
        <v>4369</v>
      </c>
      <c r="G1909" s="87">
        <v>10.823197</v>
      </c>
    </row>
    <row r="1910" spans="1:7" x14ac:dyDescent="0.25">
      <c r="A1910" s="84" t="s">
        <v>2503</v>
      </c>
      <c r="B1910" s="84" t="s">
        <v>72</v>
      </c>
      <c r="C1910" s="84" t="s">
        <v>283</v>
      </c>
      <c r="D1910" s="85">
        <v>498</v>
      </c>
      <c r="E1910" s="85">
        <v>7714</v>
      </c>
      <c r="F1910" s="86">
        <v>856</v>
      </c>
      <c r="G1910" s="87">
        <v>11.096707</v>
      </c>
    </row>
    <row r="1911" spans="1:7" x14ac:dyDescent="0.25">
      <c r="A1911" s="84" t="s">
        <v>2504</v>
      </c>
      <c r="B1911" s="84" t="s">
        <v>72</v>
      </c>
      <c r="C1911" s="84" t="s">
        <v>283</v>
      </c>
      <c r="D1911" s="85">
        <v>435</v>
      </c>
      <c r="E1911" s="85">
        <v>6012</v>
      </c>
      <c r="F1911" s="86">
        <v>649</v>
      </c>
      <c r="G1911" s="87">
        <v>10.795076999999999</v>
      </c>
    </row>
    <row r="1912" spans="1:7" x14ac:dyDescent="0.25">
      <c r="A1912" s="84" t="s">
        <v>1406</v>
      </c>
      <c r="B1912" s="84" t="s">
        <v>72</v>
      </c>
      <c r="C1912" s="84" t="s">
        <v>283</v>
      </c>
      <c r="D1912" s="85">
        <v>3064</v>
      </c>
      <c r="E1912" s="85">
        <v>83042</v>
      </c>
      <c r="F1912" s="86">
        <v>9071</v>
      </c>
      <c r="G1912" s="87">
        <v>10.923387999999999</v>
      </c>
    </row>
    <row r="1913" spans="1:7" x14ac:dyDescent="0.25">
      <c r="A1913" s="84" t="s">
        <v>1407</v>
      </c>
      <c r="B1913" s="84" t="s">
        <v>72</v>
      </c>
      <c r="C1913" s="84" t="s">
        <v>283</v>
      </c>
      <c r="D1913" s="85">
        <v>2667</v>
      </c>
      <c r="E1913" s="85">
        <v>56140</v>
      </c>
      <c r="F1913" s="86">
        <v>5829</v>
      </c>
      <c r="G1913" s="87">
        <v>10.382971</v>
      </c>
    </row>
    <row r="1914" spans="1:7" x14ac:dyDescent="0.25">
      <c r="A1914" s="84" t="s">
        <v>2505</v>
      </c>
      <c r="B1914" s="84" t="s">
        <v>72</v>
      </c>
      <c r="C1914" s="84" t="s">
        <v>283</v>
      </c>
      <c r="D1914" s="85">
        <v>596</v>
      </c>
      <c r="E1914" s="85">
        <v>10462</v>
      </c>
      <c r="F1914" s="86">
        <v>1315.6</v>
      </c>
      <c r="G1914" s="87">
        <v>12.575032999999999</v>
      </c>
    </row>
    <row r="1915" spans="1:7" x14ac:dyDescent="0.25">
      <c r="A1915" s="84" t="s">
        <v>1408</v>
      </c>
      <c r="B1915" s="84" t="s">
        <v>72</v>
      </c>
      <c r="C1915" s="84" t="s">
        <v>283</v>
      </c>
      <c r="D1915" s="85">
        <v>15344</v>
      </c>
      <c r="E1915" s="85">
        <v>435928</v>
      </c>
      <c r="F1915" s="86">
        <v>40277</v>
      </c>
      <c r="G1915" s="87">
        <v>9.2393698000000004</v>
      </c>
    </row>
    <row r="1916" spans="1:7" x14ac:dyDescent="0.25">
      <c r="A1916" s="84" t="s">
        <v>2506</v>
      </c>
      <c r="B1916" s="84" t="s">
        <v>72</v>
      </c>
      <c r="C1916" s="84" t="s">
        <v>283</v>
      </c>
      <c r="D1916" s="85">
        <v>645</v>
      </c>
      <c r="E1916" s="85">
        <v>10733</v>
      </c>
      <c r="F1916" s="86">
        <v>1225</v>
      </c>
      <c r="G1916" s="87">
        <v>11.413398000000001</v>
      </c>
    </row>
    <row r="1917" spans="1:7" x14ac:dyDescent="0.25">
      <c r="A1917" s="84" t="s">
        <v>1409</v>
      </c>
      <c r="B1917" s="84" t="s">
        <v>72</v>
      </c>
      <c r="C1917" s="84" t="s">
        <v>283</v>
      </c>
      <c r="D1917" s="85">
        <v>4682</v>
      </c>
      <c r="E1917" s="85">
        <v>61886</v>
      </c>
      <c r="F1917" s="86">
        <v>9308</v>
      </c>
      <c r="G1917" s="87">
        <v>15.040558000000001</v>
      </c>
    </row>
    <row r="1918" spans="1:7" x14ac:dyDescent="0.25">
      <c r="A1918" s="84" t="s">
        <v>2507</v>
      </c>
      <c r="B1918" s="84" t="s">
        <v>72</v>
      </c>
      <c r="C1918" s="84" t="s">
        <v>283</v>
      </c>
      <c r="D1918" s="85">
        <v>229</v>
      </c>
      <c r="E1918" s="85">
        <v>5122</v>
      </c>
      <c r="F1918" s="86">
        <v>692</v>
      </c>
      <c r="G1918" s="87">
        <v>13.510348</v>
      </c>
    </row>
    <row r="1919" spans="1:7" x14ac:dyDescent="0.25">
      <c r="A1919" s="84" t="s">
        <v>1410</v>
      </c>
      <c r="B1919" s="84" t="s">
        <v>72</v>
      </c>
      <c r="C1919" s="84" t="s">
        <v>283</v>
      </c>
      <c r="D1919" s="85">
        <v>1883</v>
      </c>
      <c r="E1919" s="85">
        <v>55485</v>
      </c>
      <c r="F1919" s="86">
        <v>5161.7</v>
      </c>
      <c r="G1919" s="87">
        <v>9.3028747000000003</v>
      </c>
    </row>
    <row r="1920" spans="1:7" x14ac:dyDescent="0.25">
      <c r="A1920" s="84" t="s">
        <v>1411</v>
      </c>
      <c r="B1920" s="84" t="s">
        <v>72</v>
      </c>
      <c r="C1920" s="84" t="s">
        <v>283</v>
      </c>
      <c r="D1920" s="85">
        <v>26269</v>
      </c>
      <c r="E1920" s="85">
        <v>721257</v>
      </c>
      <c r="F1920" s="86">
        <v>62388</v>
      </c>
      <c r="G1920" s="87">
        <v>8.6498986999999996</v>
      </c>
    </row>
    <row r="1921" spans="1:7" x14ac:dyDescent="0.25">
      <c r="A1921" s="84" t="s">
        <v>2508</v>
      </c>
      <c r="B1921" s="84" t="s">
        <v>72</v>
      </c>
      <c r="C1921" s="84" t="s">
        <v>283</v>
      </c>
      <c r="D1921" s="85">
        <v>800</v>
      </c>
      <c r="E1921" s="85">
        <v>17328</v>
      </c>
      <c r="F1921" s="86">
        <v>2131.6999999999998</v>
      </c>
      <c r="G1921" s="87">
        <v>12.302054</v>
      </c>
    </row>
    <row r="1922" spans="1:7" x14ac:dyDescent="0.25">
      <c r="A1922" s="84" t="s">
        <v>1412</v>
      </c>
      <c r="B1922" s="84" t="s">
        <v>72</v>
      </c>
      <c r="C1922" s="84" t="s">
        <v>283</v>
      </c>
      <c r="D1922" s="85">
        <v>13493</v>
      </c>
      <c r="E1922" s="85">
        <v>422757</v>
      </c>
      <c r="F1922" s="86">
        <v>35826.300000000003</v>
      </c>
      <c r="G1922" s="87">
        <v>8.4744428000000003</v>
      </c>
    </row>
    <row r="1923" spans="1:7" x14ac:dyDescent="0.25">
      <c r="A1923" s="84" t="s">
        <v>1413</v>
      </c>
      <c r="B1923" s="84" t="s">
        <v>72</v>
      </c>
      <c r="C1923" s="84" t="s">
        <v>283</v>
      </c>
      <c r="D1923" s="85">
        <v>949</v>
      </c>
      <c r="E1923" s="85">
        <v>22385</v>
      </c>
      <c r="F1923" s="86">
        <v>1988</v>
      </c>
      <c r="G1923" s="87">
        <v>8.8809471000000002</v>
      </c>
    </row>
    <row r="1924" spans="1:7" x14ac:dyDescent="0.25">
      <c r="A1924" s="84" t="s">
        <v>2509</v>
      </c>
      <c r="B1924" s="84" t="s">
        <v>72</v>
      </c>
      <c r="C1924" s="84" t="s">
        <v>283</v>
      </c>
      <c r="D1924" s="85">
        <v>1085</v>
      </c>
      <c r="E1924" s="85">
        <v>14322</v>
      </c>
      <c r="F1924" s="86">
        <v>1366</v>
      </c>
      <c r="G1924" s="87">
        <v>9.5377741</v>
      </c>
    </row>
    <row r="1925" spans="1:7" x14ac:dyDescent="0.25">
      <c r="A1925" s="84" t="s">
        <v>1414</v>
      </c>
      <c r="B1925" s="84" t="s">
        <v>72</v>
      </c>
      <c r="C1925" s="84" t="s">
        <v>283</v>
      </c>
      <c r="D1925" s="85">
        <v>3294</v>
      </c>
      <c r="E1925" s="85">
        <v>115149</v>
      </c>
      <c r="F1925" s="86">
        <v>8881.4</v>
      </c>
      <c r="G1925" s="87">
        <v>7.7129631999999999</v>
      </c>
    </row>
    <row r="1926" spans="1:7" x14ac:dyDescent="0.25">
      <c r="A1926" s="84" t="s">
        <v>2510</v>
      </c>
      <c r="B1926" s="84" t="s">
        <v>72</v>
      </c>
      <c r="C1926" s="84" t="s">
        <v>283</v>
      </c>
      <c r="D1926" s="85">
        <v>56</v>
      </c>
      <c r="E1926" s="85">
        <v>877</v>
      </c>
      <c r="F1926" s="86">
        <v>112</v>
      </c>
      <c r="G1926" s="87">
        <v>12.770810000000001</v>
      </c>
    </row>
    <row r="1927" spans="1:7" x14ac:dyDescent="0.25">
      <c r="A1927" s="84" t="s">
        <v>1415</v>
      </c>
      <c r="B1927" s="84" t="s">
        <v>72</v>
      </c>
      <c r="C1927" s="84" t="s">
        <v>283</v>
      </c>
      <c r="D1927" s="85">
        <v>1149</v>
      </c>
      <c r="E1927" s="85">
        <v>32122</v>
      </c>
      <c r="F1927" s="86">
        <v>3683</v>
      </c>
      <c r="G1927" s="87">
        <v>11.465662</v>
      </c>
    </row>
    <row r="1928" spans="1:7" x14ac:dyDescent="0.25">
      <c r="A1928" s="84" t="s">
        <v>2511</v>
      </c>
      <c r="B1928" s="84" t="s">
        <v>72</v>
      </c>
      <c r="C1928" s="84" t="s">
        <v>283</v>
      </c>
      <c r="D1928" s="85">
        <v>370</v>
      </c>
      <c r="E1928" s="85">
        <v>4547</v>
      </c>
      <c r="F1928" s="86">
        <v>538.1</v>
      </c>
      <c r="G1928" s="87">
        <v>11.834175999999999</v>
      </c>
    </row>
    <row r="1929" spans="1:7" x14ac:dyDescent="0.25">
      <c r="A1929" s="84" t="s">
        <v>1416</v>
      </c>
      <c r="B1929" s="84" t="s">
        <v>72</v>
      </c>
      <c r="C1929" s="84" t="s">
        <v>283</v>
      </c>
      <c r="D1929" s="85">
        <v>1900</v>
      </c>
      <c r="E1929" s="85">
        <v>21358</v>
      </c>
      <c r="F1929" s="86">
        <v>3293</v>
      </c>
      <c r="G1929" s="87">
        <v>15.41811</v>
      </c>
    </row>
    <row r="1930" spans="1:7" x14ac:dyDescent="0.25">
      <c r="A1930" s="84" t="s">
        <v>2512</v>
      </c>
      <c r="B1930" s="84" t="s">
        <v>72</v>
      </c>
      <c r="C1930" s="84" t="s">
        <v>283</v>
      </c>
      <c r="D1930" s="85">
        <v>625</v>
      </c>
      <c r="E1930" s="85">
        <v>11541</v>
      </c>
      <c r="F1930" s="86">
        <v>1279</v>
      </c>
      <c r="G1930" s="87">
        <v>11.082229</v>
      </c>
    </row>
    <row r="1931" spans="1:7" x14ac:dyDescent="0.25">
      <c r="A1931" s="84" t="s">
        <v>1417</v>
      </c>
      <c r="B1931" s="84" t="s">
        <v>72</v>
      </c>
      <c r="C1931" s="84" t="s">
        <v>283</v>
      </c>
      <c r="D1931" s="85">
        <v>4300</v>
      </c>
      <c r="E1931" s="85">
        <v>226886</v>
      </c>
      <c r="F1931" s="86">
        <v>18051.5</v>
      </c>
      <c r="G1931" s="87">
        <v>7.9561982999999996</v>
      </c>
    </row>
    <row r="1932" spans="1:7" x14ac:dyDescent="0.25">
      <c r="A1932" s="84" t="s">
        <v>2513</v>
      </c>
      <c r="B1932" s="84" t="s">
        <v>72</v>
      </c>
      <c r="C1932" s="84" t="s">
        <v>283</v>
      </c>
      <c r="D1932" s="85">
        <v>237</v>
      </c>
      <c r="E1932" s="85">
        <v>3487</v>
      </c>
      <c r="F1932" s="86">
        <v>278.10000000000002</v>
      </c>
      <c r="G1932" s="87">
        <v>7.9753369999999997</v>
      </c>
    </row>
    <row r="1933" spans="1:7" x14ac:dyDescent="0.25">
      <c r="A1933" s="84" t="s">
        <v>2514</v>
      </c>
      <c r="B1933" s="84" t="s">
        <v>72</v>
      </c>
      <c r="C1933" s="84" t="s">
        <v>283</v>
      </c>
      <c r="D1933" s="85">
        <v>563</v>
      </c>
      <c r="E1933" s="85">
        <v>8110</v>
      </c>
      <c r="F1933" s="86">
        <v>866</v>
      </c>
      <c r="G1933" s="87">
        <v>10.678175</v>
      </c>
    </row>
    <row r="1934" spans="1:7" x14ac:dyDescent="0.25">
      <c r="A1934" s="84" t="s">
        <v>1418</v>
      </c>
      <c r="B1934" s="84" t="s">
        <v>72</v>
      </c>
      <c r="C1934" s="84" t="s">
        <v>283</v>
      </c>
      <c r="D1934" s="85">
        <v>1006</v>
      </c>
      <c r="E1934" s="85">
        <v>134019</v>
      </c>
      <c r="F1934" s="86">
        <v>6107</v>
      </c>
      <c r="G1934" s="87">
        <v>4.5568166000000003</v>
      </c>
    </row>
    <row r="1935" spans="1:7" x14ac:dyDescent="0.25">
      <c r="A1935" s="84" t="s">
        <v>1419</v>
      </c>
      <c r="B1935" s="84" t="s">
        <v>72</v>
      </c>
      <c r="C1935" s="84" t="s">
        <v>283</v>
      </c>
      <c r="D1935" s="85">
        <v>1624</v>
      </c>
      <c r="E1935" s="85">
        <v>28839</v>
      </c>
      <c r="F1935" s="86">
        <v>3526</v>
      </c>
      <c r="G1935" s="87">
        <v>12.226499</v>
      </c>
    </row>
    <row r="1936" spans="1:7" x14ac:dyDescent="0.25">
      <c r="A1936" s="84" t="s">
        <v>2515</v>
      </c>
      <c r="B1936" s="84" t="s">
        <v>72</v>
      </c>
      <c r="C1936" s="84" t="s">
        <v>283</v>
      </c>
      <c r="D1936" s="85">
        <v>1177</v>
      </c>
      <c r="E1936" s="85">
        <v>14641</v>
      </c>
      <c r="F1936" s="86">
        <v>2327</v>
      </c>
      <c r="G1936" s="87">
        <v>15.893723</v>
      </c>
    </row>
    <row r="1937" spans="1:7" x14ac:dyDescent="0.25">
      <c r="A1937" s="84" t="s">
        <v>1420</v>
      </c>
      <c r="B1937" s="84" t="s">
        <v>72</v>
      </c>
      <c r="C1937" s="84" t="s">
        <v>283</v>
      </c>
      <c r="D1937" s="85">
        <v>5795</v>
      </c>
      <c r="E1937" s="85">
        <v>148803</v>
      </c>
      <c r="F1937" s="86">
        <v>13683</v>
      </c>
      <c r="G1937" s="87">
        <v>9.1953791000000002</v>
      </c>
    </row>
    <row r="1938" spans="1:7" x14ac:dyDescent="0.25">
      <c r="A1938" s="84" t="s">
        <v>1421</v>
      </c>
      <c r="B1938" s="84" t="s">
        <v>72</v>
      </c>
      <c r="C1938" s="84" t="s">
        <v>283</v>
      </c>
      <c r="D1938" s="85">
        <v>1201</v>
      </c>
      <c r="E1938" s="85">
        <v>22575</v>
      </c>
      <c r="F1938" s="86">
        <v>1934</v>
      </c>
      <c r="G1938" s="87">
        <v>8.5669988999999998</v>
      </c>
    </row>
    <row r="1939" spans="1:7" x14ac:dyDescent="0.25">
      <c r="A1939" s="84" t="s">
        <v>2516</v>
      </c>
      <c r="B1939" s="84" t="s">
        <v>72</v>
      </c>
      <c r="C1939" s="84" t="s">
        <v>283</v>
      </c>
      <c r="D1939" s="85">
        <v>337</v>
      </c>
      <c r="E1939" s="85">
        <v>5171</v>
      </c>
      <c r="F1939" s="86">
        <v>546</v>
      </c>
      <c r="G1939" s="87">
        <v>10.558885999999999</v>
      </c>
    </row>
    <row r="1940" spans="1:7" x14ac:dyDescent="0.25">
      <c r="A1940" s="84" t="s">
        <v>1422</v>
      </c>
      <c r="B1940" s="84" t="s">
        <v>72</v>
      </c>
      <c r="C1940" s="84" t="s">
        <v>283</v>
      </c>
      <c r="D1940" s="85">
        <v>13466</v>
      </c>
      <c r="E1940" s="85">
        <v>295025</v>
      </c>
      <c r="F1940" s="86">
        <v>27414</v>
      </c>
      <c r="G1940" s="87">
        <v>9.2920938999999994</v>
      </c>
    </row>
    <row r="1941" spans="1:7" x14ac:dyDescent="0.25">
      <c r="A1941" s="84" t="s">
        <v>1423</v>
      </c>
      <c r="B1941" s="84" t="s">
        <v>72</v>
      </c>
      <c r="C1941" s="84" t="s">
        <v>283</v>
      </c>
      <c r="D1941" s="85">
        <v>1447</v>
      </c>
      <c r="E1941" s="85">
        <v>35257</v>
      </c>
      <c r="F1941" s="86">
        <v>3294</v>
      </c>
      <c r="G1941" s="87">
        <v>9.3428255</v>
      </c>
    </row>
    <row r="1942" spans="1:7" x14ac:dyDescent="0.25">
      <c r="A1942" s="84" t="s">
        <v>2517</v>
      </c>
      <c r="B1942" s="84" t="s">
        <v>72</v>
      </c>
      <c r="C1942" s="84" t="s">
        <v>283</v>
      </c>
      <c r="D1942" s="85">
        <v>686</v>
      </c>
      <c r="E1942" s="85">
        <v>15990</v>
      </c>
      <c r="F1942" s="86">
        <v>1989</v>
      </c>
      <c r="G1942" s="87">
        <v>12.439024</v>
      </c>
    </row>
    <row r="1943" spans="1:7" x14ac:dyDescent="0.25">
      <c r="A1943" s="84" t="s">
        <v>1424</v>
      </c>
      <c r="B1943" s="84" t="s">
        <v>72</v>
      </c>
      <c r="C1943" s="84" t="s">
        <v>283</v>
      </c>
      <c r="D1943" s="85">
        <v>1269</v>
      </c>
      <c r="E1943" s="85">
        <v>20439</v>
      </c>
      <c r="F1943" s="86">
        <v>1984</v>
      </c>
      <c r="G1943" s="87">
        <v>9.7069328000000006</v>
      </c>
    </row>
    <row r="1944" spans="1:7" x14ac:dyDescent="0.25">
      <c r="A1944" s="84" t="s">
        <v>2518</v>
      </c>
      <c r="B1944" s="84" t="s">
        <v>72</v>
      </c>
      <c r="C1944" s="84" t="s">
        <v>283</v>
      </c>
      <c r="D1944" s="85">
        <v>562</v>
      </c>
      <c r="E1944" s="85">
        <v>8376</v>
      </c>
      <c r="F1944" s="86">
        <v>812.5</v>
      </c>
      <c r="G1944" s="87">
        <v>9.7003342999999997</v>
      </c>
    </row>
    <row r="1945" spans="1:7" x14ac:dyDescent="0.25">
      <c r="A1945" s="84" t="s">
        <v>2519</v>
      </c>
      <c r="B1945" s="84" t="s">
        <v>72</v>
      </c>
      <c r="C1945" s="84" t="s">
        <v>283</v>
      </c>
      <c r="D1945" s="85">
        <v>696</v>
      </c>
      <c r="E1945" s="85">
        <v>11526</v>
      </c>
      <c r="F1945" s="86">
        <v>1563</v>
      </c>
      <c r="G1945" s="87">
        <v>13.560644999999999</v>
      </c>
    </row>
    <row r="1946" spans="1:7" x14ac:dyDescent="0.25">
      <c r="A1946" s="84" t="s">
        <v>2520</v>
      </c>
      <c r="B1946" s="84" t="s">
        <v>72</v>
      </c>
      <c r="C1946" s="84" t="s">
        <v>283</v>
      </c>
      <c r="D1946" s="85">
        <v>516</v>
      </c>
      <c r="E1946" s="85">
        <v>6498</v>
      </c>
      <c r="F1946" s="86">
        <v>861</v>
      </c>
      <c r="G1946" s="87">
        <v>13.250230999999999</v>
      </c>
    </row>
    <row r="1947" spans="1:7" x14ac:dyDescent="0.25">
      <c r="A1947" s="84" t="s">
        <v>1425</v>
      </c>
      <c r="B1947" s="84" t="s">
        <v>72</v>
      </c>
      <c r="C1947" s="84" t="s">
        <v>283</v>
      </c>
      <c r="D1947" s="85">
        <v>2628</v>
      </c>
      <c r="E1947" s="85">
        <v>144073</v>
      </c>
      <c r="F1947" s="86">
        <v>11738</v>
      </c>
      <c r="G1947" s="87">
        <v>8.1472587000000001</v>
      </c>
    </row>
    <row r="1948" spans="1:7" x14ac:dyDescent="0.25">
      <c r="A1948" s="84" t="s">
        <v>2521</v>
      </c>
      <c r="B1948" s="84" t="s">
        <v>72</v>
      </c>
      <c r="C1948" s="84" t="s">
        <v>283</v>
      </c>
      <c r="D1948" s="85">
        <v>544</v>
      </c>
      <c r="E1948" s="85">
        <v>8935</v>
      </c>
      <c r="F1948" s="86">
        <v>1100.5</v>
      </c>
      <c r="G1948" s="87">
        <v>12.316732</v>
      </c>
    </row>
    <row r="1949" spans="1:7" x14ac:dyDescent="0.25">
      <c r="A1949" s="84" t="s">
        <v>1426</v>
      </c>
      <c r="B1949" s="84" t="s">
        <v>72</v>
      </c>
      <c r="C1949" s="84" t="s">
        <v>283</v>
      </c>
      <c r="D1949" s="85">
        <v>3432</v>
      </c>
      <c r="E1949" s="85">
        <v>95109</v>
      </c>
      <c r="F1949" s="86">
        <v>9602</v>
      </c>
      <c r="G1949" s="87">
        <v>10.095784999999999</v>
      </c>
    </row>
    <row r="1950" spans="1:7" x14ac:dyDescent="0.25">
      <c r="A1950" s="84" t="s">
        <v>1427</v>
      </c>
      <c r="B1950" s="84" t="s">
        <v>72</v>
      </c>
      <c r="C1950" s="84" t="s">
        <v>283</v>
      </c>
      <c r="D1950" s="85">
        <v>4947</v>
      </c>
      <c r="E1950" s="85">
        <v>72623</v>
      </c>
      <c r="F1950" s="86">
        <v>9127</v>
      </c>
      <c r="G1950" s="87">
        <v>12.567644</v>
      </c>
    </row>
    <row r="1951" spans="1:7" x14ac:dyDescent="0.25">
      <c r="A1951" s="84" t="s">
        <v>2522</v>
      </c>
      <c r="B1951" s="84" t="s">
        <v>72</v>
      </c>
      <c r="C1951" s="84" t="s">
        <v>283</v>
      </c>
      <c r="D1951" s="85">
        <v>210</v>
      </c>
      <c r="E1951" s="85">
        <v>7835</v>
      </c>
      <c r="F1951" s="86">
        <v>721.8</v>
      </c>
      <c r="G1951" s="87">
        <v>9.2125079999999997</v>
      </c>
    </row>
    <row r="1952" spans="1:7" x14ac:dyDescent="0.25">
      <c r="A1952" s="84" t="s">
        <v>1428</v>
      </c>
      <c r="B1952" s="84" t="s">
        <v>72</v>
      </c>
      <c r="C1952" s="84" t="s">
        <v>283</v>
      </c>
      <c r="D1952" s="85">
        <v>5748</v>
      </c>
      <c r="E1952" s="85">
        <v>222940</v>
      </c>
      <c r="F1952" s="86">
        <v>21417.1</v>
      </c>
      <c r="G1952" s="87">
        <v>9.6066655000000001</v>
      </c>
    </row>
    <row r="1953" spans="1:7" x14ac:dyDescent="0.25">
      <c r="A1953" s="84" t="s">
        <v>2523</v>
      </c>
      <c r="B1953" s="84" t="s">
        <v>72</v>
      </c>
      <c r="C1953" s="84" t="s">
        <v>283</v>
      </c>
      <c r="D1953" s="85">
        <v>315</v>
      </c>
      <c r="E1953" s="85">
        <v>5825</v>
      </c>
      <c r="F1953" s="86">
        <v>678.7</v>
      </c>
      <c r="G1953" s="87">
        <v>11.651502000000001</v>
      </c>
    </row>
    <row r="1954" spans="1:7" x14ac:dyDescent="0.25">
      <c r="A1954" s="84" t="s">
        <v>1429</v>
      </c>
      <c r="B1954" s="84" t="s">
        <v>72</v>
      </c>
      <c r="C1954" s="84" t="s">
        <v>283</v>
      </c>
      <c r="D1954" s="85">
        <v>1250</v>
      </c>
      <c r="E1954" s="85">
        <v>26157</v>
      </c>
      <c r="F1954" s="86">
        <v>2630</v>
      </c>
      <c r="G1954" s="87">
        <v>10.05467</v>
      </c>
    </row>
    <row r="1955" spans="1:7" x14ac:dyDescent="0.25">
      <c r="A1955" s="84" t="s">
        <v>2524</v>
      </c>
      <c r="B1955" s="84" t="s">
        <v>72</v>
      </c>
      <c r="C1955" s="84" t="s">
        <v>283</v>
      </c>
      <c r="D1955" s="85">
        <v>275</v>
      </c>
      <c r="E1955" s="85">
        <v>3579</v>
      </c>
      <c r="F1955" s="86">
        <v>408.9</v>
      </c>
      <c r="G1955" s="87">
        <v>11.424979</v>
      </c>
    </row>
    <row r="1956" spans="1:7" x14ac:dyDescent="0.25">
      <c r="A1956" s="84" t="s">
        <v>2525</v>
      </c>
      <c r="B1956" s="84" t="s">
        <v>72</v>
      </c>
      <c r="C1956" s="84" t="s">
        <v>283</v>
      </c>
      <c r="D1956" s="85">
        <v>658</v>
      </c>
      <c r="E1956" s="85">
        <v>11219</v>
      </c>
      <c r="F1956" s="86">
        <v>1282</v>
      </c>
      <c r="G1956" s="87">
        <v>11.427042999999999</v>
      </c>
    </row>
    <row r="1957" spans="1:7" x14ac:dyDescent="0.25">
      <c r="A1957" s="84" t="s">
        <v>2526</v>
      </c>
      <c r="B1957" s="84" t="s">
        <v>72</v>
      </c>
      <c r="C1957" s="84" t="s">
        <v>283</v>
      </c>
      <c r="D1957" s="85">
        <v>413</v>
      </c>
      <c r="E1957" s="85">
        <v>5538</v>
      </c>
      <c r="F1957" s="86">
        <v>882</v>
      </c>
      <c r="G1957" s="87">
        <v>15.926327000000001</v>
      </c>
    </row>
    <row r="1958" spans="1:7" x14ac:dyDescent="0.25">
      <c r="A1958" s="84" t="s">
        <v>1430</v>
      </c>
      <c r="B1958" s="84" t="s">
        <v>72</v>
      </c>
      <c r="C1958" s="84" t="s">
        <v>283</v>
      </c>
      <c r="D1958" s="85">
        <v>1302</v>
      </c>
      <c r="E1958" s="85">
        <v>24586</v>
      </c>
      <c r="F1958" s="86">
        <v>2578.4</v>
      </c>
      <c r="G1958" s="87">
        <v>10.487269</v>
      </c>
    </row>
    <row r="1959" spans="1:7" x14ac:dyDescent="0.25">
      <c r="A1959" s="84" t="s">
        <v>2527</v>
      </c>
      <c r="B1959" s="84" t="s">
        <v>72</v>
      </c>
      <c r="C1959" s="84" t="s">
        <v>283</v>
      </c>
      <c r="D1959" s="85">
        <v>1028</v>
      </c>
      <c r="E1959" s="85">
        <v>16178</v>
      </c>
      <c r="F1959" s="86">
        <v>1714</v>
      </c>
      <c r="G1959" s="87">
        <v>10.594635</v>
      </c>
    </row>
    <row r="1960" spans="1:7" x14ac:dyDescent="0.25">
      <c r="A1960" s="84" t="s">
        <v>1431</v>
      </c>
      <c r="B1960" s="84" t="s">
        <v>72</v>
      </c>
      <c r="C1960" s="84" t="s">
        <v>283</v>
      </c>
      <c r="D1960" s="85">
        <v>1186</v>
      </c>
      <c r="E1960" s="85">
        <v>19234</v>
      </c>
      <c r="F1960" s="86">
        <v>1997</v>
      </c>
      <c r="G1960" s="87">
        <v>10.382656000000001</v>
      </c>
    </row>
    <row r="1961" spans="1:7" x14ac:dyDescent="0.25">
      <c r="A1961" s="84" t="s">
        <v>1432</v>
      </c>
      <c r="B1961" s="84" t="s">
        <v>72</v>
      </c>
      <c r="C1961" s="84" t="s">
        <v>283</v>
      </c>
      <c r="D1961" s="85">
        <v>1026</v>
      </c>
      <c r="E1961" s="85">
        <v>26636</v>
      </c>
      <c r="F1961" s="86">
        <v>2934.7</v>
      </c>
      <c r="G1961" s="87">
        <v>11.017795</v>
      </c>
    </row>
    <row r="1962" spans="1:7" x14ac:dyDescent="0.25">
      <c r="A1962" s="84" t="s">
        <v>2528</v>
      </c>
      <c r="B1962" s="84" t="s">
        <v>72</v>
      </c>
      <c r="C1962" s="84" t="s">
        <v>283</v>
      </c>
      <c r="D1962" s="85">
        <v>539</v>
      </c>
      <c r="E1962" s="85">
        <v>5965</v>
      </c>
      <c r="F1962" s="86">
        <v>670.4</v>
      </c>
      <c r="G1962" s="87">
        <v>11.238894</v>
      </c>
    </row>
    <row r="1963" spans="1:7" x14ac:dyDescent="0.25">
      <c r="A1963" s="84" t="s">
        <v>1433</v>
      </c>
      <c r="B1963" s="84" t="s">
        <v>72</v>
      </c>
      <c r="C1963" s="84" t="s">
        <v>283</v>
      </c>
      <c r="D1963" s="85">
        <v>2199</v>
      </c>
      <c r="E1963" s="85">
        <v>49062</v>
      </c>
      <c r="F1963" s="86">
        <v>4636.8999999999996</v>
      </c>
      <c r="G1963" s="87">
        <v>9.4511026999999999</v>
      </c>
    </row>
    <row r="1964" spans="1:7" x14ac:dyDescent="0.25">
      <c r="A1964" s="84" t="s">
        <v>1434</v>
      </c>
      <c r="B1964" s="84" t="s">
        <v>72</v>
      </c>
      <c r="C1964" s="84" t="s">
        <v>283</v>
      </c>
      <c r="D1964" s="85">
        <v>2405</v>
      </c>
      <c r="E1964" s="85">
        <v>72135</v>
      </c>
      <c r="F1964" s="86">
        <v>5419</v>
      </c>
      <c r="G1964" s="87">
        <v>7.5123033000000001</v>
      </c>
    </row>
    <row r="1965" spans="1:7" x14ac:dyDescent="0.25">
      <c r="A1965" s="84" t="s">
        <v>1435</v>
      </c>
      <c r="B1965" s="84" t="s">
        <v>72</v>
      </c>
      <c r="C1965" s="84" t="s">
        <v>283</v>
      </c>
      <c r="D1965" s="85">
        <v>684</v>
      </c>
      <c r="E1965" s="85">
        <v>49338</v>
      </c>
      <c r="F1965" s="86">
        <v>3730</v>
      </c>
      <c r="G1965" s="87">
        <v>7.5600956999999998</v>
      </c>
    </row>
    <row r="1966" spans="1:7" x14ac:dyDescent="0.25">
      <c r="A1966" s="84" t="s">
        <v>1436</v>
      </c>
      <c r="B1966" s="84" t="s">
        <v>72</v>
      </c>
      <c r="C1966" s="84" t="s">
        <v>283</v>
      </c>
      <c r="D1966" s="85">
        <v>2652</v>
      </c>
      <c r="E1966" s="85">
        <v>66232</v>
      </c>
      <c r="F1966" s="86">
        <v>7781</v>
      </c>
      <c r="G1966" s="87">
        <v>11.748098000000001</v>
      </c>
    </row>
    <row r="1967" spans="1:7" x14ac:dyDescent="0.25">
      <c r="A1967" s="84" t="s">
        <v>1437</v>
      </c>
      <c r="B1967" s="84" t="s">
        <v>72</v>
      </c>
      <c r="C1967" s="84" t="s">
        <v>283</v>
      </c>
      <c r="D1967" s="85">
        <v>1900</v>
      </c>
      <c r="E1967" s="85">
        <v>52200</v>
      </c>
      <c r="F1967" s="86">
        <v>6657</v>
      </c>
      <c r="G1967" s="87">
        <v>12.752874</v>
      </c>
    </row>
    <row r="1968" spans="1:7" x14ac:dyDescent="0.25">
      <c r="A1968" s="84" t="s">
        <v>2529</v>
      </c>
      <c r="B1968" s="84" t="s">
        <v>72</v>
      </c>
      <c r="C1968" s="84" t="s">
        <v>283</v>
      </c>
      <c r="D1968" s="85">
        <v>1002</v>
      </c>
      <c r="E1968" s="85">
        <v>17308</v>
      </c>
      <c r="F1968" s="86">
        <v>1509</v>
      </c>
      <c r="G1968" s="87">
        <v>8.7185117000000005</v>
      </c>
    </row>
    <row r="1969" spans="1:7" x14ac:dyDescent="0.25">
      <c r="A1969" s="84" t="s">
        <v>2530</v>
      </c>
      <c r="B1969" s="84" t="s">
        <v>72</v>
      </c>
      <c r="C1969" s="84" t="s">
        <v>283</v>
      </c>
      <c r="D1969" s="85">
        <v>713</v>
      </c>
      <c r="E1969" s="85">
        <v>14962</v>
      </c>
      <c r="F1969" s="86">
        <v>1621</v>
      </c>
      <c r="G1969" s="87">
        <v>10.834113</v>
      </c>
    </row>
    <row r="1970" spans="1:7" x14ac:dyDescent="0.25">
      <c r="A1970" s="84" t="s">
        <v>2531</v>
      </c>
      <c r="B1970" s="84" t="s">
        <v>72</v>
      </c>
      <c r="C1970" s="84" t="s">
        <v>283</v>
      </c>
      <c r="D1970" s="85">
        <v>722</v>
      </c>
      <c r="E1970" s="85">
        <v>13966</v>
      </c>
      <c r="F1970" s="86">
        <v>1307</v>
      </c>
      <c r="G1970" s="87">
        <v>9.3584419000000008</v>
      </c>
    </row>
    <row r="1971" spans="1:7" x14ac:dyDescent="0.25">
      <c r="A1971" s="84" t="s">
        <v>2532</v>
      </c>
      <c r="B1971" s="84" t="s">
        <v>72</v>
      </c>
      <c r="C1971" s="84" t="s">
        <v>283</v>
      </c>
      <c r="D1971" s="85">
        <v>843</v>
      </c>
      <c r="E1971" s="85">
        <v>11271</v>
      </c>
      <c r="F1971" s="86">
        <v>1165.2</v>
      </c>
      <c r="G1971" s="87">
        <v>10.338036000000001</v>
      </c>
    </row>
    <row r="1972" spans="1:7" x14ac:dyDescent="0.25">
      <c r="A1972" s="84" t="s">
        <v>1438</v>
      </c>
      <c r="B1972" s="84" t="s">
        <v>72</v>
      </c>
      <c r="C1972" s="84" t="s">
        <v>385</v>
      </c>
      <c r="D1972" s="85">
        <v>10045</v>
      </c>
      <c r="E1972" s="85">
        <v>377275</v>
      </c>
      <c r="F1972" s="86">
        <v>35923.9</v>
      </c>
      <c r="G1972" s="87">
        <v>9.5219401999999995</v>
      </c>
    </row>
    <row r="1973" spans="1:7" x14ac:dyDescent="0.25">
      <c r="A1973" s="84" t="s">
        <v>1439</v>
      </c>
      <c r="B1973" s="84" t="s">
        <v>72</v>
      </c>
      <c r="C1973" s="84" t="s">
        <v>283</v>
      </c>
      <c r="D1973" s="85">
        <v>2073</v>
      </c>
      <c r="E1973" s="85">
        <v>49756</v>
      </c>
      <c r="F1973" s="86">
        <v>4824.8</v>
      </c>
      <c r="G1973" s="87">
        <v>9.6969209999999997</v>
      </c>
    </row>
    <row r="1974" spans="1:7" x14ac:dyDescent="0.25">
      <c r="A1974" s="84" t="s">
        <v>1440</v>
      </c>
      <c r="B1974" s="84" t="s">
        <v>72</v>
      </c>
      <c r="C1974" s="84" t="s">
        <v>385</v>
      </c>
      <c r="D1974" s="85">
        <v>3840</v>
      </c>
      <c r="E1974" s="85">
        <v>103285</v>
      </c>
      <c r="F1974" s="86">
        <v>10574.5</v>
      </c>
      <c r="G1974" s="87">
        <v>10.238175999999999</v>
      </c>
    </row>
    <row r="1975" spans="1:7" x14ac:dyDescent="0.25">
      <c r="A1975" s="84" t="s">
        <v>1441</v>
      </c>
      <c r="B1975" s="84" t="s">
        <v>72</v>
      </c>
      <c r="C1975" s="84" t="s">
        <v>385</v>
      </c>
      <c r="D1975" s="85">
        <v>10800</v>
      </c>
      <c r="E1975" s="85">
        <v>168532</v>
      </c>
      <c r="F1975" s="86">
        <v>25963</v>
      </c>
      <c r="G1975" s="87">
        <v>15.405383</v>
      </c>
    </row>
    <row r="1976" spans="1:7" x14ac:dyDescent="0.25">
      <c r="A1976" s="84" t="s">
        <v>1442</v>
      </c>
      <c r="B1976" s="84" t="s">
        <v>72</v>
      </c>
      <c r="C1976" s="84" t="s">
        <v>385</v>
      </c>
      <c r="D1976" s="85">
        <v>23165</v>
      </c>
      <c r="E1976" s="85">
        <v>482810</v>
      </c>
      <c r="F1976" s="86">
        <v>56376.7</v>
      </c>
      <c r="G1976" s="87">
        <v>11.676788</v>
      </c>
    </row>
    <row r="1977" spans="1:7" x14ac:dyDescent="0.25">
      <c r="A1977" s="84" t="s">
        <v>1443</v>
      </c>
      <c r="B1977" s="84" t="s">
        <v>72</v>
      </c>
      <c r="C1977" s="84" t="s">
        <v>385</v>
      </c>
      <c r="D1977" s="85">
        <v>9790</v>
      </c>
      <c r="E1977" s="85">
        <v>258536</v>
      </c>
      <c r="F1977" s="86">
        <v>27576</v>
      </c>
      <c r="G1977" s="87">
        <v>10.666213000000001</v>
      </c>
    </row>
    <row r="1978" spans="1:7" x14ac:dyDescent="0.25">
      <c r="A1978" s="84" t="s">
        <v>485</v>
      </c>
      <c r="B1978" s="84" t="s">
        <v>72</v>
      </c>
      <c r="C1978" s="84" t="s">
        <v>281</v>
      </c>
      <c r="D1978" s="85">
        <v>2966</v>
      </c>
      <c r="E1978" s="85">
        <v>92255</v>
      </c>
      <c r="F1978" s="86">
        <v>11682</v>
      </c>
      <c r="G1978" s="87">
        <v>12.662728</v>
      </c>
    </row>
    <row r="1979" spans="1:7" x14ac:dyDescent="0.25">
      <c r="A1979" s="84" t="s">
        <v>486</v>
      </c>
      <c r="B1979" s="84" t="s">
        <v>72</v>
      </c>
      <c r="C1979" s="84" t="s">
        <v>281</v>
      </c>
      <c r="D1979" s="85">
        <v>1989</v>
      </c>
      <c r="E1979" s="85">
        <v>68137</v>
      </c>
      <c r="F1979" s="86">
        <v>9117.7999999999993</v>
      </c>
      <c r="G1979" s="87">
        <v>13.381569000000001</v>
      </c>
    </row>
    <row r="1980" spans="1:7" x14ac:dyDescent="0.25">
      <c r="A1980" s="84" t="s">
        <v>1444</v>
      </c>
      <c r="B1980" s="84" t="s">
        <v>72</v>
      </c>
      <c r="C1980" s="84" t="s">
        <v>385</v>
      </c>
      <c r="D1980" s="85">
        <v>5565</v>
      </c>
      <c r="E1980" s="85">
        <v>75742</v>
      </c>
      <c r="F1980" s="86">
        <v>10234</v>
      </c>
      <c r="G1980" s="87">
        <v>13.511658000000001</v>
      </c>
    </row>
    <row r="1981" spans="1:7" x14ac:dyDescent="0.25">
      <c r="A1981" s="84" t="s">
        <v>1445</v>
      </c>
      <c r="B1981" s="84" t="s">
        <v>72</v>
      </c>
      <c r="C1981" s="84" t="s">
        <v>385</v>
      </c>
      <c r="D1981" s="85">
        <v>4851</v>
      </c>
      <c r="E1981" s="85">
        <v>81264</v>
      </c>
      <c r="F1981" s="86">
        <v>11901</v>
      </c>
      <c r="G1981" s="87">
        <v>14.644861000000001</v>
      </c>
    </row>
    <row r="1982" spans="1:7" x14ac:dyDescent="0.25">
      <c r="A1982" s="84" t="s">
        <v>1446</v>
      </c>
      <c r="B1982" s="84" t="s">
        <v>72</v>
      </c>
      <c r="C1982" s="84" t="s">
        <v>281</v>
      </c>
      <c r="D1982" s="85">
        <v>251</v>
      </c>
      <c r="E1982" s="85">
        <v>5702</v>
      </c>
      <c r="F1982" s="86">
        <v>707.4</v>
      </c>
      <c r="G1982" s="87">
        <v>12.406173000000001</v>
      </c>
    </row>
    <row r="1983" spans="1:7" x14ac:dyDescent="0.25">
      <c r="A1983" s="84" t="s">
        <v>1447</v>
      </c>
      <c r="B1983" s="84" t="s">
        <v>72</v>
      </c>
      <c r="C1983" s="84" t="s">
        <v>283</v>
      </c>
      <c r="D1983" s="85">
        <v>141650</v>
      </c>
      <c r="E1983" s="85">
        <v>3187004</v>
      </c>
      <c r="F1983" s="86">
        <v>268655.8</v>
      </c>
      <c r="G1983" s="87">
        <v>8.429729</v>
      </c>
    </row>
    <row r="1984" spans="1:7" x14ac:dyDescent="0.25">
      <c r="A1984" s="84" t="s">
        <v>1448</v>
      </c>
      <c r="B1984" s="84" t="s">
        <v>72</v>
      </c>
      <c r="C1984" s="84" t="s">
        <v>385</v>
      </c>
      <c r="D1984" s="85">
        <v>19815</v>
      </c>
      <c r="E1984" s="85">
        <v>1119703</v>
      </c>
      <c r="F1984" s="86">
        <v>88307.3</v>
      </c>
      <c r="G1984" s="87">
        <v>7.8866717</v>
      </c>
    </row>
    <row r="1985" spans="1:7" x14ac:dyDescent="0.25">
      <c r="A1985" s="84" t="s">
        <v>1449</v>
      </c>
      <c r="B1985" s="84" t="s">
        <v>72</v>
      </c>
      <c r="C1985" s="84" t="s">
        <v>385</v>
      </c>
      <c r="D1985" s="85">
        <v>5695</v>
      </c>
      <c r="E1985" s="85">
        <v>112726</v>
      </c>
      <c r="F1985" s="86">
        <v>13400</v>
      </c>
      <c r="G1985" s="87">
        <v>11.887231</v>
      </c>
    </row>
    <row r="1986" spans="1:7" x14ac:dyDescent="0.25">
      <c r="A1986" s="84" t="s">
        <v>1450</v>
      </c>
      <c r="B1986" s="84" t="s">
        <v>72</v>
      </c>
      <c r="C1986" s="84" t="s">
        <v>385</v>
      </c>
      <c r="D1986" s="85">
        <v>5038</v>
      </c>
      <c r="E1986" s="85">
        <v>183367</v>
      </c>
      <c r="F1986" s="86">
        <v>17277.3</v>
      </c>
      <c r="G1986" s="87">
        <v>9.4222515999999992</v>
      </c>
    </row>
    <row r="1987" spans="1:7" x14ac:dyDescent="0.25">
      <c r="A1987" s="84" t="s">
        <v>1451</v>
      </c>
      <c r="B1987" s="84" t="s">
        <v>72</v>
      </c>
      <c r="C1987" s="84" t="s">
        <v>281</v>
      </c>
      <c r="D1987" s="85">
        <v>6546</v>
      </c>
      <c r="E1987" s="85">
        <v>179520</v>
      </c>
      <c r="F1987" s="86">
        <v>25027.8</v>
      </c>
      <c r="G1987" s="87">
        <v>13.941511</v>
      </c>
    </row>
    <row r="1988" spans="1:7" x14ac:dyDescent="0.25">
      <c r="A1988" s="84" t="s">
        <v>1452</v>
      </c>
      <c r="B1988" s="84" t="s">
        <v>72</v>
      </c>
      <c r="C1988" s="84" t="s">
        <v>385</v>
      </c>
      <c r="D1988" s="85">
        <v>90352</v>
      </c>
      <c r="E1988" s="85">
        <v>3167286</v>
      </c>
      <c r="F1988" s="86">
        <v>244528</v>
      </c>
      <c r="G1988" s="87">
        <v>7.7204268999999996</v>
      </c>
    </row>
    <row r="1989" spans="1:7" x14ac:dyDescent="0.25">
      <c r="A1989" s="84" t="s">
        <v>2533</v>
      </c>
      <c r="B1989" s="84" t="s">
        <v>72</v>
      </c>
      <c r="C1989" s="84" t="s">
        <v>281</v>
      </c>
      <c r="D1989" s="85">
        <v>915</v>
      </c>
      <c r="E1989" s="85">
        <v>8405</v>
      </c>
      <c r="F1989" s="86">
        <v>1396</v>
      </c>
      <c r="G1989" s="87">
        <v>16.609161</v>
      </c>
    </row>
    <row r="1990" spans="1:7" x14ac:dyDescent="0.25">
      <c r="A1990" s="84" t="s">
        <v>1453</v>
      </c>
      <c r="B1990" s="84" t="s">
        <v>72</v>
      </c>
      <c r="C1990" s="84" t="s">
        <v>281</v>
      </c>
      <c r="D1990" s="85">
        <v>6230</v>
      </c>
      <c r="E1990" s="85">
        <v>115117</v>
      </c>
      <c r="F1990" s="86">
        <v>13388.4</v>
      </c>
      <c r="G1990" s="87">
        <v>11.630254000000001</v>
      </c>
    </row>
    <row r="1991" spans="1:7" x14ac:dyDescent="0.25">
      <c r="A1991" s="84" t="s">
        <v>1454</v>
      </c>
      <c r="B1991" s="84" t="s">
        <v>72</v>
      </c>
      <c r="C1991" s="84" t="s">
        <v>385</v>
      </c>
      <c r="D1991" s="85">
        <v>24538</v>
      </c>
      <c r="E1991" s="85">
        <v>943196</v>
      </c>
      <c r="F1991" s="86">
        <v>78315.5</v>
      </c>
      <c r="G1991" s="87">
        <v>8.3032053000000001</v>
      </c>
    </row>
    <row r="1992" spans="1:7" x14ac:dyDescent="0.25">
      <c r="A1992" s="84" t="s">
        <v>1455</v>
      </c>
      <c r="B1992" s="84" t="s">
        <v>72</v>
      </c>
      <c r="C1992" s="84" t="s">
        <v>385</v>
      </c>
      <c r="D1992" s="85">
        <v>6623</v>
      </c>
      <c r="E1992" s="85">
        <v>125572</v>
      </c>
      <c r="F1992" s="86">
        <v>16017.5</v>
      </c>
      <c r="G1992" s="87">
        <v>12.75563</v>
      </c>
    </row>
    <row r="1993" spans="1:7" x14ac:dyDescent="0.25">
      <c r="A1993" s="84" t="s">
        <v>1456</v>
      </c>
      <c r="B1993" s="84" t="s">
        <v>72</v>
      </c>
      <c r="C1993" s="84" t="s">
        <v>385</v>
      </c>
      <c r="D1993" s="85">
        <v>8403</v>
      </c>
      <c r="E1993" s="85">
        <v>351449</v>
      </c>
      <c r="F1993" s="86">
        <v>28865</v>
      </c>
      <c r="G1993" s="87">
        <v>8.2131404999999997</v>
      </c>
    </row>
    <row r="1994" spans="1:7" x14ac:dyDescent="0.25">
      <c r="A1994" s="84" t="s">
        <v>1457</v>
      </c>
      <c r="B1994" s="84" t="s">
        <v>72</v>
      </c>
      <c r="C1994" s="84" t="s">
        <v>385</v>
      </c>
      <c r="D1994" s="85">
        <v>3352</v>
      </c>
      <c r="E1994" s="85">
        <v>53632</v>
      </c>
      <c r="F1994" s="86">
        <v>9103</v>
      </c>
      <c r="G1994" s="87">
        <v>16.973075999999999</v>
      </c>
    </row>
    <row r="1995" spans="1:7" x14ac:dyDescent="0.25">
      <c r="A1995" s="84" t="s">
        <v>1458</v>
      </c>
      <c r="B1995" s="84" t="s">
        <v>72</v>
      </c>
      <c r="C1995" s="84" t="s">
        <v>385</v>
      </c>
      <c r="D1995" s="85">
        <v>384501</v>
      </c>
      <c r="E1995" s="85">
        <v>10919803</v>
      </c>
      <c r="F1995" s="86">
        <v>971913</v>
      </c>
      <c r="G1995" s="87">
        <v>8.9004627999999997</v>
      </c>
    </row>
    <row r="1996" spans="1:7" x14ac:dyDescent="0.25">
      <c r="A1996" s="84" t="s">
        <v>1459</v>
      </c>
      <c r="B1996" s="84" t="s">
        <v>72</v>
      </c>
      <c r="C1996" s="84" t="s">
        <v>281</v>
      </c>
      <c r="D1996" s="85">
        <v>3782</v>
      </c>
      <c r="E1996" s="85">
        <v>71327</v>
      </c>
      <c r="F1996" s="86">
        <v>12131.9</v>
      </c>
      <c r="G1996" s="87">
        <v>17.008846999999999</v>
      </c>
    </row>
    <row r="1997" spans="1:7" x14ac:dyDescent="0.25">
      <c r="A1997" s="84" t="s">
        <v>1460</v>
      </c>
      <c r="B1997" s="84" t="s">
        <v>72</v>
      </c>
      <c r="C1997" s="84" t="s">
        <v>385</v>
      </c>
      <c r="D1997" s="85">
        <v>7520</v>
      </c>
      <c r="E1997" s="85">
        <v>335573</v>
      </c>
      <c r="F1997" s="86">
        <v>27264</v>
      </c>
      <c r="G1997" s="87">
        <v>8.1246106999999999</v>
      </c>
    </row>
    <row r="1998" spans="1:7" x14ac:dyDescent="0.25">
      <c r="A1998" s="84" t="s">
        <v>1461</v>
      </c>
      <c r="B1998" s="84" t="s">
        <v>72</v>
      </c>
      <c r="C1998" s="84" t="s">
        <v>385</v>
      </c>
      <c r="D1998" s="85">
        <v>4725</v>
      </c>
      <c r="E1998" s="85">
        <v>81102</v>
      </c>
      <c r="F1998" s="86">
        <v>10733.3</v>
      </c>
      <c r="G1998" s="87">
        <v>13.234322000000001</v>
      </c>
    </row>
    <row r="1999" spans="1:7" x14ac:dyDescent="0.25">
      <c r="A1999" s="84" t="s">
        <v>1462</v>
      </c>
      <c r="B1999" s="84" t="s">
        <v>72</v>
      </c>
      <c r="C1999" s="84" t="s">
        <v>385</v>
      </c>
      <c r="D1999" s="85">
        <v>3359</v>
      </c>
      <c r="E1999" s="85">
        <v>56075</v>
      </c>
      <c r="F1999" s="86">
        <v>7456</v>
      </c>
      <c r="G1999" s="87">
        <v>13.296478</v>
      </c>
    </row>
    <row r="2000" spans="1:7" x14ac:dyDescent="0.25">
      <c r="A2000" s="84" t="s">
        <v>1463</v>
      </c>
      <c r="B2000" s="84" t="s">
        <v>72</v>
      </c>
      <c r="C2000" s="84" t="s">
        <v>385</v>
      </c>
      <c r="D2000" s="85">
        <v>8260</v>
      </c>
      <c r="E2000" s="85">
        <v>157450</v>
      </c>
      <c r="F2000" s="86">
        <v>16250.1</v>
      </c>
      <c r="G2000" s="87">
        <v>10.3208</v>
      </c>
    </row>
    <row r="2001" spans="1:7" x14ac:dyDescent="0.25">
      <c r="A2001" s="84" t="s">
        <v>1464</v>
      </c>
      <c r="B2001" s="84" t="s">
        <v>72</v>
      </c>
      <c r="C2001" s="84" t="s">
        <v>385</v>
      </c>
      <c r="D2001" s="85">
        <v>27241</v>
      </c>
      <c r="E2001" s="85">
        <v>980093</v>
      </c>
      <c r="F2001" s="86">
        <v>85612.1</v>
      </c>
      <c r="G2001" s="87">
        <v>8.7350995999999999</v>
      </c>
    </row>
    <row r="2002" spans="1:7" x14ac:dyDescent="0.25">
      <c r="A2002" s="84" t="s">
        <v>1465</v>
      </c>
      <c r="B2002" s="84" t="s">
        <v>72</v>
      </c>
      <c r="C2002" s="84" t="s">
        <v>385</v>
      </c>
      <c r="D2002" s="85">
        <v>6233</v>
      </c>
      <c r="E2002" s="85">
        <v>200057</v>
      </c>
      <c r="F2002" s="86">
        <v>20359.599999999999</v>
      </c>
      <c r="G2002" s="87">
        <v>10.1769</v>
      </c>
    </row>
    <row r="2003" spans="1:7" x14ac:dyDescent="0.25">
      <c r="A2003" s="84" t="s">
        <v>1466</v>
      </c>
      <c r="B2003" s="84" t="s">
        <v>72</v>
      </c>
      <c r="C2003" s="84" t="s">
        <v>385</v>
      </c>
      <c r="D2003" s="85">
        <v>2708</v>
      </c>
      <c r="E2003" s="85">
        <v>147100</v>
      </c>
      <c r="F2003" s="86">
        <v>13046.8</v>
      </c>
      <c r="G2003" s="87">
        <v>8.8693405999999992</v>
      </c>
    </row>
    <row r="2004" spans="1:7" x14ac:dyDescent="0.25">
      <c r="A2004" s="84" t="s">
        <v>1467</v>
      </c>
      <c r="B2004" s="84" t="s">
        <v>72</v>
      </c>
      <c r="C2004" s="84" t="s">
        <v>385</v>
      </c>
      <c r="D2004" s="85">
        <v>6565</v>
      </c>
      <c r="E2004" s="85">
        <v>96374</v>
      </c>
      <c r="F2004" s="86">
        <v>12811</v>
      </c>
      <c r="G2004" s="87">
        <v>13.293004</v>
      </c>
    </row>
    <row r="2005" spans="1:7" x14ac:dyDescent="0.25">
      <c r="A2005" s="84" t="s">
        <v>2534</v>
      </c>
      <c r="B2005" s="84" t="s">
        <v>72</v>
      </c>
      <c r="C2005" s="84" t="s">
        <v>283</v>
      </c>
      <c r="D2005" s="85">
        <v>490</v>
      </c>
      <c r="E2005" s="85">
        <v>6051</v>
      </c>
      <c r="F2005" s="86">
        <v>900</v>
      </c>
      <c r="G2005" s="87">
        <v>14.873575000000001</v>
      </c>
    </row>
    <row r="2006" spans="1:7" x14ac:dyDescent="0.25">
      <c r="A2006" s="84" t="s">
        <v>2535</v>
      </c>
      <c r="B2006" s="84" t="s">
        <v>72</v>
      </c>
      <c r="C2006" s="84" t="s">
        <v>283</v>
      </c>
      <c r="D2006" s="85">
        <v>180</v>
      </c>
      <c r="E2006" s="85">
        <v>4774</v>
      </c>
      <c r="F2006" s="86">
        <v>700.5</v>
      </c>
      <c r="G2006" s="87">
        <v>14.67323</v>
      </c>
    </row>
    <row r="2007" spans="1:7" x14ac:dyDescent="0.25">
      <c r="A2007" s="84" t="s">
        <v>2536</v>
      </c>
      <c r="B2007" s="84" t="s">
        <v>72</v>
      </c>
      <c r="C2007" s="84" t="s">
        <v>283</v>
      </c>
      <c r="D2007" s="85">
        <v>207</v>
      </c>
      <c r="E2007" s="85">
        <v>2649</v>
      </c>
      <c r="F2007" s="86">
        <v>200.6</v>
      </c>
      <c r="G2007" s="87">
        <v>7.5726689</v>
      </c>
    </row>
    <row r="2008" spans="1:7" x14ac:dyDescent="0.25">
      <c r="A2008" s="84" t="s">
        <v>2537</v>
      </c>
      <c r="B2008" s="84" t="s">
        <v>72</v>
      </c>
      <c r="C2008" s="84" t="s">
        <v>283</v>
      </c>
      <c r="D2008" s="85">
        <v>223</v>
      </c>
      <c r="E2008" s="85">
        <v>2289</v>
      </c>
      <c r="F2008" s="86">
        <v>265.39999999999998</v>
      </c>
      <c r="G2008" s="87">
        <v>11.594583</v>
      </c>
    </row>
    <row r="2009" spans="1:7" x14ac:dyDescent="0.25">
      <c r="A2009" s="84" t="s">
        <v>2538</v>
      </c>
      <c r="B2009" s="84" t="s">
        <v>72</v>
      </c>
      <c r="C2009" s="84" t="s">
        <v>283</v>
      </c>
      <c r="D2009" s="85">
        <v>429</v>
      </c>
      <c r="E2009" s="85">
        <v>7673</v>
      </c>
      <c r="F2009" s="86">
        <v>901.8</v>
      </c>
      <c r="G2009" s="87">
        <v>11.7529</v>
      </c>
    </row>
    <row r="2010" spans="1:7" x14ac:dyDescent="0.25">
      <c r="A2010" s="84" t="s">
        <v>2539</v>
      </c>
      <c r="B2010" s="84" t="s">
        <v>72</v>
      </c>
      <c r="C2010" s="84" t="s">
        <v>283</v>
      </c>
      <c r="D2010" s="85">
        <v>233</v>
      </c>
      <c r="E2010" s="85">
        <v>2245</v>
      </c>
      <c r="F2010" s="86">
        <v>250</v>
      </c>
      <c r="G2010" s="87">
        <v>11.135857</v>
      </c>
    </row>
    <row r="2011" spans="1:7" x14ac:dyDescent="0.25">
      <c r="A2011" s="84" t="s">
        <v>2540</v>
      </c>
      <c r="B2011" s="84" t="s">
        <v>72</v>
      </c>
      <c r="C2011" s="84" t="s">
        <v>283</v>
      </c>
      <c r="D2011" s="85">
        <v>192</v>
      </c>
      <c r="E2011" s="85">
        <v>2007</v>
      </c>
      <c r="F2011" s="86">
        <v>281</v>
      </c>
      <c r="G2011" s="87">
        <v>14.000997</v>
      </c>
    </row>
    <row r="2012" spans="1:7" x14ac:dyDescent="0.25">
      <c r="A2012" s="84" t="s">
        <v>2541</v>
      </c>
      <c r="B2012" s="84" t="s">
        <v>72</v>
      </c>
      <c r="C2012" s="84" t="s">
        <v>283</v>
      </c>
      <c r="D2012" s="85">
        <v>228</v>
      </c>
      <c r="E2012" s="85">
        <v>2923</v>
      </c>
      <c r="F2012" s="86">
        <v>345</v>
      </c>
      <c r="G2012" s="87">
        <v>11.802942</v>
      </c>
    </row>
    <row r="2013" spans="1:7" x14ac:dyDescent="0.25">
      <c r="A2013" s="84" t="s">
        <v>2542</v>
      </c>
      <c r="B2013" s="84" t="s">
        <v>72</v>
      </c>
      <c r="C2013" s="84" t="s">
        <v>283</v>
      </c>
      <c r="D2013" s="85">
        <v>321</v>
      </c>
      <c r="E2013" s="85">
        <v>5599</v>
      </c>
      <c r="F2013" s="86">
        <v>610</v>
      </c>
      <c r="G2013" s="87">
        <v>10.894803</v>
      </c>
    </row>
    <row r="2014" spans="1:7" x14ac:dyDescent="0.25">
      <c r="A2014" s="84" t="s">
        <v>2543</v>
      </c>
      <c r="B2014" s="84" t="s">
        <v>72</v>
      </c>
      <c r="C2014" s="84" t="s">
        <v>283</v>
      </c>
      <c r="D2014" s="85">
        <v>136</v>
      </c>
      <c r="E2014" s="85">
        <v>5812</v>
      </c>
      <c r="F2014" s="86">
        <v>719</v>
      </c>
      <c r="G2014" s="87">
        <v>12.370957000000001</v>
      </c>
    </row>
    <row r="2015" spans="1:7" x14ac:dyDescent="0.25">
      <c r="A2015" s="84" t="s">
        <v>2544</v>
      </c>
      <c r="B2015" s="84" t="s">
        <v>72</v>
      </c>
      <c r="C2015" s="84" t="s">
        <v>283</v>
      </c>
      <c r="D2015" s="85">
        <v>86</v>
      </c>
      <c r="E2015" s="85">
        <v>743</v>
      </c>
      <c r="F2015" s="86">
        <v>100</v>
      </c>
      <c r="G2015" s="87">
        <v>13.45895</v>
      </c>
    </row>
    <row r="2016" spans="1:7" x14ac:dyDescent="0.25">
      <c r="A2016" s="84" t="s">
        <v>2545</v>
      </c>
      <c r="B2016" s="84" t="s">
        <v>72</v>
      </c>
      <c r="C2016" s="84" t="s">
        <v>283</v>
      </c>
      <c r="D2016" s="85">
        <v>372</v>
      </c>
      <c r="E2016" s="85">
        <v>4789</v>
      </c>
      <c r="F2016" s="86">
        <v>528</v>
      </c>
      <c r="G2016" s="87">
        <v>11.025266</v>
      </c>
    </row>
    <row r="2017" spans="1:7" x14ac:dyDescent="0.25">
      <c r="A2017" s="84" t="s">
        <v>2546</v>
      </c>
      <c r="B2017" s="84" t="s">
        <v>72</v>
      </c>
      <c r="C2017" s="84" t="s">
        <v>283</v>
      </c>
      <c r="D2017" s="85">
        <v>323</v>
      </c>
      <c r="E2017" s="85">
        <v>4188</v>
      </c>
      <c r="F2017" s="86">
        <v>469</v>
      </c>
      <c r="G2017" s="87">
        <v>11.198663</v>
      </c>
    </row>
    <row r="2018" spans="1:7" x14ac:dyDescent="0.25">
      <c r="A2018" s="84" t="s">
        <v>2547</v>
      </c>
      <c r="B2018" s="84" t="s">
        <v>72</v>
      </c>
      <c r="C2018" s="84" t="s">
        <v>283</v>
      </c>
      <c r="D2018" s="85">
        <v>275</v>
      </c>
      <c r="E2018" s="85">
        <v>4735</v>
      </c>
      <c r="F2018" s="86">
        <v>584</v>
      </c>
      <c r="G2018" s="87">
        <v>12.333684999999999</v>
      </c>
    </row>
    <row r="2019" spans="1:7" x14ac:dyDescent="0.25">
      <c r="A2019" s="84" t="s">
        <v>2548</v>
      </c>
      <c r="B2019" s="84" t="s">
        <v>72</v>
      </c>
      <c r="C2019" s="84" t="s">
        <v>283</v>
      </c>
      <c r="D2019" s="85">
        <v>543</v>
      </c>
      <c r="E2019" s="85">
        <v>8570</v>
      </c>
      <c r="F2019" s="86">
        <v>895</v>
      </c>
      <c r="G2019" s="87">
        <v>10.443407000000001</v>
      </c>
    </row>
    <row r="2020" spans="1:7" x14ac:dyDescent="0.25">
      <c r="A2020" s="84" t="s">
        <v>2549</v>
      </c>
      <c r="B2020" s="84" t="s">
        <v>72</v>
      </c>
      <c r="C2020" s="84" t="s">
        <v>283</v>
      </c>
      <c r="D2020" s="85">
        <v>245</v>
      </c>
      <c r="E2020" s="85">
        <v>4067</v>
      </c>
      <c r="F2020" s="86">
        <v>155.30000000000001</v>
      </c>
      <c r="G2020" s="87">
        <v>3.8185395</v>
      </c>
    </row>
    <row r="2021" spans="1:7" x14ac:dyDescent="0.25">
      <c r="A2021" s="84" t="s">
        <v>2550</v>
      </c>
      <c r="B2021" s="84" t="s">
        <v>72</v>
      </c>
      <c r="C2021" s="84" t="s">
        <v>283</v>
      </c>
      <c r="D2021" s="85">
        <v>232</v>
      </c>
      <c r="E2021" s="85">
        <v>5998</v>
      </c>
      <c r="F2021" s="86">
        <v>671</v>
      </c>
      <c r="G2021" s="87">
        <v>11.187061999999999</v>
      </c>
    </row>
    <row r="2022" spans="1:7" x14ac:dyDescent="0.25">
      <c r="A2022" s="84" t="s">
        <v>2551</v>
      </c>
      <c r="B2022" s="84" t="s">
        <v>72</v>
      </c>
      <c r="C2022" s="84" t="s">
        <v>283</v>
      </c>
      <c r="D2022" s="85">
        <v>1177</v>
      </c>
      <c r="E2022" s="85">
        <v>14641</v>
      </c>
      <c r="F2022" s="86">
        <v>2327</v>
      </c>
      <c r="G2022" s="87">
        <v>15.893723</v>
      </c>
    </row>
    <row r="2023" spans="1:7" x14ac:dyDescent="0.25">
      <c r="A2023" s="84" t="s">
        <v>2552</v>
      </c>
      <c r="B2023" s="84" t="s">
        <v>72</v>
      </c>
      <c r="C2023" s="84" t="s">
        <v>283</v>
      </c>
      <c r="D2023" s="85">
        <v>377</v>
      </c>
      <c r="E2023" s="85">
        <v>5230</v>
      </c>
      <c r="F2023" s="86">
        <v>595</v>
      </c>
      <c r="G2023" s="87">
        <v>11.376673</v>
      </c>
    </row>
    <row r="2024" spans="1:7" x14ac:dyDescent="0.25">
      <c r="A2024" s="84" t="s">
        <v>2553</v>
      </c>
      <c r="B2024" s="84" t="s">
        <v>72</v>
      </c>
      <c r="C2024" s="84" t="s">
        <v>283</v>
      </c>
      <c r="D2024" s="85">
        <v>471</v>
      </c>
      <c r="E2024" s="85">
        <v>6834</v>
      </c>
      <c r="F2024" s="86">
        <v>1019</v>
      </c>
      <c r="G2024" s="87">
        <v>14.910740000000001</v>
      </c>
    </row>
    <row r="2025" spans="1:7" x14ac:dyDescent="0.25">
      <c r="A2025" s="84" t="s">
        <v>2554</v>
      </c>
      <c r="B2025" s="84" t="s">
        <v>72</v>
      </c>
      <c r="C2025" s="84" t="s">
        <v>283</v>
      </c>
      <c r="D2025" s="85">
        <v>237</v>
      </c>
      <c r="E2025" s="85">
        <v>2992</v>
      </c>
      <c r="F2025" s="86">
        <v>477</v>
      </c>
      <c r="G2025" s="87">
        <v>15.942513</v>
      </c>
    </row>
    <row r="2026" spans="1:7" x14ac:dyDescent="0.25">
      <c r="A2026" s="84" t="s">
        <v>2555</v>
      </c>
      <c r="B2026" s="84" t="s">
        <v>72</v>
      </c>
      <c r="C2026" s="84" t="s">
        <v>283</v>
      </c>
      <c r="D2026" s="85">
        <v>194</v>
      </c>
      <c r="E2026" s="85">
        <v>2689</v>
      </c>
      <c r="F2026" s="86">
        <v>313.89999999999998</v>
      </c>
      <c r="G2026" s="87">
        <v>11.673484999999999</v>
      </c>
    </row>
    <row r="2027" spans="1:7" x14ac:dyDescent="0.25">
      <c r="A2027" s="84" t="s">
        <v>2556</v>
      </c>
      <c r="B2027" s="84" t="s">
        <v>72</v>
      </c>
      <c r="C2027" s="84" t="s">
        <v>283</v>
      </c>
      <c r="D2027" s="85">
        <v>42</v>
      </c>
      <c r="E2027" s="85">
        <v>868</v>
      </c>
      <c r="F2027" s="86">
        <v>109</v>
      </c>
      <c r="G2027" s="87">
        <v>12.557604</v>
      </c>
    </row>
    <row r="2028" spans="1:7" x14ac:dyDescent="0.25">
      <c r="A2028" s="84" t="s">
        <v>2557</v>
      </c>
      <c r="B2028" s="84" t="s">
        <v>72</v>
      </c>
      <c r="C2028" s="84" t="s">
        <v>283</v>
      </c>
      <c r="D2028" s="85">
        <v>248</v>
      </c>
      <c r="E2028" s="85">
        <v>3511</v>
      </c>
      <c r="F2028" s="86">
        <v>414.2</v>
      </c>
      <c r="G2028" s="87">
        <v>11.797209000000001</v>
      </c>
    </row>
    <row r="2029" spans="1:7" x14ac:dyDescent="0.25">
      <c r="A2029" s="84" t="s">
        <v>2558</v>
      </c>
      <c r="B2029" s="84" t="s">
        <v>72</v>
      </c>
      <c r="C2029" s="84" t="s">
        <v>283</v>
      </c>
      <c r="D2029" s="85">
        <v>366</v>
      </c>
      <c r="E2029" s="85">
        <v>7305</v>
      </c>
      <c r="F2029" s="86">
        <v>697.9</v>
      </c>
      <c r="G2029" s="87">
        <v>9.5537302999999998</v>
      </c>
    </row>
    <row r="2030" spans="1:7" x14ac:dyDescent="0.25">
      <c r="A2030" s="84" t="s">
        <v>2559</v>
      </c>
      <c r="B2030" s="84" t="s">
        <v>72</v>
      </c>
      <c r="C2030" s="84" t="s">
        <v>283</v>
      </c>
      <c r="D2030" s="85">
        <v>250</v>
      </c>
      <c r="E2030" s="85">
        <v>5037</v>
      </c>
      <c r="F2030" s="86">
        <v>585</v>
      </c>
      <c r="G2030" s="87">
        <v>11.614056</v>
      </c>
    </row>
    <row r="2031" spans="1:7" x14ac:dyDescent="0.25">
      <c r="A2031" s="84" t="s">
        <v>2560</v>
      </c>
      <c r="B2031" s="84" t="s">
        <v>72</v>
      </c>
      <c r="C2031" s="84" t="s">
        <v>283</v>
      </c>
      <c r="D2031" s="85">
        <v>447</v>
      </c>
      <c r="E2031" s="85">
        <v>7380</v>
      </c>
      <c r="F2031" s="86">
        <v>821.9</v>
      </c>
      <c r="G2031" s="87">
        <v>11.136856</v>
      </c>
    </row>
    <row r="2032" spans="1:7" x14ac:dyDescent="0.25">
      <c r="A2032" s="84" t="s">
        <v>2561</v>
      </c>
      <c r="B2032" s="84" t="s">
        <v>72</v>
      </c>
      <c r="C2032" s="84" t="s">
        <v>283</v>
      </c>
      <c r="D2032" s="85">
        <v>210</v>
      </c>
      <c r="E2032" s="85">
        <v>2433</v>
      </c>
      <c r="F2032" s="86">
        <v>436.1</v>
      </c>
      <c r="G2032" s="87">
        <v>17.924372999999999</v>
      </c>
    </row>
    <row r="2033" spans="1:7" x14ac:dyDescent="0.25">
      <c r="A2033" s="84" t="s">
        <v>2562</v>
      </c>
      <c r="B2033" s="84" t="s">
        <v>72</v>
      </c>
      <c r="C2033" s="84" t="s">
        <v>283</v>
      </c>
      <c r="D2033" s="85">
        <v>249</v>
      </c>
      <c r="E2033" s="85">
        <v>3453</v>
      </c>
      <c r="F2033" s="86">
        <v>354</v>
      </c>
      <c r="G2033" s="87">
        <v>10.251955000000001</v>
      </c>
    </row>
    <row r="2034" spans="1:7" x14ac:dyDescent="0.25">
      <c r="A2034" s="84" t="s">
        <v>422</v>
      </c>
      <c r="B2034" s="84" t="s">
        <v>72</v>
      </c>
      <c r="C2034" s="84" t="s">
        <v>351</v>
      </c>
      <c r="D2034" s="85">
        <v>16</v>
      </c>
      <c r="E2034" s="85">
        <v>159724</v>
      </c>
      <c r="F2034" s="86">
        <v>3619.4</v>
      </c>
      <c r="G2034" s="87">
        <v>2.2660339</v>
      </c>
    </row>
    <row r="2035" spans="1:7" x14ac:dyDescent="0.25">
      <c r="A2035" s="84" t="s">
        <v>1468</v>
      </c>
      <c r="B2035" s="84" t="s">
        <v>72</v>
      </c>
      <c r="C2035" s="84" t="s">
        <v>385</v>
      </c>
      <c r="D2035" s="85">
        <v>5028</v>
      </c>
      <c r="E2035" s="85">
        <v>148428</v>
      </c>
      <c r="F2035" s="86">
        <v>19114.400000000001</v>
      </c>
      <c r="G2035" s="87">
        <v>12.877894</v>
      </c>
    </row>
    <row r="2036" spans="1:7" x14ac:dyDescent="0.25">
      <c r="A2036" s="84" t="s">
        <v>1469</v>
      </c>
      <c r="B2036" s="84" t="s">
        <v>72</v>
      </c>
      <c r="C2036" s="84" t="s">
        <v>281</v>
      </c>
      <c r="D2036" s="85">
        <v>499</v>
      </c>
      <c r="E2036" s="85">
        <v>18771</v>
      </c>
      <c r="F2036" s="86">
        <v>2521</v>
      </c>
      <c r="G2036" s="87">
        <v>13.430291</v>
      </c>
    </row>
    <row r="2037" spans="1:7" x14ac:dyDescent="0.25">
      <c r="A2037" s="84" t="s">
        <v>509</v>
      </c>
      <c r="B2037" s="84" t="s">
        <v>72</v>
      </c>
      <c r="C2037" s="84" t="s">
        <v>281</v>
      </c>
      <c r="D2037" s="85">
        <v>72</v>
      </c>
      <c r="E2037" s="85">
        <v>4979</v>
      </c>
      <c r="F2037" s="86">
        <v>794</v>
      </c>
      <c r="G2037" s="87">
        <v>15.946977</v>
      </c>
    </row>
    <row r="2038" spans="1:7" x14ac:dyDescent="0.25">
      <c r="A2038" s="84" t="s">
        <v>2365</v>
      </c>
      <c r="B2038" s="84" t="s">
        <v>78</v>
      </c>
      <c r="C2038" s="84" t="s">
        <v>392</v>
      </c>
      <c r="D2038" s="85">
        <v>1</v>
      </c>
      <c r="E2038" s="85">
        <v>2710</v>
      </c>
      <c r="F2038" s="86">
        <v>235</v>
      </c>
      <c r="G2038" s="87">
        <v>8.6715867000000006</v>
      </c>
    </row>
    <row r="2039" spans="1:7" x14ac:dyDescent="0.25">
      <c r="A2039" s="84" t="s">
        <v>2400</v>
      </c>
      <c r="B2039" s="84" t="s">
        <v>78</v>
      </c>
      <c r="C2039" s="84" t="s">
        <v>278</v>
      </c>
      <c r="D2039" s="85">
        <v>38913</v>
      </c>
      <c r="E2039" s="85">
        <v>434587</v>
      </c>
      <c r="F2039" s="86">
        <v>73183.399999999994</v>
      </c>
      <c r="G2039" s="87">
        <v>16.839758</v>
      </c>
    </row>
    <row r="2040" spans="1:7" x14ac:dyDescent="0.25">
      <c r="A2040" s="84" t="s">
        <v>1471</v>
      </c>
      <c r="B2040" s="84" t="s">
        <v>78</v>
      </c>
      <c r="C2040" s="84" t="s">
        <v>281</v>
      </c>
      <c r="D2040" s="85">
        <v>79963</v>
      </c>
      <c r="E2040" s="85">
        <v>645500</v>
      </c>
      <c r="F2040" s="86">
        <v>130671.8</v>
      </c>
      <c r="G2040" s="87">
        <v>20.243500999999998</v>
      </c>
    </row>
    <row r="2041" spans="1:7" x14ac:dyDescent="0.25">
      <c r="A2041" s="84" t="s">
        <v>2563</v>
      </c>
      <c r="B2041" s="84" t="s">
        <v>78</v>
      </c>
      <c r="C2041" s="84" t="s">
        <v>283</v>
      </c>
      <c r="D2041" s="85">
        <v>110</v>
      </c>
      <c r="E2041" s="85">
        <v>3684</v>
      </c>
      <c r="F2041" s="86">
        <v>459</v>
      </c>
      <c r="G2041" s="87">
        <v>12.459282999999999</v>
      </c>
    </row>
    <row r="2042" spans="1:7" x14ac:dyDescent="0.25">
      <c r="A2042" s="84" t="s">
        <v>2564</v>
      </c>
      <c r="B2042" s="84" t="s">
        <v>78</v>
      </c>
      <c r="C2042" s="84" t="s">
        <v>283</v>
      </c>
      <c r="D2042" s="85">
        <v>1007</v>
      </c>
      <c r="E2042" s="85">
        <v>22509</v>
      </c>
      <c r="F2042" s="86">
        <v>3571</v>
      </c>
      <c r="G2042" s="87">
        <v>15.864765</v>
      </c>
    </row>
    <row r="2043" spans="1:7" x14ac:dyDescent="0.25">
      <c r="A2043" s="84" t="s">
        <v>1472</v>
      </c>
      <c r="B2043" s="84" t="s">
        <v>78</v>
      </c>
      <c r="C2043" s="84" t="s">
        <v>278</v>
      </c>
      <c r="D2043" s="85">
        <v>400893</v>
      </c>
      <c r="E2043" s="85">
        <v>3338801</v>
      </c>
      <c r="F2043" s="86">
        <v>625651.80000000005</v>
      </c>
      <c r="G2043" s="87">
        <v>18.738817000000001</v>
      </c>
    </row>
    <row r="2044" spans="1:7" x14ac:dyDescent="0.25">
      <c r="A2044" s="84" t="s">
        <v>408</v>
      </c>
      <c r="B2044" s="84" t="s">
        <v>78</v>
      </c>
      <c r="C2044" s="84" t="s">
        <v>392</v>
      </c>
      <c r="D2044" s="85">
        <v>1205</v>
      </c>
      <c r="E2044" s="85">
        <v>8648</v>
      </c>
      <c r="F2044" s="86">
        <v>1382</v>
      </c>
      <c r="G2044" s="87">
        <v>15.980574000000001</v>
      </c>
    </row>
    <row r="2045" spans="1:7" x14ac:dyDescent="0.25">
      <c r="A2045" s="84" t="s">
        <v>415</v>
      </c>
      <c r="B2045" s="84" t="s">
        <v>78</v>
      </c>
      <c r="C2045" s="84" t="s">
        <v>392</v>
      </c>
      <c r="D2045" s="85">
        <v>603</v>
      </c>
      <c r="E2045" s="85">
        <v>4377</v>
      </c>
      <c r="F2045" s="86">
        <v>788</v>
      </c>
      <c r="G2045" s="87">
        <v>18.003198999999999</v>
      </c>
    </row>
    <row r="2046" spans="1:7" x14ac:dyDescent="0.25">
      <c r="A2046" s="84" t="s">
        <v>416</v>
      </c>
      <c r="B2046" s="84" t="s">
        <v>78</v>
      </c>
      <c r="C2046" s="84" t="s">
        <v>392</v>
      </c>
      <c r="D2046" s="85">
        <v>1</v>
      </c>
      <c r="E2046" s="85">
        <v>1115</v>
      </c>
      <c r="F2046" s="86">
        <v>92</v>
      </c>
      <c r="G2046" s="87">
        <v>8.2511211000000007</v>
      </c>
    </row>
    <row r="2047" spans="1:7" x14ac:dyDescent="0.25">
      <c r="A2047" s="84" t="s">
        <v>2565</v>
      </c>
      <c r="B2047" s="84" t="s">
        <v>78</v>
      </c>
      <c r="C2047" s="84" t="s">
        <v>283</v>
      </c>
      <c r="D2047" s="85">
        <v>1601</v>
      </c>
      <c r="E2047" s="85">
        <v>18267</v>
      </c>
      <c r="F2047" s="86">
        <v>2832</v>
      </c>
      <c r="G2047" s="87">
        <v>15.503367000000001</v>
      </c>
    </row>
    <row r="2048" spans="1:7" x14ac:dyDescent="0.25">
      <c r="A2048" s="84" t="s">
        <v>2566</v>
      </c>
      <c r="B2048" s="84" t="s">
        <v>78</v>
      </c>
      <c r="C2048" s="84" t="s">
        <v>283</v>
      </c>
      <c r="D2048" s="85">
        <v>3964</v>
      </c>
      <c r="E2048" s="85">
        <v>66459</v>
      </c>
      <c r="F2048" s="86">
        <v>9132</v>
      </c>
      <c r="G2048" s="87">
        <v>13.740803</v>
      </c>
    </row>
    <row r="2049" spans="1:7" x14ac:dyDescent="0.25">
      <c r="A2049" s="84" t="s">
        <v>2567</v>
      </c>
      <c r="B2049" s="84" t="s">
        <v>78</v>
      </c>
      <c r="C2049" s="84" t="s">
        <v>283</v>
      </c>
      <c r="D2049" s="85">
        <v>5747</v>
      </c>
      <c r="E2049" s="85">
        <v>69725</v>
      </c>
      <c r="F2049" s="86">
        <v>9975.5</v>
      </c>
      <c r="G2049" s="87">
        <v>14.30692</v>
      </c>
    </row>
    <row r="2050" spans="1:7" x14ac:dyDescent="0.25">
      <c r="A2050" s="84" t="s">
        <v>1474</v>
      </c>
      <c r="B2050" s="84" t="s">
        <v>78</v>
      </c>
      <c r="C2050" s="84" t="s">
        <v>278</v>
      </c>
      <c r="D2050" s="85">
        <v>69626</v>
      </c>
      <c r="E2050" s="85">
        <v>664786</v>
      </c>
      <c r="F2050" s="86">
        <v>120885</v>
      </c>
      <c r="G2050" s="87">
        <v>18.184047</v>
      </c>
    </row>
    <row r="2051" spans="1:7" x14ac:dyDescent="0.25">
      <c r="A2051" s="84" t="s">
        <v>424</v>
      </c>
      <c r="B2051" s="84" t="s">
        <v>80</v>
      </c>
      <c r="C2051" s="84" t="s">
        <v>392</v>
      </c>
      <c r="D2051" s="85">
        <v>10</v>
      </c>
      <c r="E2051" s="85">
        <v>1628</v>
      </c>
      <c r="F2051" s="86">
        <v>124.2</v>
      </c>
      <c r="G2051" s="87">
        <v>7.6289926000000001</v>
      </c>
    </row>
    <row r="2052" spans="1:7" x14ac:dyDescent="0.25">
      <c r="A2052" s="84" t="s">
        <v>1475</v>
      </c>
      <c r="B2052" s="84" t="s">
        <v>80</v>
      </c>
      <c r="C2052" s="84" t="s">
        <v>278</v>
      </c>
      <c r="D2052" s="85">
        <v>486628</v>
      </c>
      <c r="E2052" s="85">
        <v>4889951</v>
      </c>
      <c r="F2052" s="86">
        <v>809755.7</v>
      </c>
      <c r="G2052" s="87">
        <v>16.559587000000001</v>
      </c>
    </row>
    <row r="2053" spans="1:7" x14ac:dyDescent="0.25">
      <c r="A2053" s="84" t="s">
        <v>1476</v>
      </c>
      <c r="B2053" s="84" t="s">
        <v>80</v>
      </c>
      <c r="C2053" s="84" t="s">
        <v>283</v>
      </c>
      <c r="D2053" s="85">
        <v>11706</v>
      </c>
      <c r="E2053" s="85">
        <v>149859</v>
      </c>
      <c r="F2053" s="86">
        <v>19641.400000000001</v>
      </c>
      <c r="G2053" s="87">
        <v>13.106586999999999</v>
      </c>
    </row>
    <row r="2054" spans="1:7" x14ac:dyDescent="0.25">
      <c r="A2054" s="84" t="s">
        <v>2568</v>
      </c>
      <c r="B2054" s="84" t="s">
        <v>80</v>
      </c>
      <c r="C2054" s="84" t="s">
        <v>283</v>
      </c>
      <c r="D2054" s="85">
        <v>2551</v>
      </c>
      <c r="E2054" s="85">
        <v>18327</v>
      </c>
      <c r="F2054" s="86">
        <v>3050</v>
      </c>
      <c r="G2054" s="87">
        <v>16.642112999999998</v>
      </c>
    </row>
    <row r="2055" spans="1:7" x14ac:dyDescent="0.25">
      <c r="A2055" s="84" t="s">
        <v>1477</v>
      </c>
      <c r="B2055" s="84" t="s">
        <v>80</v>
      </c>
      <c r="C2055" s="84" t="s">
        <v>283</v>
      </c>
      <c r="D2055" s="85">
        <v>6790</v>
      </c>
      <c r="E2055" s="85">
        <v>127115</v>
      </c>
      <c r="F2055" s="86">
        <v>20606.2</v>
      </c>
      <c r="G2055" s="87">
        <v>16.210674999999998</v>
      </c>
    </row>
    <row r="2056" spans="1:7" x14ac:dyDescent="0.25">
      <c r="A2056" s="84" t="s">
        <v>2569</v>
      </c>
      <c r="B2056" s="84" t="s">
        <v>80</v>
      </c>
      <c r="C2056" s="84" t="s">
        <v>283</v>
      </c>
      <c r="D2056" s="85">
        <v>3795</v>
      </c>
      <c r="E2056" s="85">
        <v>56445</v>
      </c>
      <c r="F2056" s="86">
        <v>8955</v>
      </c>
      <c r="G2056" s="87">
        <v>15.865000999999999</v>
      </c>
    </row>
    <row r="2057" spans="1:7" x14ac:dyDescent="0.25">
      <c r="A2057" s="84" t="s">
        <v>2570</v>
      </c>
      <c r="B2057" s="84" t="s">
        <v>80</v>
      </c>
      <c r="C2057" s="84" t="s">
        <v>283</v>
      </c>
      <c r="D2057" s="85">
        <v>760</v>
      </c>
      <c r="E2057" s="85">
        <v>6959</v>
      </c>
      <c r="F2057" s="86">
        <v>1611</v>
      </c>
      <c r="G2057" s="87">
        <v>23.149878000000001</v>
      </c>
    </row>
    <row r="2058" spans="1:7" x14ac:dyDescent="0.25">
      <c r="A2058" s="84" t="s">
        <v>2571</v>
      </c>
      <c r="B2058" s="84" t="s">
        <v>80</v>
      </c>
      <c r="C2058" s="84" t="s">
        <v>283</v>
      </c>
      <c r="D2058" s="85">
        <v>6441</v>
      </c>
      <c r="E2058" s="85">
        <v>54049</v>
      </c>
      <c r="F2058" s="86">
        <v>15012.1</v>
      </c>
      <c r="G2058" s="87">
        <v>27.774982000000001</v>
      </c>
    </row>
    <row r="2059" spans="1:7" x14ac:dyDescent="0.25">
      <c r="A2059" s="84" t="s">
        <v>1478</v>
      </c>
      <c r="B2059" s="84" t="s">
        <v>80</v>
      </c>
      <c r="C2059" s="84" t="s">
        <v>283</v>
      </c>
      <c r="D2059" s="85">
        <v>25206</v>
      </c>
      <c r="E2059" s="85">
        <v>658485</v>
      </c>
      <c r="F2059" s="86">
        <v>100324</v>
      </c>
      <c r="G2059" s="87">
        <v>15.235579</v>
      </c>
    </row>
    <row r="2060" spans="1:7" x14ac:dyDescent="0.25">
      <c r="A2060" s="84" t="s">
        <v>391</v>
      </c>
      <c r="B2060" s="84" t="s">
        <v>80</v>
      </c>
      <c r="C2060" s="84" t="s">
        <v>392</v>
      </c>
      <c r="D2060" s="85">
        <v>1</v>
      </c>
      <c r="E2060" s="85">
        <v>1849</v>
      </c>
      <c r="F2060" s="86">
        <v>224.3</v>
      </c>
      <c r="G2060" s="87">
        <v>12.130882</v>
      </c>
    </row>
    <row r="2061" spans="1:7" x14ac:dyDescent="0.25">
      <c r="A2061" s="84" t="s">
        <v>400</v>
      </c>
      <c r="B2061" s="84" t="s">
        <v>80</v>
      </c>
      <c r="C2061" s="84" t="s">
        <v>392</v>
      </c>
      <c r="D2061" s="85">
        <v>297</v>
      </c>
      <c r="E2061" s="85">
        <v>2613</v>
      </c>
      <c r="F2061" s="86">
        <v>336</v>
      </c>
      <c r="G2061" s="87">
        <v>12.858783000000001</v>
      </c>
    </row>
    <row r="2062" spans="1:7" x14ac:dyDescent="0.25">
      <c r="A2062" s="84" t="s">
        <v>2365</v>
      </c>
      <c r="B2062" s="84" t="s">
        <v>80</v>
      </c>
      <c r="C2062" s="84" t="s">
        <v>392</v>
      </c>
      <c r="D2062" s="85">
        <v>3</v>
      </c>
      <c r="E2062" s="85">
        <v>14582</v>
      </c>
      <c r="F2062" s="86">
        <v>1187.5999999999999</v>
      </c>
      <c r="G2062" s="87">
        <v>8.1442875000000008</v>
      </c>
    </row>
    <row r="2063" spans="1:7" x14ac:dyDescent="0.25">
      <c r="A2063" s="84" t="s">
        <v>1479</v>
      </c>
      <c r="B2063" s="84" t="s">
        <v>80</v>
      </c>
      <c r="C2063" s="84" t="s">
        <v>278</v>
      </c>
      <c r="D2063" s="85">
        <v>926121</v>
      </c>
      <c r="E2063" s="85">
        <v>10526741</v>
      </c>
      <c r="F2063" s="86">
        <v>1364660.4</v>
      </c>
      <c r="G2063" s="87">
        <v>12.963749999999999</v>
      </c>
    </row>
    <row r="2064" spans="1:7" x14ac:dyDescent="0.25">
      <c r="A2064" s="84" t="s">
        <v>401</v>
      </c>
      <c r="B2064" s="84" t="s">
        <v>80</v>
      </c>
      <c r="C2064" s="84" t="s">
        <v>392</v>
      </c>
      <c r="D2064" s="85">
        <v>76</v>
      </c>
      <c r="E2064" s="85">
        <v>9830</v>
      </c>
      <c r="F2064" s="86">
        <v>1259.3</v>
      </c>
      <c r="G2064" s="87">
        <v>12.810783000000001</v>
      </c>
    </row>
    <row r="2065" spans="1:7" x14ac:dyDescent="0.25">
      <c r="A2065" s="84" t="s">
        <v>1480</v>
      </c>
      <c r="B2065" s="84" t="s">
        <v>80</v>
      </c>
      <c r="C2065" s="84" t="s">
        <v>278</v>
      </c>
      <c r="D2065" s="85">
        <v>2034027</v>
      </c>
      <c r="E2065" s="85">
        <v>21560363</v>
      </c>
      <c r="F2065" s="86">
        <v>3121117</v>
      </c>
      <c r="G2065" s="87">
        <v>14.476179999999999</v>
      </c>
    </row>
    <row r="2066" spans="1:7" x14ac:dyDescent="0.25">
      <c r="A2066" s="84" t="s">
        <v>1481</v>
      </c>
      <c r="B2066" s="84" t="s">
        <v>80</v>
      </c>
      <c r="C2066" s="84" t="s">
        <v>278</v>
      </c>
      <c r="D2066" s="85">
        <v>68263</v>
      </c>
      <c r="E2066" s="85">
        <v>972048</v>
      </c>
      <c r="F2066" s="86">
        <v>152993.60000000001</v>
      </c>
      <c r="G2066" s="87">
        <v>15.739305</v>
      </c>
    </row>
    <row r="2067" spans="1:7" x14ac:dyDescent="0.25">
      <c r="A2067" s="84" t="s">
        <v>408</v>
      </c>
      <c r="B2067" s="84" t="s">
        <v>80</v>
      </c>
      <c r="C2067" s="84" t="s">
        <v>392</v>
      </c>
      <c r="D2067" s="85">
        <v>10119</v>
      </c>
      <c r="E2067" s="85">
        <v>81843</v>
      </c>
      <c r="F2067" s="86">
        <v>12503</v>
      </c>
      <c r="G2067" s="87">
        <v>15.276809999999999</v>
      </c>
    </row>
    <row r="2068" spans="1:7" x14ac:dyDescent="0.25">
      <c r="A2068" s="84" t="s">
        <v>409</v>
      </c>
      <c r="B2068" s="84" t="s">
        <v>80</v>
      </c>
      <c r="C2068" s="84" t="s">
        <v>392</v>
      </c>
      <c r="D2068" s="85">
        <v>2224</v>
      </c>
      <c r="E2068" s="85">
        <v>19128</v>
      </c>
      <c r="F2068" s="86">
        <v>2843</v>
      </c>
      <c r="G2068" s="87">
        <v>14.863028</v>
      </c>
    </row>
    <row r="2069" spans="1:7" x14ac:dyDescent="0.25">
      <c r="A2069" s="84" t="s">
        <v>411</v>
      </c>
      <c r="B2069" s="84" t="s">
        <v>80</v>
      </c>
      <c r="C2069" s="84" t="s">
        <v>392</v>
      </c>
      <c r="D2069" s="85">
        <v>1</v>
      </c>
      <c r="E2069" s="85">
        <v>597</v>
      </c>
      <c r="F2069" s="86">
        <v>36.700000000000003</v>
      </c>
      <c r="G2069" s="87">
        <v>6.1474036999999999</v>
      </c>
    </row>
    <row r="2070" spans="1:7" x14ac:dyDescent="0.25">
      <c r="A2070" s="84" t="s">
        <v>412</v>
      </c>
      <c r="B2070" s="84" t="s">
        <v>80</v>
      </c>
      <c r="C2070" s="84" t="s">
        <v>392</v>
      </c>
      <c r="D2070" s="85">
        <v>193</v>
      </c>
      <c r="E2070" s="85">
        <v>785</v>
      </c>
      <c r="F2070" s="86">
        <v>202.3</v>
      </c>
      <c r="G2070" s="87">
        <v>25.770700999999999</v>
      </c>
    </row>
    <row r="2071" spans="1:7" x14ac:dyDescent="0.25">
      <c r="A2071" s="84" t="s">
        <v>413</v>
      </c>
      <c r="B2071" s="84" t="s">
        <v>80</v>
      </c>
      <c r="C2071" s="84" t="s">
        <v>392</v>
      </c>
      <c r="D2071" s="85">
        <v>3774</v>
      </c>
      <c r="E2071" s="85">
        <v>36344</v>
      </c>
      <c r="F2071" s="86">
        <v>5013.1000000000004</v>
      </c>
      <c r="G2071" s="87">
        <v>13.793473000000001</v>
      </c>
    </row>
    <row r="2072" spans="1:7" x14ac:dyDescent="0.25">
      <c r="A2072" s="84" t="s">
        <v>414</v>
      </c>
      <c r="B2072" s="84" t="s">
        <v>80</v>
      </c>
      <c r="C2072" s="84" t="s">
        <v>392</v>
      </c>
      <c r="D2072" s="85">
        <v>19124</v>
      </c>
      <c r="E2072" s="85">
        <v>177191</v>
      </c>
      <c r="F2072" s="86">
        <v>28845.8</v>
      </c>
      <c r="G2072" s="87">
        <v>16.279495000000001</v>
      </c>
    </row>
    <row r="2073" spans="1:7" x14ac:dyDescent="0.25">
      <c r="A2073" s="84" t="s">
        <v>415</v>
      </c>
      <c r="B2073" s="84" t="s">
        <v>80</v>
      </c>
      <c r="C2073" s="84" t="s">
        <v>392</v>
      </c>
      <c r="D2073" s="85">
        <v>14364</v>
      </c>
      <c r="E2073" s="85">
        <v>115392</v>
      </c>
      <c r="F2073" s="86">
        <v>18575</v>
      </c>
      <c r="G2073" s="87">
        <v>16.097303</v>
      </c>
    </row>
    <row r="2074" spans="1:7" x14ac:dyDescent="0.25">
      <c r="A2074" s="84" t="s">
        <v>1482</v>
      </c>
      <c r="B2074" s="84" t="s">
        <v>80</v>
      </c>
      <c r="C2074" s="84" t="s">
        <v>281</v>
      </c>
      <c r="D2074" s="85">
        <v>11827</v>
      </c>
      <c r="E2074" s="85">
        <v>152312</v>
      </c>
      <c r="F2074" s="86">
        <v>18956</v>
      </c>
      <c r="G2074" s="87">
        <v>12.445506999999999</v>
      </c>
    </row>
    <row r="2075" spans="1:7" x14ac:dyDescent="0.25">
      <c r="A2075" s="84" t="s">
        <v>416</v>
      </c>
      <c r="B2075" s="84" t="s">
        <v>80</v>
      </c>
      <c r="C2075" s="84" t="s">
        <v>392</v>
      </c>
      <c r="D2075" s="85">
        <v>148</v>
      </c>
      <c r="E2075" s="85">
        <v>48571</v>
      </c>
      <c r="F2075" s="86">
        <v>5955.1</v>
      </c>
      <c r="G2075" s="87">
        <v>12.260608</v>
      </c>
    </row>
    <row r="2076" spans="1:7" x14ac:dyDescent="0.25">
      <c r="A2076" s="84" t="s">
        <v>421</v>
      </c>
      <c r="B2076" s="84" t="s">
        <v>80</v>
      </c>
      <c r="C2076" s="84" t="s">
        <v>392</v>
      </c>
      <c r="D2076" s="85">
        <v>15980</v>
      </c>
      <c r="E2076" s="85">
        <v>110683</v>
      </c>
      <c r="F2076" s="86">
        <v>14912.3</v>
      </c>
      <c r="G2076" s="87">
        <v>13.472981000000001</v>
      </c>
    </row>
    <row r="2077" spans="1:7" x14ac:dyDescent="0.25">
      <c r="A2077" s="84" t="s">
        <v>1483</v>
      </c>
      <c r="B2077" s="84" t="s">
        <v>83</v>
      </c>
      <c r="C2077" s="84" t="s">
        <v>281</v>
      </c>
      <c r="D2077" s="85">
        <v>17986</v>
      </c>
      <c r="E2077" s="85">
        <v>220799</v>
      </c>
      <c r="F2077" s="86">
        <v>34968</v>
      </c>
      <c r="G2077" s="87">
        <v>15.837028</v>
      </c>
    </row>
    <row r="2078" spans="1:7" x14ac:dyDescent="0.25">
      <c r="A2078" s="84" t="s">
        <v>1484</v>
      </c>
      <c r="B2078" s="84" t="s">
        <v>83</v>
      </c>
      <c r="C2078" s="84" t="s">
        <v>281</v>
      </c>
      <c r="D2078" s="85">
        <v>15328</v>
      </c>
      <c r="E2078" s="85">
        <v>821352</v>
      </c>
      <c r="F2078" s="86">
        <v>58387.9</v>
      </c>
      <c r="G2078" s="87">
        <v>7.1087547999999998</v>
      </c>
    </row>
    <row r="2079" spans="1:7" x14ac:dyDescent="0.25">
      <c r="A2079" s="84" t="s">
        <v>2572</v>
      </c>
      <c r="B2079" s="84" t="s">
        <v>83</v>
      </c>
      <c r="C2079" s="84" t="s">
        <v>283</v>
      </c>
      <c r="D2079" s="85">
        <v>3132</v>
      </c>
      <c r="E2079" s="85">
        <v>42278</v>
      </c>
      <c r="F2079" s="86">
        <v>5287</v>
      </c>
      <c r="G2079" s="87">
        <v>12.505322</v>
      </c>
    </row>
    <row r="2080" spans="1:7" x14ac:dyDescent="0.25">
      <c r="A2080" s="84" t="s">
        <v>1485</v>
      </c>
      <c r="B2080" s="84" t="s">
        <v>83</v>
      </c>
      <c r="C2080" s="84" t="s">
        <v>283</v>
      </c>
      <c r="D2080" s="85">
        <v>44877</v>
      </c>
      <c r="E2080" s="85">
        <v>985009</v>
      </c>
      <c r="F2080" s="86">
        <v>88815</v>
      </c>
      <c r="G2080" s="87">
        <v>9.0166689000000009</v>
      </c>
    </row>
    <row r="2081" spans="1:7" x14ac:dyDescent="0.25">
      <c r="A2081" s="84" t="s">
        <v>1486</v>
      </c>
      <c r="B2081" s="84" t="s">
        <v>83</v>
      </c>
      <c r="C2081" s="84" t="s">
        <v>283</v>
      </c>
      <c r="D2081" s="85">
        <v>10488</v>
      </c>
      <c r="E2081" s="85">
        <v>193647</v>
      </c>
      <c r="F2081" s="86">
        <v>22656.1</v>
      </c>
      <c r="G2081" s="87">
        <v>11.699691</v>
      </c>
    </row>
    <row r="2082" spans="1:7" x14ac:dyDescent="0.25">
      <c r="A2082" s="84" t="s">
        <v>2573</v>
      </c>
      <c r="B2082" s="84" t="s">
        <v>83</v>
      </c>
      <c r="C2082" s="84" t="s">
        <v>283</v>
      </c>
      <c r="D2082" s="85">
        <v>3721</v>
      </c>
      <c r="E2082" s="85">
        <v>43000</v>
      </c>
      <c r="F2082" s="86">
        <v>6350</v>
      </c>
      <c r="G2082" s="87">
        <v>14.767442000000001</v>
      </c>
    </row>
    <row r="2083" spans="1:7" x14ac:dyDescent="0.25">
      <c r="A2083" s="84" t="s">
        <v>390</v>
      </c>
      <c r="B2083" s="84" t="s">
        <v>83</v>
      </c>
      <c r="C2083" s="84" t="s">
        <v>281</v>
      </c>
      <c r="D2083" s="85">
        <v>4672</v>
      </c>
      <c r="E2083" s="85">
        <v>87447</v>
      </c>
      <c r="F2083" s="86">
        <v>13122.6</v>
      </c>
      <c r="G2083" s="87">
        <v>15.006347</v>
      </c>
    </row>
    <row r="2084" spans="1:7" x14ac:dyDescent="0.25">
      <c r="A2084" s="84" t="s">
        <v>1487</v>
      </c>
      <c r="B2084" s="84" t="s">
        <v>83</v>
      </c>
      <c r="C2084" s="84" t="s">
        <v>281</v>
      </c>
      <c r="D2084" s="85">
        <v>24202</v>
      </c>
      <c r="E2084" s="85">
        <v>662570</v>
      </c>
      <c r="F2084" s="86">
        <v>61067</v>
      </c>
      <c r="G2084" s="87">
        <v>9.2166864999999998</v>
      </c>
    </row>
    <row r="2085" spans="1:7" x14ac:dyDescent="0.25">
      <c r="A2085" s="84" t="s">
        <v>2574</v>
      </c>
      <c r="B2085" s="84" t="s">
        <v>83</v>
      </c>
      <c r="C2085" s="84" t="s">
        <v>281</v>
      </c>
      <c r="D2085" s="85">
        <v>341</v>
      </c>
      <c r="E2085" s="85">
        <v>3705</v>
      </c>
      <c r="F2085" s="86">
        <v>498</v>
      </c>
      <c r="G2085" s="87">
        <v>13.441295999999999</v>
      </c>
    </row>
    <row r="2086" spans="1:7" x14ac:dyDescent="0.25">
      <c r="A2086" s="84" t="s">
        <v>1488</v>
      </c>
      <c r="B2086" s="84" t="s">
        <v>83</v>
      </c>
      <c r="C2086" s="84" t="s">
        <v>278</v>
      </c>
      <c r="D2086" s="85">
        <v>100435</v>
      </c>
      <c r="E2086" s="85">
        <v>1670944</v>
      </c>
      <c r="F2086" s="86">
        <v>158513</v>
      </c>
      <c r="G2086" s="87">
        <v>9.4864339999999991</v>
      </c>
    </row>
    <row r="2087" spans="1:7" x14ac:dyDescent="0.25">
      <c r="A2087" s="84" t="s">
        <v>1489</v>
      </c>
      <c r="B2087" s="84" t="s">
        <v>83</v>
      </c>
      <c r="C2087" s="84" t="s">
        <v>281</v>
      </c>
      <c r="D2087" s="85">
        <v>13348</v>
      </c>
      <c r="E2087" s="85">
        <v>374819</v>
      </c>
      <c r="F2087" s="86">
        <v>35831.4</v>
      </c>
      <c r="G2087" s="87">
        <v>9.5596540999999995</v>
      </c>
    </row>
    <row r="2088" spans="1:7" x14ac:dyDescent="0.25">
      <c r="A2088" s="84" t="s">
        <v>1490</v>
      </c>
      <c r="B2088" s="84" t="s">
        <v>83</v>
      </c>
      <c r="C2088" s="84" t="s">
        <v>281</v>
      </c>
      <c r="D2088" s="85">
        <v>29208</v>
      </c>
      <c r="E2088" s="85">
        <v>395366</v>
      </c>
      <c r="F2088" s="86">
        <v>50805</v>
      </c>
      <c r="G2088" s="87">
        <v>12.850118999999999</v>
      </c>
    </row>
    <row r="2089" spans="1:7" x14ac:dyDescent="0.25">
      <c r="A2089" s="84" t="s">
        <v>1491</v>
      </c>
      <c r="B2089" s="84" t="s">
        <v>83</v>
      </c>
      <c r="C2089" s="84" t="s">
        <v>281</v>
      </c>
      <c r="D2089" s="85">
        <v>28897</v>
      </c>
      <c r="E2089" s="85">
        <v>270907</v>
      </c>
      <c r="F2089" s="86">
        <v>46809.8</v>
      </c>
      <c r="G2089" s="87">
        <v>17.278918999999998</v>
      </c>
    </row>
    <row r="2090" spans="1:7" x14ac:dyDescent="0.25">
      <c r="A2090" s="84" t="s">
        <v>1492</v>
      </c>
      <c r="B2090" s="84" t="s">
        <v>83</v>
      </c>
      <c r="C2090" s="84" t="s">
        <v>281</v>
      </c>
      <c r="D2090" s="85">
        <v>11157</v>
      </c>
      <c r="E2090" s="85">
        <v>776856</v>
      </c>
      <c r="F2090" s="86">
        <v>54652</v>
      </c>
      <c r="G2090" s="87">
        <v>7.0350232000000004</v>
      </c>
    </row>
    <row r="2091" spans="1:7" x14ac:dyDescent="0.25">
      <c r="A2091" s="84" t="s">
        <v>1493</v>
      </c>
      <c r="B2091" s="84" t="s">
        <v>83</v>
      </c>
      <c r="C2091" s="84" t="s">
        <v>283</v>
      </c>
      <c r="D2091" s="85">
        <v>8652</v>
      </c>
      <c r="E2091" s="85">
        <v>558600</v>
      </c>
      <c r="F2091" s="86">
        <v>39316.699999999997</v>
      </c>
      <c r="G2091" s="87">
        <v>7.0384354</v>
      </c>
    </row>
    <row r="2092" spans="1:7" x14ac:dyDescent="0.25">
      <c r="A2092" s="84" t="s">
        <v>1494</v>
      </c>
      <c r="B2092" s="84" t="s">
        <v>83</v>
      </c>
      <c r="C2092" s="84" t="s">
        <v>281</v>
      </c>
      <c r="D2092" s="85">
        <v>11106</v>
      </c>
      <c r="E2092" s="85">
        <v>75283</v>
      </c>
      <c r="F2092" s="86">
        <v>12616.2</v>
      </c>
      <c r="G2092" s="87">
        <v>16.758365000000001</v>
      </c>
    </row>
    <row r="2093" spans="1:7" x14ac:dyDescent="0.25">
      <c r="A2093" s="84" t="s">
        <v>404</v>
      </c>
      <c r="B2093" s="84" t="s">
        <v>83</v>
      </c>
      <c r="C2093" s="84" t="s">
        <v>174</v>
      </c>
      <c r="D2093" s="85">
        <v>10653</v>
      </c>
      <c r="E2093" s="85">
        <v>133988</v>
      </c>
      <c r="F2093" s="86">
        <v>17832</v>
      </c>
      <c r="G2093" s="87">
        <v>13.308655</v>
      </c>
    </row>
    <row r="2094" spans="1:7" x14ac:dyDescent="0.25">
      <c r="A2094" s="84" t="s">
        <v>405</v>
      </c>
      <c r="B2094" s="84" t="s">
        <v>83</v>
      </c>
      <c r="C2094" s="84" t="s">
        <v>281</v>
      </c>
      <c r="D2094" s="85">
        <v>1569</v>
      </c>
      <c r="E2094" s="85">
        <v>10782</v>
      </c>
      <c r="F2094" s="86">
        <v>1331.9</v>
      </c>
      <c r="G2094" s="87">
        <v>12.352995999999999</v>
      </c>
    </row>
    <row r="2095" spans="1:7" x14ac:dyDescent="0.25">
      <c r="A2095" s="84" t="s">
        <v>2575</v>
      </c>
      <c r="B2095" s="84" t="s">
        <v>83</v>
      </c>
      <c r="C2095" s="84" t="s">
        <v>281</v>
      </c>
      <c r="D2095" s="85">
        <v>3030</v>
      </c>
      <c r="E2095" s="85">
        <v>25928</v>
      </c>
      <c r="F2095" s="86">
        <v>4539.6000000000004</v>
      </c>
      <c r="G2095" s="87">
        <v>17.508485</v>
      </c>
    </row>
    <row r="2096" spans="1:7" x14ac:dyDescent="0.25">
      <c r="A2096" s="84" t="s">
        <v>1495</v>
      </c>
      <c r="B2096" s="84" t="s">
        <v>83</v>
      </c>
      <c r="C2096" s="84" t="s">
        <v>281</v>
      </c>
      <c r="D2096" s="85">
        <v>19606</v>
      </c>
      <c r="E2096" s="85">
        <v>183980</v>
      </c>
      <c r="F2096" s="86">
        <v>31410</v>
      </c>
      <c r="G2096" s="87">
        <v>17.072507999999999</v>
      </c>
    </row>
    <row r="2097" spans="1:7" x14ac:dyDescent="0.25">
      <c r="A2097" s="84" t="s">
        <v>1496</v>
      </c>
      <c r="B2097" s="84" t="s">
        <v>83</v>
      </c>
      <c r="C2097" s="84" t="s">
        <v>278</v>
      </c>
      <c r="D2097" s="85">
        <v>530259</v>
      </c>
      <c r="E2097" s="85">
        <v>9013639</v>
      </c>
      <c r="F2097" s="86">
        <v>940548.7</v>
      </c>
      <c r="G2097" s="87">
        <v>10.434728</v>
      </c>
    </row>
    <row r="2098" spans="1:7" x14ac:dyDescent="0.25">
      <c r="A2098" s="84" t="s">
        <v>2576</v>
      </c>
      <c r="B2098" s="84" t="s">
        <v>83</v>
      </c>
      <c r="C2098" s="84" t="s">
        <v>283</v>
      </c>
      <c r="D2098" s="85">
        <v>4293</v>
      </c>
      <c r="E2098" s="85">
        <v>44000</v>
      </c>
      <c r="F2098" s="86">
        <v>6016</v>
      </c>
      <c r="G2098" s="87">
        <v>13.672727</v>
      </c>
    </row>
    <row r="2099" spans="1:7" x14ac:dyDescent="0.25">
      <c r="A2099" s="84" t="s">
        <v>1497</v>
      </c>
      <c r="B2099" s="84" t="s">
        <v>83</v>
      </c>
      <c r="C2099" s="84" t="s">
        <v>281</v>
      </c>
      <c r="D2099" s="85">
        <v>322</v>
      </c>
      <c r="E2099" s="85">
        <v>2412</v>
      </c>
      <c r="F2099" s="86">
        <v>376.3</v>
      </c>
      <c r="G2099" s="87">
        <v>15.601160999999999</v>
      </c>
    </row>
    <row r="2100" spans="1:7" x14ac:dyDescent="0.25">
      <c r="A2100" s="84" t="s">
        <v>1498</v>
      </c>
      <c r="B2100" s="84" t="s">
        <v>83</v>
      </c>
      <c r="C2100" s="84" t="s">
        <v>281</v>
      </c>
      <c r="D2100" s="85">
        <v>6064</v>
      </c>
      <c r="E2100" s="85">
        <v>159519</v>
      </c>
      <c r="F2100" s="86">
        <v>16308</v>
      </c>
      <c r="G2100" s="87">
        <v>10.223234</v>
      </c>
    </row>
    <row r="2101" spans="1:7" x14ac:dyDescent="0.25">
      <c r="A2101" s="84" t="s">
        <v>1499</v>
      </c>
      <c r="B2101" s="84" t="s">
        <v>83</v>
      </c>
      <c r="C2101" s="84" t="s">
        <v>281</v>
      </c>
      <c r="D2101" s="85">
        <v>4233</v>
      </c>
      <c r="E2101" s="85">
        <v>40583</v>
      </c>
      <c r="F2101" s="86">
        <v>7233</v>
      </c>
      <c r="G2101" s="87">
        <v>17.822734000000001</v>
      </c>
    </row>
    <row r="2102" spans="1:7" x14ac:dyDescent="0.25">
      <c r="A2102" s="84" t="s">
        <v>1500</v>
      </c>
      <c r="B2102" s="84" t="s">
        <v>83</v>
      </c>
      <c r="C2102" s="84" t="s">
        <v>281</v>
      </c>
      <c r="D2102" s="85">
        <v>12791</v>
      </c>
      <c r="E2102" s="85">
        <v>179446</v>
      </c>
      <c r="F2102" s="86">
        <v>24942</v>
      </c>
      <c r="G2102" s="87">
        <v>13.899445999999999</v>
      </c>
    </row>
    <row r="2103" spans="1:7" x14ac:dyDescent="0.25">
      <c r="A2103" s="84" t="s">
        <v>408</v>
      </c>
      <c r="B2103" s="84" t="s">
        <v>83</v>
      </c>
      <c r="C2103" s="84" t="s">
        <v>392</v>
      </c>
      <c r="D2103" s="85">
        <v>1121</v>
      </c>
      <c r="E2103" s="85">
        <v>14339</v>
      </c>
      <c r="F2103" s="86">
        <v>1407</v>
      </c>
      <c r="G2103" s="87">
        <v>9.8123997000000003</v>
      </c>
    </row>
    <row r="2104" spans="1:7" x14ac:dyDescent="0.25">
      <c r="A2104" s="84" t="s">
        <v>502</v>
      </c>
      <c r="B2104" s="84" t="s">
        <v>83</v>
      </c>
      <c r="C2104" s="84" t="s">
        <v>281</v>
      </c>
      <c r="D2104" s="85">
        <v>2266</v>
      </c>
      <c r="E2104" s="85">
        <v>398279</v>
      </c>
      <c r="F2104" s="86">
        <v>32751.200000000001</v>
      </c>
      <c r="G2104" s="87">
        <v>8.2231801999999998</v>
      </c>
    </row>
    <row r="2105" spans="1:7" x14ac:dyDescent="0.25">
      <c r="A2105" s="84" t="s">
        <v>1501</v>
      </c>
      <c r="B2105" s="84" t="s">
        <v>83</v>
      </c>
      <c r="C2105" s="84" t="s">
        <v>278</v>
      </c>
      <c r="D2105" s="85">
        <v>123109</v>
      </c>
      <c r="E2105" s="85">
        <v>7003861</v>
      </c>
      <c r="F2105" s="86">
        <v>428369.3</v>
      </c>
      <c r="G2105" s="87">
        <v>6.1161878999999999</v>
      </c>
    </row>
    <row r="2106" spans="1:7" x14ac:dyDescent="0.25">
      <c r="A2106" s="84" t="s">
        <v>1502</v>
      </c>
      <c r="B2106" s="84" t="s">
        <v>83</v>
      </c>
      <c r="C2106" s="84" t="s">
        <v>281</v>
      </c>
      <c r="D2106" s="85">
        <v>3036</v>
      </c>
      <c r="E2106" s="85">
        <v>245795</v>
      </c>
      <c r="F2106" s="86">
        <v>20537</v>
      </c>
      <c r="G2106" s="87">
        <v>8.3553367999999999</v>
      </c>
    </row>
    <row r="2107" spans="1:7" x14ac:dyDescent="0.25">
      <c r="A2107" s="84" t="s">
        <v>414</v>
      </c>
      <c r="B2107" s="84" t="s">
        <v>83</v>
      </c>
      <c r="C2107" s="84" t="s">
        <v>392</v>
      </c>
      <c r="D2107" s="85">
        <v>838</v>
      </c>
      <c r="E2107" s="85">
        <v>7902</v>
      </c>
      <c r="F2107" s="86">
        <v>1322.5</v>
      </c>
      <c r="G2107" s="87">
        <v>16.736269</v>
      </c>
    </row>
    <row r="2108" spans="1:7" x14ac:dyDescent="0.25">
      <c r="A2108" s="84" t="s">
        <v>415</v>
      </c>
      <c r="B2108" s="84" t="s">
        <v>83</v>
      </c>
      <c r="C2108" s="84" t="s">
        <v>392</v>
      </c>
      <c r="D2108" s="85">
        <v>562</v>
      </c>
      <c r="E2108" s="85">
        <v>4138</v>
      </c>
      <c r="F2108" s="86">
        <v>658</v>
      </c>
      <c r="G2108" s="87">
        <v>15.901401999999999</v>
      </c>
    </row>
    <row r="2109" spans="1:7" x14ac:dyDescent="0.25">
      <c r="A2109" s="84" t="s">
        <v>2577</v>
      </c>
      <c r="B2109" s="84" t="s">
        <v>83</v>
      </c>
      <c r="C2109" s="84" t="s">
        <v>283</v>
      </c>
      <c r="D2109" s="85">
        <v>698</v>
      </c>
      <c r="E2109" s="85">
        <v>4407</v>
      </c>
      <c r="F2109" s="86">
        <v>777.8</v>
      </c>
      <c r="G2109" s="87">
        <v>17.649194000000001</v>
      </c>
    </row>
    <row r="2110" spans="1:7" x14ac:dyDescent="0.25">
      <c r="A2110" s="84" t="s">
        <v>2370</v>
      </c>
      <c r="B2110" s="84" t="s">
        <v>83</v>
      </c>
      <c r="C2110" s="84" t="s">
        <v>281</v>
      </c>
      <c r="D2110" s="85">
        <v>7</v>
      </c>
      <c r="E2110" s="85">
        <v>21</v>
      </c>
      <c r="F2110" s="86">
        <v>4.0999999999999996</v>
      </c>
      <c r="G2110" s="87">
        <v>19.523810000000001</v>
      </c>
    </row>
    <row r="2111" spans="1:7" x14ac:dyDescent="0.25">
      <c r="A2111" s="84" t="s">
        <v>421</v>
      </c>
      <c r="B2111" s="84" t="s">
        <v>83</v>
      </c>
      <c r="C2111" s="84" t="s">
        <v>392</v>
      </c>
      <c r="D2111" s="85">
        <v>2349</v>
      </c>
      <c r="E2111" s="85">
        <v>21202</v>
      </c>
      <c r="F2111" s="86">
        <v>2334.3000000000002</v>
      </c>
      <c r="G2111" s="87">
        <v>11.00981</v>
      </c>
    </row>
    <row r="2112" spans="1:7" x14ac:dyDescent="0.25">
      <c r="A2112" s="84" t="s">
        <v>422</v>
      </c>
      <c r="B2112" s="84" t="s">
        <v>83</v>
      </c>
      <c r="C2112" s="84" t="s">
        <v>351</v>
      </c>
      <c r="D2112" s="85">
        <v>5</v>
      </c>
      <c r="E2112" s="85">
        <v>180152</v>
      </c>
      <c r="F2112" s="86">
        <v>4813.8999999999996</v>
      </c>
      <c r="G2112" s="87">
        <v>2.6721324000000002</v>
      </c>
    </row>
    <row r="2113" spans="1:7" x14ac:dyDescent="0.25">
      <c r="A2113" s="84" t="s">
        <v>384</v>
      </c>
      <c r="B2113" s="84" t="s">
        <v>75</v>
      </c>
      <c r="C2113" s="84" t="s">
        <v>385</v>
      </c>
      <c r="D2113" s="85">
        <v>284</v>
      </c>
      <c r="E2113" s="85">
        <v>23041</v>
      </c>
      <c r="F2113" s="86">
        <v>2724.7</v>
      </c>
      <c r="G2113" s="87">
        <v>11.825442000000001</v>
      </c>
    </row>
    <row r="2114" spans="1:7" x14ac:dyDescent="0.25">
      <c r="A2114" s="84" t="s">
        <v>2578</v>
      </c>
      <c r="B2114" s="84" t="s">
        <v>75</v>
      </c>
      <c r="C2114" s="84" t="s">
        <v>385</v>
      </c>
      <c r="D2114" s="85">
        <v>736</v>
      </c>
      <c r="E2114" s="85">
        <v>13742</v>
      </c>
      <c r="F2114" s="86">
        <v>1585.4</v>
      </c>
      <c r="G2114" s="87">
        <v>11.536894</v>
      </c>
    </row>
    <row r="2115" spans="1:7" x14ac:dyDescent="0.25">
      <c r="A2115" s="84" t="s">
        <v>1503</v>
      </c>
      <c r="B2115" s="84" t="s">
        <v>75</v>
      </c>
      <c r="C2115" s="84" t="s">
        <v>283</v>
      </c>
      <c r="D2115" s="85">
        <v>8066</v>
      </c>
      <c r="E2115" s="85">
        <v>151086</v>
      </c>
      <c r="F2115" s="86">
        <v>16094</v>
      </c>
      <c r="G2115" s="87">
        <v>10.652210999999999</v>
      </c>
    </row>
    <row r="2116" spans="1:7" x14ac:dyDescent="0.25">
      <c r="A2116" s="84" t="s">
        <v>2579</v>
      </c>
      <c r="B2116" s="84" t="s">
        <v>75</v>
      </c>
      <c r="C2116" s="84" t="s">
        <v>283</v>
      </c>
      <c r="D2116" s="85">
        <v>4896</v>
      </c>
      <c r="E2116" s="85">
        <v>87171</v>
      </c>
      <c r="F2116" s="86">
        <v>11159.7</v>
      </c>
      <c r="G2116" s="87">
        <v>12.802079000000001</v>
      </c>
    </row>
    <row r="2117" spans="1:7" x14ac:dyDescent="0.25">
      <c r="A2117" s="84" t="s">
        <v>2580</v>
      </c>
      <c r="B2117" s="84" t="s">
        <v>75</v>
      </c>
      <c r="C2117" s="84" t="s">
        <v>283</v>
      </c>
      <c r="D2117" s="85">
        <v>444</v>
      </c>
      <c r="E2117" s="85">
        <v>6795</v>
      </c>
      <c r="F2117" s="86">
        <v>689</v>
      </c>
      <c r="G2117" s="87">
        <v>10.139809</v>
      </c>
    </row>
    <row r="2118" spans="1:7" x14ac:dyDescent="0.25">
      <c r="A2118" s="84" t="s">
        <v>1504</v>
      </c>
      <c r="B2118" s="84" t="s">
        <v>75</v>
      </c>
      <c r="C2118" s="84" t="s">
        <v>174</v>
      </c>
      <c r="D2118" s="85">
        <v>6</v>
      </c>
      <c r="E2118" s="85">
        <v>618564</v>
      </c>
      <c r="F2118" s="86">
        <v>16802</v>
      </c>
      <c r="G2118" s="87">
        <v>2.7162913</v>
      </c>
    </row>
    <row r="2119" spans="1:7" x14ac:dyDescent="0.25">
      <c r="A2119" s="84" t="s">
        <v>400</v>
      </c>
      <c r="B2119" s="84" t="s">
        <v>75</v>
      </c>
      <c r="C2119" s="84" t="s">
        <v>392</v>
      </c>
      <c r="D2119" s="85">
        <v>49</v>
      </c>
      <c r="E2119" s="85">
        <v>360</v>
      </c>
      <c r="F2119" s="86">
        <v>44</v>
      </c>
      <c r="G2119" s="87">
        <v>12.222222</v>
      </c>
    </row>
    <row r="2120" spans="1:7" x14ac:dyDescent="0.25">
      <c r="A2120" s="84" t="s">
        <v>2365</v>
      </c>
      <c r="B2120" s="84" t="s">
        <v>75</v>
      </c>
      <c r="C2120" s="84" t="s">
        <v>392</v>
      </c>
      <c r="D2120" s="85">
        <v>2</v>
      </c>
      <c r="E2120" s="85">
        <v>7847</v>
      </c>
      <c r="F2120" s="86">
        <v>113.6</v>
      </c>
      <c r="G2120" s="87">
        <v>1.4476869999999999</v>
      </c>
    </row>
    <row r="2121" spans="1:7" x14ac:dyDescent="0.25">
      <c r="A2121" s="84" t="s">
        <v>1505</v>
      </c>
      <c r="B2121" s="84" t="s">
        <v>75</v>
      </c>
      <c r="C2121" s="84" t="s">
        <v>281</v>
      </c>
      <c r="D2121" s="85">
        <v>1353</v>
      </c>
      <c r="E2121" s="85">
        <v>101324</v>
      </c>
      <c r="F2121" s="86">
        <v>6400.4</v>
      </c>
      <c r="G2121" s="87">
        <v>6.3167660000000003</v>
      </c>
    </row>
    <row r="2122" spans="1:7" x14ac:dyDescent="0.25">
      <c r="A2122" s="84" t="s">
        <v>2581</v>
      </c>
      <c r="B2122" s="84" t="s">
        <v>75</v>
      </c>
      <c r="C2122" s="84" t="s">
        <v>385</v>
      </c>
      <c r="D2122" s="85">
        <v>1817</v>
      </c>
      <c r="E2122" s="85">
        <v>45241</v>
      </c>
      <c r="F2122" s="86">
        <v>3571</v>
      </c>
      <c r="G2122" s="87">
        <v>7.8932826</v>
      </c>
    </row>
    <row r="2123" spans="1:7" x14ac:dyDescent="0.25">
      <c r="A2123" s="84" t="s">
        <v>1506</v>
      </c>
      <c r="B2123" s="84" t="s">
        <v>75</v>
      </c>
      <c r="C2123" s="84" t="s">
        <v>281</v>
      </c>
      <c r="D2123" s="85">
        <v>7147</v>
      </c>
      <c r="E2123" s="85">
        <v>548837</v>
      </c>
      <c r="F2123" s="86">
        <v>36589.300000000003</v>
      </c>
      <c r="G2123" s="87">
        <v>6.6666970000000001</v>
      </c>
    </row>
    <row r="2124" spans="1:7" x14ac:dyDescent="0.25">
      <c r="A2124" s="84" t="s">
        <v>1507</v>
      </c>
      <c r="B2124" s="84" t="s">
        <v>75</v>
      </c>
      <c r="C2124" s="84" t="s">
        <v>278</v>
      </c>
      <c r="D2124" s="85">
        <v>951035</v>
      </c>
      <c r="E2124" s="85">
        <v>19505109</v>
      </c>
      <c r="F2124" s="86">
        <v>2039899</v>
      </c>
      <c r="G2124" s="87">
        <v>10.45828</v>
      </c>
    </row>
    <row r="2125" spans="1:7" x14ac:dyDescent="0.25">
      <c r="A2125" s="84" t="s">
        <v>1508</v>
      </c>
      <c r="B2125" s="84" t="s">
        <v>75</v>
      </c>
      <c r="C2125" s="84" t="s">
        <v>385</v>
      </c>
      <c r="D2125" s="85">
        <v>16145</v>
      </c>
      <c r="E2125" s="85">
        <v>397504</v>
      </c>
      <c r="F2125" s="86">
        <v>37906</v>
      </c>
      <c r="G2125" s="87">
        <v>9.5360046999999994</v>
      </c>
    </row>
    <row r="2126" spans="1:7" x14ac:dyDescent="0.25">
      <c r="A2126" s="84" t="s">
        <v>460</v>
      </c>
      <c r="B2126" s="84" t="s">
        <v>75</v>
      </c>
      <c r="C2126" s="84" t="s">
        <v>281</v>
      </c>
      <c r="D2126" s="85">
        <v>413</v>
      </c>
      <c r="E2126" s="85">
        <v>4580</v>
      </c>
      <c r="F2126" s="86">
        <v>822</v>
      </c>
      <c r="G2126" s="87">
        <v>17.947597999999999</v>
      </c>
    </row>
    <row r="2127" spans="1:7" x14ac:dyDescent="0.25">
      <c r="A2127" s="84" t="s">
        <v>2378</v>
      </c>
      <c r="B2127" s="84" t="s">
        <v>75</v>
      </c>
      <c r="C2127" s="84" t="s">
        <v>281</v>
      </c>
      <c r="D2127" s="85">
        <v>1771</v>
      </c>
      <c r="E2127" s="85">
        <v>50426</v>
      </c>
      <c r="F2127" s="86">
        <v>3840</v>
      </c>
      <c r="G2127" s="87">
        <v>7.6151191999999996</v>
      </c>
    </row>
    <row r="2128" spans="1:7" x14ac:dyDescent="0.25">
      <c r="A2128" s="84" t="s">
        <v>1509</v>
      </c>
      <c r="B2128" s="84" t="s">
        <v>75</v>
      </c>
      <c r="C2128" s="84" t="s">
        <v>278</v>
      </c>
      <c r="D2128" s="85">
        <v>352366</v>
      </c>
      <c r="E2128" s="85">
        <v>9195752</v>
      </c>
      <c r="F2128" s="86">
        <v>726943.3</v>
      </c>
      <c r="G2128" s="87">
        <v>7.9052078000000003</v>
      </c>
    </row>
    <row r="2129" spans="1:7" x14ac:dyDescent="0.25">
      <c r="A2129" s="84" t="s">
        <v>408</v>
      </c>
      <c r="B2129" s="84" t="s">
        <v>75</v>
      </c>
      <c r="C2129" s="84" t="s">
        <v>392</v>
      </c>
      <c r="D2129" s="85">
        <v>12384</v>
      </c>
      <c r="E2129" s="85">
        <v>125106</v>
      </c>
      <c r="F2129" s="86">
        <v>14102</v>
      </c>
      <c r="G2129" s="87">
        <v>11.272041</v>
      </c>
    </row>
    <row r="2130" spans="1:7" x14ac:dyDescent="0.25">
      <c r="A2130" s="84" t="s">
        <v>409</v>
      </c>
      <c r="B2130" s="84" t="s">
        <v>75</v>
      </c>
      <c r="C2130" s="84" t="s">
        <v>392</v>
      </c>
      <c r="D2130" s="85">
        <v>93</v>
      </c>
      <c r="E2130" s="85">
        <v>1021</v>
      </c>
      <c r="F2130" s="86">
        <v>136.19999999999999</v>
      </c>
      <c r="G2130" s="87">
        <v>13.339862999999999</v>
      </c>
    </row>
    <row r="2131" spans="1:7" x14ac:dyDescent="0.25">
      <c r="A2131" s="84" t="s">
        <v>411</v>
      </c>
      <c r="B2131" s="84" t="s">
        <v>75</v>
      </c>
      <c r="C2131" s="84" t="s">
        <v>392</v>
      </c>
      <c r="D2131" s="85">
        <v>10</v>
      </c>
      <c r="E2131" s="85">
        <v>273</v>
      </c>
      <c r="F2131" s="86">
        <v>21.7</v>
      </c>
      <c r="G2131" s="87">
        <v>7.9487179000000001</v>
      </c>
    </row>
    <row r="2132" spans="1:7" x14ac:dyDescent="0.25">
      <c r="A2132" s="84" t="s">
        <v>413</v>
      </c>
      <c r="B2132" s="84" t="s">
        <v>75</v>
      </c>
      <c r="C2132" s="84" t="s">
        <v>392</v>
      </c>
      <c r="D2132" s="85">
        <v>594</v>
      </c>
      <c r="E2132" s="85">
        <v>7888</v>
      </c>
      <c r="F2132" s="86">
        <v>935.5</v>
      </c>
      <c r="G2132" s="87">
        <v>11.859787000000001</v>
      </c>
    </row>
    <row r="2133" spans="1:7" x14ac:dyDescent="0.25">
      <c r="A2133" s="84" t="s">
        <v>414</v>
      </c>
      <c r="B2133" s="84" t="s">
        <v>75</v>
      </c>
      <c r="C2133" s="84" t="s">
        <v>392</v>
      </c>
      <c r="D2133" s="85">
        <v>2385</v>
      </c>
      <c r="E2133" s="85">
        <v>23176</v>
      </c>
      <c r="F2133" s="86">
        <v>3643.8</v>
      </c>
      <c r="G2133" s="87">
        <v>15.722299</v>
      </c>
    </row>
    <row r="2134" spans="1:7" x14ac:dyDescent="0.25">
      <c r="A2134" s="84" t="s">
        <v>415</v>
      </c>
      <c r="B2134" s="84" t="s">
        <v>75</v>
      </c>
      <c r="C2134" s="84" t="s">
        <v>392</v>
      </c>
      <c r="D2134" s="85">
        <v>6805</v>
      </c>
      <c r="E2134" s="85">
        <v>67529</v>
      </c>
      <c r="F2134" s="86">
        <v>8976</v>
      </c>
      <c r="G2134" s="87">
        <v>13.292066999999999</v>
      </c>
    </row>
    <row r="2135" spans="1:7" x14ac:dyDescent="0.25">
      <c r="A2135" s="84" t="s">
        <v>467</v>
      </c>
      <c r="B2135" s="84" t="s">
        <v>75</v>
      </c>
      <c r="C2135" s="84" t="s">
        <v>281</v>
      </c>
      <c r="D2135" s="85">
        <v>10</v>
      </c>
      <c r="E2135" s="85">
        <v>118</v>
      </c>
      <c r="F2135" s="86">
        <v>11.8</v>
      </c>
      <c r="G2135" s="87">
        <v>10</v>
      </c>
    </row>
    <row r="2136" spans="1:7" x14ac:dyDescent="0.25">
      <c r="A2136" s="84" t="s">
        <v>470</v>
      </c>
      <c r="B2136" s="84" t="s">
        <v>75</v>
      </c>
      <c r="C2136" s="84" t="s">
        <v>281</v>
      </c>
      <c r="D2136" s="85">
        <v>23021</v>
      </c>
      <c r="E2136" s="85">
        <v>544892</v>
      </c>
      <c r="F2136" s="86">
        <v>63886.1</v>
      </c>
      <c r="G2136" s="87">
        <v>11.724544</v>
      </c>
    </row>
    <row r="2137" spans="1:7" x14ac:dyDescent="0.25">
      <c r="A2137" s="84" t="s">
        <v>421</v>
      </c>
      <c r="B2137" s="84" t="s">
        <v>75</v>
      </c>
      <c r="C2137" s="84" t="s">
        <v>392</v>
      </c>
      <c r="D2137" s="85">
        <v>2855</v>
      </c>
      <c r="E2137" s="85">
        <v>26395</v>
      </c>
      <c r="F2137" s="86">
        <v>2963.3</v>
      </c>
      <c r="G2137" s="87">
        <v>11.226747</v>
      </c>
    </row>
    <row r="2138" spans="1:7" x14ac:dyDescent="0.25">
      <c r="A2138" s="84" t="s">
        <v>422</v>
      </c>
      <c r="B2138" s="84" t="s">
        <v>75</v>
      </c>
      <c r="C2138" s="84" t="s">
        <v>351</v>
      </c>
      <c r="D2138" s="85">
        <v>3</v>
      </c>
      <c r="E2138" s="85">
        <v>26812</v>
      </c>
      <c r="F2138" s="86">
        <v>344.7</v>
      </c>
      <c r="G2138" s="87">
        <v>1.2856183999999999</v>
      </c>
    </row>
    <row r="2139" spans="1:7" x14ac:dyDescent="0.25">
      <c r="A2139" s="84" t="s">
        <v>1510</v>
      </c>
      <c r="B2139" s="84" t="s">
        <v>75</v>
      </c>
      <c r="C2139" s="84" t="s">
        <v>281</v>
      </c>
      <c r="D2139" s="85">
        <v>5567</v>
      </c>
      <c r="E2139" s="85">
        <v>736525</v>
      </c>
      <c r="F2139" s="86">
        <v>40472</v>
      </c>
      <c r="G2139" s="87">
        <v>5.4949934000000002</v>
      </c>
    </row>
    <row r="2140" spans="1:7" x14ac:dyDescent="0.25">
      <c r="A2140" s="84" t="s">
        <v>2582</v>
      </c>
      <c r="B2140" s="84" t="s">
        <v>86</v>
      </c>
      <c r="C2140" s="84" t="s">
        <v>283</v>
      </c>
      <c r="D2140" s="85">
        <v>4392</v>
      </c>
      <c r="E2140" s="85">
        <v>80823</v>
      </c>
      <c r="F2140" s="86">
        <v>4646</v>
      </c>
      <c r="G2140" s="87">
        <v>5.7483636999999996</v>
      </c>
    </row>
    <row r="2141" spans="1:7" x14ac:dyDescent="0.25">
      <c r="A2141" s="84" t="s">
        <v>1511</v>
      </c>
      <c r="B2141" s="84" t="s">
        <v>86</v>
      </c>
      <c r="C2141" s="84" t="s">
        <v>278</v>
      </c>
      <c r="D2141" s="85">
        <v>258976</v>
      </c>
      <c r="E2141" s="85">
        <v>2595474</v>
      </c>
      <c r="F2141" s="86">
        <v>408450</v>
      </c>
      <c r="G2141" s="87">
        <v>15.73701</v>
      </c>
    </row>
    <row r="2142" spans="1:7" x14ac:dyDescent="0.25">
      <c r="A2142" s="84" t="s">
        <v>1512</v>
      </c>
      <c r="B2142" s="84" t="s">
        <v>86</v>
      </c>
      <c r="C2142" s="84" t="s">
        <v>283</v>
      </c>
      <c r="D2142" s="85">
        <v>10162</v>
      </c>
      <c r="E2142" s="85">
        <v>535292</v>
      </c>
      <c r="F2142" s="86">
        <v>20500</v>
      </c>
      <c r="G2142" s="87">
        <v>3.8296855000000001</v>
      </c>
    </row>
    <row r="2143" spans="1:7" x14ac:dyDescent="0.25">
      <c r="A2143" s="84" t="s">
        <v>1513</v>
      </c>
      <c r="B2143" s="84" t="s">
        <v>86</v>
      </c>
      <c r="C2143" s="84" t="s">
        <v>283</v>
      </c>
      <c r="D2143" s="85">
        <v>3678</v>
      </c>
      <c r="E2143" s="85">
        <v>115254</v>
      </c>
      <c r="F2143" s="86">
        <v>5857</v>
      </c>
      <c r="G2143" s="87">
        <v>5.0818193000000003</v>
      </c>
    </row>
    <row r="2144" spans="1:7" x14ac:dyDescent="0.25">
      <c r="A2144" s="84" t="s">
        <v>2583</v>
      </c>
      <c r="B2144" s="84" t="s">
        <v>86</v>
      </c>
      <c r="C2144" s="84" t="s">
        <v>283</v>
      </c>
      <c r="D2144" s="85">
        <v>1876</v>
      </c>
      <c r="E2144" s="85">
        <v>54626</v>
      </c>
      <c r="F2144" s="86">
        <v>3000</v>
      </c>
      <c r="G2144" s="87">
        <v>5.4918902999999997</v>
      </c>
    </row>
    <row r="2145" spans="1:7" x14ac:dyDescent="0.25">
      <c r="A2145" s="84" t="s">
        <v>1514</v>
      </c>
      <c r="B2145" s="84" t="s">
        <v>86</v>
      </c>
      <c r="C2145" s="84" t="s">
        <v>278</v>
      </c>
      <c r="D2145" s="85">
        <v>2773146</v>
      </c>
      <c r="E2145" s="85">
        <v>20579341</v>
      </c>
      <c r="F2145" s="86">
        <v>4544819</v>
      </c>
      <c r="G2145" s="87">
        <v>22.084375999999999</v>
      </c>
    </row>
    <row r="2146" spans="1:7" x14ac:dyDescent="0.25">
      <c r="A2146" s="84" t="s">
        <v>2584</v>
      </c>
      <c r="B2146" s="84" t="s">
        <v>86</v>
      </c>
      <c r="C2146" s="84" t="s">
        <v>281</v>
      </c>
      <c r="D2146" s="85">
        <v>5372</v>
      </c>
      <c r="E2146" s="85">
        <v>76876</v>
      </c>
      <c r="F2146" s="86">
        <v>8444</v>
      </c>
      <c r="G2146" s="87">
        <v>10.983922</v>
      </c>
    </row>
    <row r="2147" spans="1:7" x14ac:dyDescent="0.25">
      <c r="A2147" s="84" t="s">
        <v>1515</v>
      </c>
      <c r="B2147" s="84" t="s">
        <v>86</v>
      </c>
      <c r="C2147" s="84" t="s">
        <v>278</v>
      </c>
      <c r="D2147" s="85">
        <v>762</v>
      </c>
      <c r="E2147" s="85">
        <v>6155</v>
      </c>
      <c r="F2147" s="86">
        <v>1868</v>
      </c>
      <c r="G2147" s="87">
        <v>30.349309999999999</v>
      </c>
    </row>
    <row r="2148" spans="1:7" x14ac:dyDescent="0.25">
      <c r="A2148" s="84" t="s">
        <v>400</v>
      </c>
      <c r="B2148" s="84" t="s">
        <v>86</v>
      </c>
      <c r="C2148" s="84" t="s">
        <v>392</v>
      </c>
      <c r="D2148" s="85">
        <v>276</v>
      </c>
      <c r="E2148" s="85">
        <v>1785</v>
      </c>
      <c r="F2148" s="86">
        <v>273</v>
      </c>
      <c r="G2148" s="87">
        <v>15.294117999999999</v>
      </c>
    </row>
    <row r="2149" spans="1:7" x14ac:dyDescent="0.25">
      <c r="A2149" s="84" t="s">
        <v>2365</v>
      </c>
      <c r="B2149" s="84" t="s">
        <v>86</v>
      </c>
      <c r="C2149" s="84" t="s">
        <v>392</v>
      </c>
      <c r="D2149" s="85">
        <v>2</v>
      </c>
      <c r="E2149" s="85">
        <v>15235</v>
      </c>
      <c r="F2149" s="86">
        <v>1441.6</v>
      </c>
      <c r="G2149" s="87">
        <v>9.4624220999999995</v>
      </c>
    </row>
    <row r="2150" spans="1:7" x14ac:dyDescent="0.25">
      <c r="A2150" s="84" t="s">
        <v>1516</v>
      </c>
      <c r="B2150" s="84" t="s">
        <v>86</v>
      </c>
      <c r="C2150" s="84" t="s">
        <v>283</v>
      </c>
      <c r="D2150" s="85">
        <v>18971</v>
      </c>
      <c r="E2150" s="85">
        <v>434401</v>
      </c>
      <c r="F2150" s="86">
        <v>35193.9</v>
      </c>
      <c r="G2150" s="87">
        <v>8.1017078999999992</v>
      </c>
    </row>
    <row r="2151" spans="1:7" x14ac:dyDescent="0.25">
      <c r="A2151" s="84" t="s">
        <v>1517</v>
      </c>
      <c r="B2151" s="84" t="s">
        <v>86</v>
      </c>
      <c r="C2151" s="84" t="s">
        <v>283</v>
      </c>
      <c r="D2151" s="85">
        <v>4839</v>
      </c>
      <c r="E2151" s="85">
        <v>173207</v>
      </c>
      <c r="F2151" s="86">
        <v>9268.2999999999993</v>
      </c>
      <c r="G2151" s="87">
        <v>5.3509962</v>
      </c>
    </row>
    <row r="2152" spans="1:7" x14ac:dyDescent="0.25">
      <c r="A2152" s="84" t="s">
        <v>1518</v>
      </c>
      <c r="B2152" s="84" t="s">
        <v>86</v>
      </c>
      <c r="C2152" s="84" t="s">
        <v>174</v>
      </c>
      <c r="D2152" s="85">
        <v>1133473</v>
      </c>
      <c r="E2152" s="85">
        <v>17761733</v>
      </c>
      <c r="F2152" s="86">
        <v>3425475.1</v>
      </c>
      <c r="G2152" s="87">
        <v>19.285703000000002</v>
      </c>
    </row>
    <row r="2153" spans="1:7" x14ac:dyDescent="0.25">
      <c r="A2153" s="84" t="s">
        <v>401</v>
      </c>
      <c r="B2153" s="84" t="s">
        <v>86</v>
      </c>
      <c r="C2153" s="84" t="s">
        <v>392</v>
      </c>
      <c r="D2153" s="85">
        <v>3</v>
      </c>
      <c r="E2153" s="85">
        <v>1024</v>
      </c>
      <c r="F2153" s="86">
        <v>181.6</v>
      </c>
      <c r="G2153" s="87">
        <v>17.734375</v>
      </c>
    </row>
    <row r="2154" spans="1:7" x14ac:dyDescent="0.25">
      <c r="A2154" s="84" t="s">
        <v>2585</v>
      </c>
      <c r="B2154" s="84" t="s">
        <v>86</v>
      </c>
      <c r="C2154" s="84" t="s">
        <v>283</v>
      </c>
      <c r="D2154" s="85">
        <v>1324</v>
      </c>
      <c r="E2154" s="85">
        <v>21264</v>
      </c>
      <c r="F2154" s="86">
        <v>836</v>
      </c>
      <c r="G2154" s="87">
        <v>3.9315275000000001</v>
      </c>
    </row>
    <row r="2155" spans="1:7" x14ac:dyDescent="0.25">
      <c r="A2155" s="84" t="s">
        <v>1519</v>
      </c>
      <c r="B2155" s="84" t="s">
        <v>86</v>
      </c>
      <c r="C2155" s="84" t="s">
        <v>278</v>
      </c>
      <c r="D2155" s="85">
        <v>728822</v>
      </c>
      <c r="E2155" s="85">
        <v>7299319</v>
      </c>
      <c r="F2155" s="86">
        <v>798555.3</v>
      </c>
      <c r="G2155" s="87">
        <v>10.940134</v>
      </c>
    </row>
    <row r="2156" spans="1:7" x14ac:dyDescent="0.25">
      <c r="A2156" s="84" t="s">
        <v>1520</v>
      </c>
      <c r="B2156" s="84" t="s">
        <v>86</v>
      </c>
      <c r="C2156" s="84" t="s">
        <v>278</v>
      </c>
      <c r="D2156" s="85">
        <v>1396453</v>
      </c>
      <c r="E2156" s="85">
        <v>14118253</v>
      </c>
      <c r="F2156" s="86">
        <v>1562723.3</v>
      </c>
      <c r="G2156" s="87">
        <v>11.068815000000001</v>
      </c>
    </row>
    <row r="2157" spans="1:7" x14ac:dyDescent="0.25">
      <c r="A2157" s="84" t="s">
        <v>1521</v>
      </c>
      <c r="B2157" s="84" t="s">
        <v>86</v>
      </c>
      <c r="C2157" s="84" t="s">
        <v>281</v>
      </c>
      <c r="D2157" s="85">
        <v>1860</v>
      </c>
      <c r="E2157" s="85">
        <v>7428</v>
      </c>
      <c r="F2157" s="86">
        <v>1989.5</v>
      </c>
      <c r="G2157" s="87">
        <v>26.783791000000001</v>
      </c>
    </row>
    <row r="2158" spans="1:7" x14ac:dyDescent="0.25">
      <c r="A2158" s="84" t="s">
        <v>1522</v>
      </c>
      <c r="B2158" s="84" t="s">
        <v>86</v>
      </c>
      <c r="C2158" s="84" t="s">
        <v>278</v>
      </c>
      <c r="D2158" s="85">
        <v>159741</v>
      </c>
      <c r="E2158" s="85">
        <v>1646468</v>
      </c>
      <c r="F2158" s="86">
        <v>278278.7</v>
      </c>
      <c r="G2158" s="87">
        <v>16.901554999999998</v>
      </c>
    </row>
    <row r="2159" spans="1:7" x14ac:dyDescent="0.25">
      <c r="A2159" s="84" t="s">
        <v>2586</v>
      </c>
      <c r="B2159" s="84" t="s">
        <v>86</v>
      </c>
      <c r="C2159" s="84" t="s">
        <v>281</v>
      </c>
      <c r="D2159" s="85">
        <v>4780</v>
      </c>
      <c r="E2159" s="85">
        <v>52056</v>
      </c>
      <c r="F2159" s="86">
        <v>6399.2</v>
      </c>
      <c r="G2159" s="87">
        <v>12.292915000000001</v>
      </c>
    </row>
    <row r="2160" spans="1:7" x14ac:dyDescent="0.25">
      <c r="A2160" s="84" t="s">
        <v>1523</v>
      </c>
      <c r="B2160" s="84" t="s">
        <v>86</v>
      </c>
      <c r="C2160" s="84" t="s">
        <v>278</v>
      </c>
      <c r="D2160" s="85">
        <v>3624</v>
      </c>
      <c r="E2160" s="85">
        <v>48206</v>
      </c>
      <c r="F2160" s="86">
        <v>4728</v>
      </c>
      <c r="G2160" s="87">
        <v>9.8079076999999995</v>
      </c>
    </row>
    <row r="2161" spans="1:7" x14ac:dyDescent="0.25">
      <c r="A2161" s="84" t="s">
        <v>1524</v>
      </c>
      <c r="B2161" s="84" t="s">
        <v>86</v>
      </c>
      <c r="C2161" s="84" t="s">
        <v>278</v>
      </c>
      <c r="D2161" s="85">
        <v>320396</v>
      </c>
      <c r="E2161" s="85">
        <v>2970442</v>
      </c>
      <c r="F2161" s="86">
        <v>371706.7</v>
      </c>
      <c r="G2161" s="87">
        <v>12.513515</v>
      </c>
    </row>
    <row r="2162" spans="1:7" x14ac:dyDescent="0.25">
      <c r="A2162" s="84" t="s">
        <v>408</v>
      </c>
      <c r="B2162" s="84" t="s">
        <v>86</v>
      </c>
      <c r="C2162" s="84" t="s">
        <v>392</v>
      </c>
      <c r="D2162" s="85">
        <v>17149</v>
      </c>
      <c r="E2162" s="85">
        <v>137969</v>
      </c>
      <c r="F2162" s="86">
        <v>21672.6</v>
      </c>
      <c r="G2162" s="87">
        <v>15.708311</v>
      </c>
    </row>
    <row r="2163" spans="1:7" x14ac:dyDescent="0.25">
      <c r="A2163" s="84" t="s">
        <v>409</v>
      </c>
      <c r="B2163" s="84" t="s">
        <v>86</v>
      </c>
      <c r="C2163" s="84" t="s">
        <v>392</v>
      </c>
      <c r="D2163" s="85">
        <v>1089</v>
      </c>
      <c r="E2163" s="85">
        <v>7755</v>
      </c>
      <c r="F2163" s="86">
        <v>1331.1</v>
      </c>
      <c r="G2163" s="87">
        <v>17.16441</v>
      </c>
    </row>
    <row r="2164" spans="1:7" x14ac:dyDescent="0.25">
      <c r="A2164" s="84" t="s">
        <v>1525</v>
      </c>
      <c r="B2164" s="84" t="s">
        <v>86</v>
      </c>
      <c r="C2164" s="84" t="s">
        <v>281</v>
      </c>
      <c r="D2164" s="85">
        <v>6318</v>
      </c>
      <c r="E2164" s="85">
        <v>87989</v>
      </c>
      <c r="F2164" s="86">
        <v>10093</v>
      </c>
      <c r="G2164" s="87">
        <v>11.470751999999999</v>
      </c>
    </row>
    <row r="2165" spans="1:7" x14ac:dyDescent="0.25">
      <c r="A2165" s="84" t="s">
        <v>412</v>
      </c>
      <c r="B2165" s="84" t="s">
        <v>86</v>
      </c>
      <c r="C2165" s="84" t="s">
        <v>392</v>
      </c>
      <c r="D2165" s="85">
        <v>28</v>
      </c>
      <c r="E2165" s="85">
        <v>107</v>
      </c>
      <c r="F2165" s="86">
        <v>12</v>
      </c>
      <c r="G2165" s="87">
        <v>11.214953</v>
      </c>
    </row>
    <row r="2166" spans="1:7" x14ac:dyDescent="0.25">
      <c r="A2166" s="84" t="s">
        <v>413</v>
      </c>
      <c r="B2166" s="84" t="s">
        <v>86</v>
      </c>
      <c r="C2166" s="84" t="s">
        <v>392</v>
      </c>
      <c r="D2166" s="85">
        <v>8123</v>
      </c>
      <c r="E2166" s="85">
        <v>71777</v>
      </c>
      <c r="F2166" s="86">
        <v>12480.6</v>
      </c>
      <c r="G2166" s="87">
        <v>17.388020999999998</v>
      </c>
    </row>
    <row r="2167" spans="1:7" x14ac:dyDescent="0.25">
      <c r="A2167" s="84" t="s">
        <v>414</v>
      </c>
      <c r="B2167" s="84" t="s">
        <v>86</v>
      </c>
      <c r="C2167" s="84" t="s">
        <v>392</v>
      </c>
      <c r="D2167" s="85">
        <v>3185</v>
      </c>
      <c r="E2167" s="85">
        <v>24180</v>
      </c>
      <c r="F2167" s="86">
        <v>5237.2</v>
      </c>
      <c r="G2167" s="87">
        <v>21.659222</v>
      </c>
    </row>
    <row r="2168" spans="1:7" x14ac:dyDescent="0.25">
      <c r="A2168" s="84" t="s">
        <v>415</v>
      </c>
      <c r="B2168" s="84" t="s">
        <v>86</v>
      </c>
      <c r="C2168" s="84" t="s">
        <v>392</v>
      </c>
      <c r="D2168" s="85">
        <v>14614</v>
      </c>
      <c r="E2168" s="85">
        <v>94112</v>
      </c>
      <c r="F2168" s="86">
        <v>18911</v>
      </c>
      <c r="G2168" s="87">
        <v>20.094142999999999</v>
      </c>
    </row>
    <row r="2169" spans="1:7" x14ac:dyDescent="0.25">
      <c r="A2169" s="84" t="s">
        <v>416</v>
      </c>
      <c r="B2169" s="84" t="s">
        <v>86</v>
      </c>
      <c r="C2169" s="84" t="s">
        <v>392</v>
      </c>
      <c r="D2169" s="85">
        <v>6</v>
      </c>
      <c r="E2169" s="85">
        <v>1714</v>
      </c>
      <c r="F2169" s="86">
        <v>219.8</v>
      </c>
      <c r="G2169" s="87">
        <v>12.823804000000001</v>
      </c>
    </row>
    <row r="2170" spans="1:7" x14ac:dyDescent="0.25">
      <c r="A2170" s="84" t="s">
        <v>1526</v>
      </c>
      <c r="B2170" s="84" t="s">
        <v>86</v>
      </c>
      <c r="C2170" s="84" t="s">
        <v>283</v>
      </c>
      <c r="D2170" s="85">
        <v>9330</v>
      </c>
      <c r="E2170" s="85">
        <v>205857</v>
      </c>
      <c r="F2170" s="86">
        <v>11934.9</v>
      </c>
      <c r="G2170" s="87">
        <v>5.7976653999999996</v>
      </c>
    </row>
    <row r="2171" spans="1:7" x14ac:dyDescent="0.25">
      <c r="A2171" s="84" t="s">
        <v>2587</v>
      </c>
      <c r="B2171" s="84" t="s">
        <v>86</v>
      </c>
      <c r="C2171" s="84" t="s">
        <v>283</v>
      </c>
      <c r="D2171" s="85">
        <v>1653</v>
      </c>
      <c r="E2171" s="85">
        <v>54769</v>
      </c>
      <c r="F2171" s="86">
        <v>2873</v>
      </c>
      <c r="G2171" s="87">
        <v>5.2456681999999999</v>
      </c>
    </row>
    <row r="2172" spans="1:7" x14ac:dyDescent="0.25">
      <c r="A2172" s="84" t="s">
        <v>2588</v>
      </c>
      <c r="B2172" s="84" t="s">
        <v>86</v>
      </c>
      <c r="C2172" s="84" t="s">
        <v>283</v>
      </c>
      <c r="D2172" s="85">
        <v>610</v>
      </c>
      <c r="E2172" s="85">
        <v>7071</v>
      </c>
      <c r="F2172" s="86">
        <v>308</v>
      </c>
      <c r="G2172" s="87">
        <v>4.3558195</v>
      </c>
    </row>
    <row r="2173" spans="1:7" x14ac:dyDescent="0.25">
      <c r="A2173" s="84" t="s">
        <v>2589</v>
      </c>
      <c r="B2173" s="84" t="s">
        <v>86</v>
      </c>
      <c r="C2173" s="84" t="s">
        <v>283</v>
      </c>
      <c r="D2173" s="85">
        <v>723</v>
      </c>
      <c r="E2173" s="85">
        <v>10025</v>
      </c>
      <c r="F2173" s="86">
        <v>694.3</v>
      </c>
      <c r="G2173" s="87">
        <v>6.9256858000000001</v>
      </c>
    </row>
    <row r="2174" spans="1:7" x14ac:dyDescent="0.25">
      <c r="A2174" s="84" t="s">
        <v>1527</v>
      </c>
      <c r="B2174" s="84" t="s">
        <v>86</v>
      </c>
      <c r="C2174" s="84" t="s">
        <v>283</v>
      </c>
      <c r="D2174" s="85">
        <v>4175</v>
      </c>
      <c r="E2174" s="85">
        <v>164984</v>
      </c>
      <c r="F2174" s="86">
        <v>7890</v>
      </c>
      <c r="G2174" s="87">
        <v>4.7822819000000001</v>
      </c>
    </row>
    <row r="2175" spans="1:7" x14ac:dyDescent="0.25">
      <c r="A2175" s="84" t="s">
        <v>2590</v>
      </c>
      <c r="B2175" s="84" t="s">
        <v>86</v>
      </c>
      <c r="C2175" s="84" t="s">
        <v>283</v>
      </c>
      <c r="D2175" s="85">
        <v>660</v>
      </c>
      <c r="E2175" s="85">
        <v>34207</v>
      </c>
      <c r="F2175" s="86">
        <v>2368</v>
      </c>
      <c r="G2175" s="87">
        <v>6.9225596999999999</v>
      </c>
    </row>
    <row r="2176" spans="1:7" x14ac:dyDescent="0.25">
      <c r="A2176" s="84" t="s">
        <v>2591</v>
      </c>
      <c r="B2176" s="84" t="s">
        <v>86</v>
      </c>
      <c r="C2176" s="84" t="s">
        <v>283</v>
      </c>
      <c r="D2176" s="85">
        <v>3434</v>
      </c>
      <c r="E2176" s="85">
        <v>81847</v>
      </c>
      <c r="F2176" s="86">
        <v>4361.3</v>
      </c>
      <c r="G2176" s="87">
        <v>5.3286008999999996</v>
      </c>
    </row>
    <row r="2177" spans="1:7" x14ac:dyDescent="0.25">
      <c r="A2177" s="84" t="s">
        <v>2592</v>
      </c>
      <c r="B2177" s="84" t="s">
        <v>86</v>
      </c>
      <c r="C2177" s="84" t="s">
        <v>283</v>
      </c>
      <c r="D2177" s="85">
        <v>876</v>
      </c>
      <c r="E2177" s="85">
        <v>15213</v>
      </c>
      <c r="F2177" s="86">
        <v>780.2</v>
      </c>
      <c r="G2177" s="87">
        <v>5.1285084999999997</v>
      </c>
    </row>
    <row r="2178" spans="1:7" x14ac:dyDescent="0.25">
      <c r="A2178" s="84" t="s">
        <v>2593</v>
      </c>
      <c r="B2178" s="84" t="s">
        <v>86</v>
      </c>
      <c r="C2178" s="84" t="s">
        <v>283</v>
      </c>
      <c r="D2178" s="85">
        <v>630</v>
      </c>
      <c r="E2178" s="85">
        <v>9808</v>
      </c>
      <c r="F2178" s="86">
        <v>582</v>
      </c>
      <c r="G2178" s="87">
        <v>5.9339314999999999</v>
      </c>
    </row>
    <row r="2179" spans="1:7" x14ac:dyDescent="0.25">
      <c r="A2179" s="84" t="s">
        <v>2594</v>
      </c>
      <c r="B2179" s="84" t="s">
        <v>86</v>
      </c>
      <c r="C2179" s="84" t="s">
        <v>283</v>
      </c>
      <c r="D2179" s="85">
        <v>1084</v>
      </c>
      <c r="E2179" s="85">
        <v>21998</v>
      </c>
      <c r="F2179" s="86">
        <v>1593.2</v>
      </c>
      <c r="G2179" s="87">
        <v>7.2424765999999998</v>
      </c>
    </row>
    <row r="2180" spans="1:7" x14ac:dyDescent="0.25">
      <c r="A2180" s="84" t="s">
        <v>2595</v>
      </c>
      <c r="B2180" s="84" t="s">
        <v>86</v>
      </c>
      <c r="C2180" s="84" t="s">
        <v>283</v>
      </c>
      <c r="D2180" s="85">
        <v>3215</v>
      </c>
      <c r="E2180" s="85">
        <v>53783</v>
      </c>
      <c r="F2180" s="86">
        <v>3286</v>
      </c>
      <c r="G2180" s="87">
        <v>6.1097372999999999</v>
      </c>
    </row>
    <row r="2181" spans="1:7" x14ac:dyDescent="0.25">
      <c r="A2181" s="84" t="s">
        <v>1528</v>
      </c>
      <c r="B2181" s="84" t="s">
        <v>86</v>
      </c>
      <c r="C2181" s="84" t="s">
        <v>283</v>
      </c>
      <c r="D2181" s="85">
        <v>17667</v>
      </c>
      <c r="E2181" s="85">
        <v>428275</v>
      </c>
      <c r="F2181" s="86">
        <v>22943.3</v>
      </c>
      <c r="G2181" s="87">
        <v>5.3571419999999996</v>
      </c>
    </row>
    <row r="2182" spans="1:7" x14ac:dyDescent="0.25">
      <c r="A2182" s="84" t="s">
        <v>2596</v>
      </c>
      <c r="B2182" s="84" t="s">
        <v>86</v>
      </c>
      <c r="C2182" s="84" t="s">
        <v>283</v>
      </c>
      <c r="D2182" s="85">
        <v>1670</v>
      </c>
      <c r="E2182" s="85">
        <v>33200</v>
      </c>
      <c r="F2182" s="86">
        <v>1290</v>
      </c>
      <c r="G2182" s="87">
        <v>3.8855422000000002</v>
      </c>
    </row>
    <row r="2183" spans="1:7" x14ac:dyDescent="0.25">
      <c r="A2183" s="84" t="s">
        <v>1529</v>
      </c>
      <c r="B2183" s="84" t="s">
        <v>86</v>
      </c>
      <c r="C2183" s="84" t="s">
        <v>283</v>
      </c>
      <c r="D2183" s="85">
        <v>14889</v>
      </c>
      <c r="E2183" s="85">
        <v>245949</v>
      </c>
      <c r="F2183" s="86">
        <v>30781</v>
      </c>
      <c r="G2183" s="87">
        <v>12.515196</v>
      </c>
    </row>
    <row r="2184" spans="1:7" x14ac:dyDescent="0.25">
      <c r="A2184" s="84" t="s">
        <v>2597</v>
      </c>
      <c r="B2184" s="84" t="s">
        <v>86</v>
      </c>
      <c r="C2184" s="84" t="s">
        <v>283</v>
      </c>
      <c r="D2184" s="85">
        <v>1641</v>
      </c>
      <c r="E2184" s="85">
        <v>27939</v>
      </c>
      <c r="F2184" s="86">
        <v>2945</v>
      </c>
      <c r="G2184" s="87">
        <v>10.540820999999999</v>
      </c>
    </row>
    <row r="2185" spans="1:7" x14ac:dyDescent="0.25">
      <c r="A2185" s="84" t="s">
        <v>2598</v>
      </c>
      <c r="B2185" s="84" t="s">
        <v>86</v>
      </c>
      <c r="C2185" s="84" t="s">
        <v>283</v>
      </c>
      <c r="D2185" s="85">
        <v>1265</v>
      </c>
      <c r="E2185" s="85">
        <v>44121</v>
      </c>
      <c r="F2185" s="86">
        <v>2192</v>
      </c>
      <c r="G2185" s="87">
        <v>4.9681557999999999</v>
      </c>
    </row>
    <row r="2186" spans="1:7" x14ac:dyDescent="0.25">
      <c r="A2186" s="84" t="s">
        <v>2599</v>
      </c>
      <c r="B2186" s="84" t="s">
        <v>86</v>
      </c>
      <c r="C2186" s="84" t="s">
        <v>283</v>
      </c>
      <c r="D2186" s="85">
        <v>1158</v>
      </c>
      <c r="E2186" s="85">
        <v>27561</v>
      </c>
      <c r="F2186" s="86">
        <v>1489</v>
      </c>
      <c r="G2186" s="87">
        <v>5.4025616000000003</v>
      </c>
    </row>
    <row r="2187" spans="1:7" x14ac:dyDescent="0.25">
      <c r="A2187" s="84" t="s">
        <v>2600</v>
      </c>
      <c r="B2187" s="84" t="s">
        <v>86</v>
      </c>
      <c r="C2187" s="84" t="s">
        <v>283</v>
      </c>
      <c r="D2187" s="85">
        <v>1705</v>
      </c>
      <c r="E2187" s="85">
        <v>65327</v>
      </c>
      <c r="F2187" s="86">
        <v>3087</v>
      </c>
      <c r="G2187" s="87">
        <v>4.7254581</v>
      </c>
    </row>
    <row r="2188" spans="1:7" x14ac:dyDescent="0.25">
      <c r="A2188" s="84" t="s">
        <v>2601</v>
      </c>
      <c r="B2188" s="84" t="s">
        <v>86</v>
      </c>
      <c r="C2188" s="84" t="s">
        <v>283</v>
      </c>
      <c r="D2188" s="85">
        <v>938</v>
      </c>
      <c r="E2188" s="85">
        <v>35866</v>
      </c>
      <c r="F2188" s="86">
        <v>1875.5</v>
      </c>
      <c r="G2188" s="87">
        <v>5.2291863999999997</v>
      </c>
    </row>
    <row r="2189" spans="1:7" x14ac:dyDescent="0.25">
      <c r="A2189" s="84" t="s">
        <v>2602</v>
      </c>
      <c r="B2189" s="84" t="s">
        <v>86</v>
      </c>
      <c r="C2189" s="84" t="s">
        <v>283</v>
      </c>
      <c r="D2189" s="85">
        <v>4186</v>
      </c>
      <c r="E2189" s="85">
        <v>89412</v>
      </c>
      <c r="F2189" s="86">
        <v>4096</v>
      </c>
      <c r="G2189" s="87">
        <v>4.5810405999999997</v>
      </c>
    </row>
    <row r="2190" spans="1:7" x14ac:dyDescent="0.25">
      <c r="A2190" s="84" t="s">
        <v>2603</v>
      </c>
      <c r="B2190" s="84" t="s">
        <v>86</v>
      </c>
      <c r="C2190" s="84" t="s">
        <v>283</v>
      </c>
      <c r="D2190" s="85">
        <v>1395</v>
      </c>
      <c r="E2190" s="85">
        <v>21070</v>
      </c>
      <c r="F2190" s="86">
        <v>1701.4</v>
      </c>
      <c r="G2190" s="87">
        <v>8.0749881000000006</v>
      </c>
    </row>
    <row r="2191" spans="1:7" x14ac:dyDescent="0.25">
      <c r="A2191" s="84" t="s">
        <v>2604</v>
      </c>
      <c r="B2191" s="84" t="s">
        <v>86</v>
      </c>
      <c r="C2191" s="84" t="s">
        <v>283</v>
      </c>
      <c r="D2191" s="85">
        <v>854</v>
      </c>
      <c r="E2191" s="85">
        <v>22673</v>
      </c>
      <c r="F2191" s="86">
        <v>1468</v>
      </c>
      <c r="G2191" s="87">
        <v>6.4746614999999998</v>
      </c>
    </row>
    <row r="2192" spans="1:7" x14ac:dyDescent="0.25">
      <c r="A2192" s="84" t="s">
        <v>2605</v>
      </c>
      <c r="B2192" s="84" t="s">
        <v>86</v>
      </c>
      <c r="C2192" s="84" t="s">
        <v>283</v>
      </c>
      <c r="D2192" s="85">
        <v>1177</v>
      </c>
      <c r="E2192" s="85">
        <v>26696</v>
      </c>
      <c r="F2192" s="86">
        <v>1749.3</v>
      </c>
      <c r="G2192" s="87">
        <v>6.5526670999999999</v>
      </c>
    </row>
    <row r="2193" spans="1:7" x14ac:dyDescent="0.25">
      <c r="A2193" s="84" t="s">
        <v>2606</v>
      </c>
      <c r="B2193" s="84" t="s">
        <v>86</v>
      </c>
      <c r="C2193" s="84" t="s">
        <v>283</v>
      </c>
      <c r="D2193" s="85">
        <v>3102</v>
      </c>
      <c r="E2193" s="85">
        <v>95460</v>
      </c>
      <c r="F2193" s="86">
        <v>3057.1</v>
      </c>
      <c r="G2193" s="87">
        <v>3.2024932000000002</v>
      </c>
    </row>
    <row r="2194" spans="1:7" x14ac:dyDescent="0.25">
      <c r="A2194" s="84" t="s">
        <v>2607</v>
      </c>
      <c r="B2194" s="84" t="s">
        <v>86</v>
      </c>
      <c r="C2194" s="84" t="s">
        <v>283</v>
      </c>
      <c r="D2194" s="85">
        <v>714</v>
      </c>
      <c r="E2194" s="85">
        <v>10162</v>
      </c>
      <c r="F2194" s="86">
        <v>601.5</v>
      </c>
      <c r="G2194" s="87">
        <v>5.9191104000000001</v>
      </c>
    </row>
    <row r="2195" spans="1:7" x14ac:dyDescent="0.25">
      <c r="A2195" s="84" t="s">
        <v>2608</v>
      </c>
      <c r="B2195" s="84" t="s">
        <v>86</v>
      </c>
      <c r="C2195" s="84" t="s">
        <v>283</v>
      </c>
      <c r="D2195" s="85">
        <v>1174</v>
      </c>
      <c r="E2195" s="85">
        <v>18448</v>
      </c>
      <c r="F2195" s="86">
        <v>1306</v>
      </c>
      <c r="G2195" s="87">
        <v>7.0793581999999997</v>
      </c>
    </row>
    <row r="2196" spans="1:7" x14ac:dyDescent="0.25">
      <c r="A2196" s="84" t="s">
        <v>1530</v>
      </c>
      <c r="B2196" s="84" t="s">
        <v>86</v>
      </c>
      <c r="C2196" s="84" t="s">
        <v>283</v>
      </c>
      <c r="D2196" s="85">
        <v>10896</v>
      </c>
      <c r="E2196" s="85">
        <v>197448</v>
      </c>
      <c r="F2196" s="86">
        <v>23707.599999999999</v>
      </c>
      <c r="G2196" s="87">
        <v>12.007009</v>
      </c>
    </row>
    <row r="2197" spans="1:7" x14ac:dyDescent="0.25">
      <c r="A2197" s="84" t="s">
        <v>1531</v>
      </c>
      <c r="B2197" s="84" t="s">
        <v>86</v>
      </c>
      <c r="C2197" s="84" t="s">
        <v>283</v>
      </c>
      <c r="D2197" s="85">
        <v>1338</v>
      </c>
      <c r="E2197" s="85">
        <v>44405</v>
      </c>
      <c r="F2197" s="86">
        <v>1391.1</v>
      </c>
      <c r="G2197" s="87">
        <v>3.1327552999999999</v>
      </c>
    </row>
    <row r="2198" spans="1:7" x14ac:dyDescent="0.25">
      <c r="A2198" s="84" t="s">
        <v>2609</v>
      </c>
      <c r="B2198" s="84" t="s">
        <v>86</v>
      </c>
      <c r="C2198" s="84" t="s">
        <v>283</v>
      </c>
      <c r="D2198" s="85">
        <v>2388</v>
      </c>
      <c r="E2198" s="85">
        <v>79519</v>
      </c>
      <c r="F2198" s="86">
        <v>3723</v>
      </c>
      <c r="G2198" s="87">
        <v>4.6818999000000003</v>
      </c>
    </row>
    <row r="2199" spans="1:7" x14ac:dyDescent="0.25">
      <c r="A2199" s="84" t="s">
        <v>2610</v>
      </c>
      <c r="B2199" s="84" t="s">
        <v>86</v>
      </c>
      <c r="C2199" s="84" t="s">
        <v>283</v>
      </c>
      <c r="D2199" s="85">
        <v>486</v>
      </c>
      <c r="E2199" s="85">
        <v>6898</v>
      </c>
      <c r="F2199" s="86">
        <v>450</v>
      </c>
      <c r="G2199" s="87">
        <v>6.5236299999999998</v>
      </c>
    </row>
    <row r="2200" spans="1:7" x14ac:dyDescent="0.25">
      <c r="A2200" s="84" t="s">
        <v>2611</v>
      </c>
      <c r="B2200" s="84" t="s">
        <v>86</v>
      </c>
      <c r="C2200" s="84" t="s">
        <v>283</v>
      </c>
      <c r="D2200" s="85">
        <v>1631</v>
      </c>
      <c r="E2200" s="85">
        <v>33498</v>
      </c>
      <c r="F2200" s="86">
        <v>1229.8</v>
      </c>
      <c r="G2200" s="87">
        <v>3.6712639999999999</v>
      </c>
    </row>
    <row r="2201" spans="1:7" x14ac:dyDescent="0.25">
      <c r="A2201" s="84" t="s">
        <v>1532</v>
      </c>
      <c r="B2201" s="84" t="s">
        <v>86</v>
      </c>
      <c r="C2201" s="84" t="s">
        <v>283</v>
      </c>
      <c r="D2201" s="85">
        <v>5182</v>
      </c>
      <c r="E2201" s="85">
        <v>556276</v>
      </c>
      <c r="F2201" s="86">
        <v>26748.3</v>
      </c>
      <c r="G2201" s="87">
        <v>4.8084584000000001</v>
      </c>
    </row>
    <row r="2202" spans="1:7" x14ac:dyDescent="0.25">
      <c r="A2202" s="84" t="s">
        <v>2612</v>
      </c>
      <c r="B2202" s="84" t="s">
        <v>86</v>
      </c>
      <c r="C2202" s="84" t="s">
        <v>283</v>
      </c>
      <c r="D2202" s="85">
        <v>2888</v>
      </c>
      <c r="E2202" s="85">
        <v>67547</v>
      </c>
      <c r="F2202" s="86">
        <v>3081.3</v>
      </c>
      <c r="G2202" s="87">
        <v>4.5617125999999999</v>
      </c>
    </row>
    <row r="2203" spans="1:7" x14ac:dyDescent="0.25">
      <c r="A2203" s="84" t="s">
        <v>2613</v>
      </c>
      <c r="B2203" s="84" t="s">
        <v>86</v>
      </c>
      <c r="C2203" s="84" t="s">
        <v>283</v>
      </c>
      <c r="D2203" s="85">
        <v>2682</v>
      </c>
      <c r="E2203" s="85">
        <v>58281</v>
      </c>
      <c r="F2203" s="86">
        <v>3210.6</v>
      </c>
      <c r="G2203" s="87">
        <v>5.5088279</v>
      </c>
    </row>
    <row r="2204" spans="1:7" x14ac:dyDescent="0.25">
      <c r="A2204" s="84" t="s">
        <v>2614</v>
      </c>
      <c r="B2204" s="84" t="s">
        <v>86</v>
      </c>
      <c r="C2204" s="84" t="s">
        <v>283</v>
      </c>
      <c r="D2204" s="85">
        <v>467</v>
      </c>
      <c r="E2204" s="85">
        <v>7277</v>
      </c>
      <c r="F2204" s="86">
        <v>546.79999999999995</v>
      </c>
      <c r="G2204" s="87">
        <v>7.5140855000000002</v>
      </c>
    </row>
    <row r="2205" spans="1:7" x14ac:dyDescent="0.25">
      <c r="A2205" s="84" t="s">
        <v>2615</v>
      </c>
      <c r="B2205" s="84" t="s">
        <v>86</v>
      </c>
      <c r="C2205" s="84" t="s">
        <v>283</v>
      </c>
      <c r="D2205" s="85">
        <v>3412</v>
      </c>
      <c r="E2205" s="85">
        <v>78677</v>
      </c>
      <c r="F2205" s="86">
        <v>4295</v>
      </c>
      <c r="G2205" s="87">
        <v>5.4590287000000002</v>
      </c>
    </row>
    <row r="2206" spans="1:7" x14ac:dyDescent="0.25">
      <c r="A2206" s="84" t="s">
        <v>2616</v>
      </c>
      <c r="B2206" s="84" t="s">
        <v>86</v>
      </c>
      <c r="C2206" s="84" t="s">
        <v>283</v>
      </c>
      <c r="D2206" s="85">
        <v>1464</v>
      </c>
      <c r="E2206" s="85">
        <v>57692</v>
      </c>
      <c r="F2206" s="86">
        <v>2120</v>
      </c>
      <c r="G2206" s="87">
        <v>3.6746862999999999</v>
      </c>
    </row>
    <row r="2207" spans="1:7" x14ac:dyDescent="0.25">
      <c r="A2207" s="84" t="s">
        <v>2617</v>
      </c>
      <c r="B2207" s="84" t="s">
        <v>86</v>
      </c>
      <c r="C2207" s="84" t="s">
        <v>283</v>
      </c>
      <c r="D2207" s="85">
        <v>2589</v>
      </c>
      <c r="E2207" s="85">
        <v>53697</v>
      </c>
      <c r="F2207" s="86">
        <v>3812.1</v>
      </c>
      <c r="G2207" s="87">
        <v>7.0992793000000001</v>
      </c>
    </row>
    <row r="2208" spans="1:7" x14ac:dyDescent="0.25">
      <c r="A2208" s="84" t="s">
        <v>2618</v>
      </c>
      <c r="B2208" s="84" t="s">
        <v>86</v>
      </c>
      <c r="C2208" s="84" t="s">
        <v>283</v>
      </c>
      <c r="D2208" s="85">
        <v>2979</v>
      </c>
      <c r="E2208" s="85">
        <v>75573</v>
      </c>
      <c r="F2208" s="86">
        <v>4094.8</v>
      </c>
      <c r="G2208" s="87">
        <v>5.4183371999999999</v>
      </c>
    </row>
    <row r="2209" spans="1:7" x14ac:dyDescent="0.25">
      <c r="A2209" s="84" t="s">
        <v>421</v>
      </c>
      <c r="B2209" s="84" t="s">
        <v>86</v>
      </c>
      <c r="C2209" s="84" t="s">
        <v>392</v>
      </c>
      <c r="D2209" s="85">
        <v>13638</v>
      </c>
      <c r="E2209" s="85">
        <v>98447</v>
      </c>
      <c r="F2209" s="86">
        <v>15370.4</v>
      </c>
      <c r="G2209" s="87">
        <v>15.612868000000001</v>
      </c>
    </row>
    <row r="2210" spans="1:7" x14ac:dyDescent="0.25">
      <c r="A2210" s="84" t="s">
        <v>1533</v>
      </c>
      <c r="B2210" s="84" t="s">
        <v>94</v>
      </c>
      <c r="C2210" s="84" t="s">
        <v>281</v>
      </c>
      <c r="D2210" s="85">
        <v>7479</v>
      </c>
      <c r="E2210" s="85">
        <v>108752</v>
      </c>
      <c r="F2210" s="86">
        <v>15093</v>
      </c>
      <c r="G2210" s="87">
        <v>13.878365000000001</v>
      </c>
    </row>
    <row r="2211" spans="1:7" x14ac:dyDescent="0.25">
      <c r="A2211" s="84" t="s">
        <v>1534</v>
      </c>
      <c r="B2211" s="84" t="s">
        <v>94</v>
      </c>
      <c r="C2211" s="84" t="s">
        <v>281</v>
      </c>
      <c r="D2211" s="85">
        <v>18533</v>
      </c>
      <c r="E2211" s="85">
        <v>245186</v>
      </c>
      <c r="F2211" s="86">
        <v>38114</v>
      </c>
      <c r="G2211" s="87">
        <v>15.544933</v>
      </c>
    </row>
    <row r="2212" spans="1:7" x14ac:dyDescent="0.25">
      <c r="A2212" s="84" t="s">
        <v>1535</v>
      </c>
      <c r="B2212" s="84" t="s">
        <v>94</v>
      </c>
      <c r="C2212" s="84" t="s">
        <v>281</v>
      </c>
      <c r="D2212" s="85">
        <v>11456</v>
      </c>
      <c r="E2212" s="85">
        <v>215489</v>
      </c>
      <c r="F2212" s="86">
        <v>32741</v>
      </c>
      <c r="G2212" s="87">
        <v>15.193815000000001</v>
      </c>
    </row>
    <row r="2213" spans="1:7" x14ac:dyDescent="0.25">
      <c r="A2213" s="84" t="s">
        <v>1536</v>
      </c>
      <c r="B2213" s="84" t="s">
        <v>94</v>
      </c>
      <c r="C2213" s="84" t="s">
        <v>281</v>
      </c>
      <c r="D2213" s="85">
        <v>11899</v>
      </c>
      <c r="E2213" s="85">
        <v>157528</v>
      </c>
      <c r="F2213" s="86">
        <v>22046</v>
      </c>
      <c r="G2213" s="87">
        <v>13.994972000000001</v>
      </c>
    </row>
    <row r="2214" spans="1:7" x14ac:dyDescent="0.25">
      <c r="A2214" s="84" t="s">
        <v>1537</v>
      </c>
      <c r="B2214" s="84" t="s">
        <v>94</v>
      </c>
      <c r="C2214" s="84" t="s">
        <v>283</v>
      </c>
      <c r="D2214" s="85">
        <v>6276</v>
      </c>
      <c r="E2214" s="85">
        <v>107005</v>
      </c>
      <c r="F2214" s="86">
        <v>12751</v>
      </c>
      <c r="G2214" s="87">
        <v>11.916266</v>
      </c>
    </row>
    <row r="2215" spans="1:7" x14ac:dyDescent="0.25">
      <c r="A2215" s="84" t="s">
        <v>2619</v>
      </c>
      <c r="B2215" s="84" t="s">
        <v>94</v>
      </c>
      <c r="C2215" s="84" t="s">
        <v>283</v>
      </c>
      <c r="D2215" s="85">
        <v>1649</v>
      </c>
      <c r="E2215" s="85">
        <v>22045</v>
      </c>
      <c r="F2215" s="86">
        <v>2594</v>
      </c>
      <c r="G2215" s="87">
        <v>11.766840999999999</v>
      </c>
    </row>
    <row r="2216" spans="1:7" x14ac:dyDescent="0.25">
      <c r="A2216" s="84" t="s">
        <v>1538</v>
      </c>
      <c r="B2216" s="84" t="s">
        <v>94</v>
      </c>
      <c r="C2216" s="84" t="s">
        <v>283</v>
      </c>
      <c r="D2216" s="85">
        <v>14695</v>
      </c>
      <c r="E2216" s="85">
        <v>525820</v>
      </c>
      <c r="F2216" s="86">
        <v>59069</v>
      </c>
      <c r="G2216" s="87">
        <v>11.233692</v>
      </c>
    </row>
    <row r="2217" spans="1:7" x14ac:dyDescent="0.25">
      <c r="A2217" s="84" t="s">
        <v>1539</v>
      </c>
      <c r="B2217" s="84" t="s">
        <v>94</v>
      </c>
      <c r="C2217" s="84" t="s">
        <v>283</v>
      </c>
      <c r="D2217" s="85">
        <v>5822</v>
      </c>
      <c r="E2217" s="85">
        <v>176440</v>
      </c>
      <c r="F2217" s="86">
        <v>19009.3</v>
      </c>
      <c r="G2217" s="87">
        <v>10.773804</v>
      </c>
    </row>
    <row r="2218" spans="1:7" x14ac:dyDescent="0.25">
      <c r="A2218" s="84" t="s">
        <v>1540</v>
      </c>
      <c r="B2218" s="84" t="s">
        <v>94</v>
      </c>
      <c r="C2218" s="84" t="s">
        <v>283</v>
      </c>
      <c r="D2218" s="85">
        <v>7855</v>
      </c>
      <c r="E2218" s="85">
        <v>226914</v>
      </c>
      <c r="F2218" s="86">
        <v>21620</v>
      </c>
      <c r="G2218" s="87">
        <v>9.5278387000000002</v>
      </c>
    </row>
    <row r="2219" spans="1:7" x14ac:dyDescent="0.25">
      <c r="A2219" s="84" t="s">
        <v>1541</v>
      </c>
      <c r="B2219" s="84" t="s">
        <v>94</v>
      </c>
      <c r="C2219" s="84" t="s">
        <v>283</v>
      </c>
      <c r="D2219" s="85">
        <v>73600</v>
      </c>
      <c r="E2219" s="85">
        <v>1589110</v>
      </c>
      <c r="F2219" s="86">
        <v>204203.2</v>
      </c>
      <c r="G2219" s="87">
        <v>12.850161</v>
      </c>
    </row>
    <row r="2220" spans="1:7" x14ac:dyDescent="0.25">
      <c r="A2220" s="84" t="s">
        <v>2620</v>
      </c>
      <c r="B2220" s="84" t="s">
        <v>94</v>
      </c>
      <c r="C2220" s="84" t="s">
        <v>283</v>
      </c>
      <c r="D2220" s="85">
        <v>3691</v>
      </c>
      <c r="E2220" s="85">
        <v>71826</v>
      </c>
      <c r="F2220" s="86">
        <v>8044</v>
      </c>
      <c r="G2220" s="87">
        <v>11.199287</v>
      </c>
    </row>
    <row r="2221" spans="1:7" x14ac:dyDescent="0.25">
      <c r="A2221" s="84" t="s">
        <v>1542</v>
      </c>
      <c r="B2221" s="84" t="s">
        <v>94</v>
      </c>
      <c r="C2221" s="84" t="s">
        <v>283</v>
      </c>
      <c r="D2221" s="85">
        <v>15700</v>
      </c>
      <c r="E2221" s="85">
        <v>834464</v>
      </c>
      <c r="F2221" s="86">
        <v>86144.9</v>
      </c>
      <c r="G2221" s="87">
        <v>10.323380999999999</v>
      </c>
    </row>
    <row r="2222" spans="1:7" x14ac:dyDescent="0.25">
      <c r="A2222" s="84" t="s">
        <v>2621</v>
      </c>
      <c r="B2222" s="84" t="s">
        <v>94</v>
      </c>
      <c r="C2222" s="84" t="s">
        <v>283</v>
      </c>
      <c r="D2222" s="85">
        <v>120</v>
      </c>
      <c r="E2222" s="85">
        <v>2404</v>
      </c>
      <c r="F2222" s="86">
        <v>277</v>
      </c>
      <c r="G2222" s="87">
        <v>11.522463</v>
      </c>
    </row>
    <row r="2223" spans="1:7" x14ac:dyDescent="0.25">
      <c r="A2223" s="84" t="s">
        <v>1543</v>
      </c>
      <c r="B2223" s="84" t="s">
        <v>94</v>
      </c>
      <c r="C2223" s="84" t="s">
        <v>283</v>
      </c>
      <c r="D2223" s="85">
        <v>25695</v>
      </c>
      <c r="E2223" s="85">
        <v>412078</v>
      </c>
      <c r="F2223" s="86">
        <v>51630.5</v>
      </c>
      <c r="G2223" s="87">
        <v>12.529303000000001</v>
      </c>
    </row>
    <row r="2224" spans="1:7" x14ac:dyDescent="0.25">
      <c r="A2224" s="84" t="s">
        <v>1544</v>
      </c>
      <c r="B2224" s="84" t="s">
        <v>94</v>
      </c>
      <c r="C2224" s="84" t="s">
        <v>283</v>
      </c>
      <c r="D2224" s="85">
        <v>6831</v>
      </c>
      <c r="E2224" s="85">
        <v>224866</v>
      </c>
      <c r="F2224" s="86">
        <v>29863</v>
      </c>
      <c r="G2224" s="87">
        <v>13.280354000000001</v>
      </c>
    </row>
    <row r="2225" spans="1:7" x14ac:dyDescent="0.25">
      <c r="A2225" s="84" t="s">
        <v>1545</v>
      </c>
      <c r="B2225" s="84" t="s">
        <v>94</v>
      </c>
      <c r="C2225" s="84" t="s">
        <v>283</v>
      </c>
      <c r="D2225" s="85">
        <v>5928</v>
      </c>
      <c r="E2225" s="85">
        <v>103759</v>
      </c>
      <c r="F2225" s="86">
        <v>13449.3</v>
      </c>
      <c r="G2225" s="87">
        <v>12.962056</v>
      </c>
    </row>
    <row r="2226" spans="1:7" x14ac:dyDescent="0.25">
      <c r="A2226" s="84" t="s">
        <v>1546</v>
      </c>
      <c r="B2226" s="84" t="s">
        <v>94</v>
      </c>
      <c r="C2226" s="84" t="s">
        <v>283</v>
      </c>
      <c r="D2226" s="85">
        <v>29436</v>
      </c>
      <c r="E2226" s="85">
        <v>566054</v>
      </c>
      <c r="F2226" s="86">
        <v>72373</v>
      </c>
      <c r="G2226" s="87">
        <v>12.785529</v>
      </c>
    </row>
    <row r="2227" spans="1:7" x14ac:dyDescent="0.25">
      <c r="A2227" s="84" t="s">
        <v>2622</v>
      </c>
      <c r="B2227" s="84" t="s">
        <v>94</v>
      </c>
      <c r="C2227" s="84" t="s">
        <v>283</v>
      </c>
      <c r="D2227" s="85">
        <v>4388</v>
      </c>
      <c r="E2227" s="85">
        <v>49297</v>
      </c>
      <c r="F2227" s="86">
        <v>3807</v>
      </c>
      <c r="G2227" s="87">
        <v>7.7225795000000002</v>
      </c>
    </row>
    <row r="2228" spans="1:7" x14ac:dyDescent="0.25">
      <c r="A2228" s="84" t="s">
        <v>1547</v>
      </c>
      <c r="B2228" s="84" t="s">
        <v>94</v>
      </c>
      <c r="C2228" s="84" t="s">
        <v>283</v>
      </c>
      <c r="D2228" s="85">
        <v>6880</v>
      </c>
      <c r="E2228" s="85">
        <v>171372</v>
      </c>
      <c r="F2228" s="86">
        <v>20862.2</v>
      </c>
      <c r="G2228" s="87">
        <v>12.173634</v>
      </c>
    </row>
    <row r="2229" spans="1:7" x14ac:dyDescent="0.25">
      <c r="A2229" s="84" t="s">
        <v>1548</v>
      </c>
      <c r="B2229" s="84" t="s">
        <v>94</v>
      </c>
      <c r="C2229" s="84" t="s">
        <v>283</v>
      </c>
      <c r="D2229" s="85">
        <v>4152</v>
      </c>
      <c r="E2229" s="85">
        <v>179506</v>
      </c>
      <c r="F2229" s="86">
        <v>21570</v>
      </c>
      <c r="G2229" s="87">
        <v>12.016311</v>
      </c>
    </row>
    <row r="2230" spans="1:7" x14ac:dyDescent="0.25">
      <c r="A2230" s="84" t="s">
        <v>1549</v>
      </c>
      <c r="B2230" s="84" t="s">
        <v>94</v>
      </c>
      <c r="C2230" s="84" t="s">
        <v>283</v>
      </c>
      <c r="D2230" s="85">
        <v>9360</v>
      </c>
      <c r="E2230" s="85">
        <v>368051</v>
      </c>
      <c r="F2230" s="86">
        <v>33214.9</v>
      </c>
      <c r="G2230" s="87">
        <v>9.0245373999999998</v>
      </c>
    </row>
    <row r="2231" spans="1:7" x14ac:dyDescent="0.25">
      <c r="A2231" s="84" t="s">
        <v>2623</v>
      </c>
      <c r="B2231" s="84" t="s">
        <v>94</v>
      </c>
      <c r="C2231" s="84" t="s">
        <v>283</v>
      </c>
      <c r="D2231" s="85">
        <v>334</v>
      </c>
      <c r="E2231" s="85">
        <v>4592</v>
      </c>
      <c r="F2231" s="86">
        <v>600</v>
      </c>
      <c r="G2231" s="87">
        <v>13.066202000000001</v>
      </c>
    </row>
    <row r="2232" spans="1:7" x14ac:dyDescent="0.25">
      <c r="A2232" s="84" t="s">
        <v>1550</v>
      </c>
      <c r="B2232" s="84" t="s">
        <v>94</v>
      </c>
      <c r="C2232" s="84" t="s">
        <v>283</v>
      </c>
      <c r="D2232" s="85">
        <v>5921</v>
      </c>
      <c r="E2232" s="85">
        <v>143248</v>
      </c>
      <c r="F2232" s="86">
        <v>17050.400000000001</v>
      </c>
      <c r="G2232" s="87">
        <v>11.902714</v>
      </c>
    </row>
    <row r="2233" spans="1:7" x14ac:dyDescent="0.25">
      <c r="A2233" s="84" t="s">
        <v>2624</v>
      </c>
      <c r="B2233" s="84" t="s">
        <v>94</v>
      </c>
      <c r="C2233" s="84" t="s">
        <v>283</v>
      </c>
      <c r="D2233" s="85">
        <v>2571</v>
      </c>
      <c r="E2233" s="85">
        <v>42965</v>
      </c>
      <c r="F2233" s="86">
        <v>6011.4</v>
      </c>
      <c r="G2233" s="87">
        <v>13.991388000000001</v>
      </c>
    </row>
    <row r="2234" spans="1:7" x14ac:dyDescent="0.25">
      <c r="A2234" s="84" t="s">
        <v>2401</v>
      </c>
      <c r="B2234" s="84" t="s">
        <v>94</v>
      </c>
      <c r="C2234" s="84" t="s">
        <v>283</v>
      </c>
      <c r="D2234" s="85">
        <v>12733</v>
      </c>
      <c r="E2234" s="85">
        <v>269123</v>
      </c>
      <c r="F2234" s="86">
        <v>21233</v>
      </c>
      <c r="G2234" s="87">
        <v>7.8897009999999996</v>
      </c>
    </row>
    <row r="2235" spans="1:7" x14ac:dyDescent="0.25">
      <c r="A2235" s="84" t="s">
        <v>1551</v>
      </c>
      <c r="B2235" s="84" t="s">
        <v>94</v>
      </c>
      <c r="C2235" s="84" t="s">
        <v>283</v>
      </c>
      <c r="D2235" s="85">
        <v>3101</v>
      </c>
      <c r="E2235" s="85">
        <v>98163</v>
      </c>
      <c r="F2235" s="86">
        <v>11678</v>
      </c>
      <c r="G2235" s="87">
        <v>11.896539000000001</v>
      </c>
    </row>
    <row r="2236" spans="1:7" x14ac:dyDescent="0.25">
      <c r="A2236" s="84" t="s">
        <v>1552</v>
      </c>
      <c r="B2236" s="84" t="s">
        <v>94</v>
      </c>
      <c r="C2236" s="84" t="s">
        <v>283</v>
      </c>
      <c r="D2236" s="85">
        <v>7468</v>
      </c>
      <c r="E2236" s="85">
        <v>297705</v>
      </c>
      <c r="F2236" s="86">
        <v>29941</v>
      </c>
      <c r="G2236" s="87">
        <v>10.057271</v>
      </c>
    </row>
    <row r="2237" spans="1:7" x14ac:dyDescent="0.25">
      <c r="A2237" s="84" t="s">
        <v>1553</v>
      </c>
      <c r="B2237" s="84" t="s">
        <v>94</v>
      </c>
      <c r="C2237" s="84" t="s">
        <v>283</v>
      </c>
      <c r="D2237" s="85">
        <v>12442</v>
      </c>
      <c r="E2237" s="85">
        <v>221211</v>
      </c>
      <c r="F2237" s="86">
        <v>29683.3</v>
      </c>
      <c r="G2237" s="87">
        <v>13.418545999999999</v>
      </c>
    </row>
    <row r="2238" spans="1:7" x14ac:dyDescent="0.25">
      <c r="A2238" s="84" t="s">
        <v>1554</v>
      </c>
      <c r="B2238" s="84" t="s">
        <v>94</v>
      </c>
      <c r="C2238" s="84" t="s">
        <v>283</v>
      </c>
      <c r="D2238" s="85">
        <v>10735</v>
      </c>
      <c r="E2238" s="85">
        <v>301449</v>
      </c>
      <c r="F2238" s="86">
        <v>28586.799999999999</v>
      </c>
      <c r="G2238" s="87">
        <v>9.4831298000000004</v>
      </c>
    </row>
    <row r="2239" spans="1:7" x14ac:dyDescent="0.25">
      <c r="A2239" s="84" t="s">
        <v>1555</v>
      </c>
      <c r="B2239" s="84" t="s">
        <v>94</v>
      </c>
      <c r="C2239" s="84" t="s">
        <v>283</v>
      </c>
      <c r="D2239" s="85">
        <v>5060</v>
      </c>
      <c r="E2239" s="85">
        <v>94222</v>
      </c>
      <c r="F2239" s="86">
        <v>11250</v>
      </c>
      <c r="G2239" s="87">
        <v>11.939887000000001</v>
      </c>
    </row>
    <row r="2240" spans="1:7" x14ac:dyDescent="0.25">
      <c r="A2240" s="84" t="s">
        <v>2625</v>
      </c>
      <c r="B2240" s="84" t="s">
        <v>94</v>
      </c>
      <c r="C2240" s="84" t="s">
        <v>283</v>
      </c>
      <c r="D2240" s="85">
        <v>3010</v>
      </c>
      <c r="E2240" s="85">
        <v>48374</v>
      </c>
      <c r="F2240" s="86">
        <v>7424</v>
      </c>
      <c r="G2240" s="87">
        <v>15.347087</v>
      </c>
    </row>
    <row r="2241" spans="1:7" x14ac:dyDescent="0.25">
      <c r="A2241" s="84" t="s">
        <v>1556</v>
      </c>
      <c r="B2241" s="84" t="s">
        <v>94</v>
      </c>
      <c r="C2241" s="84" t="s">
        <v>283</v>
      </c>
      <c r="D2241" s="85">
        <v>4216</v>
      </c>
      <c r="E2241" s="85">
        <v>218659</v>
      </c>
      <c r="F2241" s="86">
        <v>20140.099999999999</v>
      </c>
      <c r="G2241" s="87">
        <v>9.2107344999999992</v>
      </c>
    </row>
    <row r="2242" spans="1:7" x14ac:dyDescent="0.25">
      <c r="A2242" s="84" t="s">
        <v>1557</v>
      </c>
      <c r="B2242" s="84" t="s">
        <v>94</v>
      </c>
      <c r="C2242" s="84" t="s">
        <v>283</v>
      </c>
      <c r="D2242" s="85">
        <v>5100</v>
      </c>
      <c r="E2242" s="85">
        <v>171560</v>
      </c>
      <c r="F2242" s="86">
        <v>17991</v>
      </c>
      <c r="G2242" s="87">
        <v>10.48671</v>
      </c>
    </row>
    <row r="2243" spans="1:7" x14ac:dyDescent="0.25">
      <c r="A2243" s="84" t="s">
        <v>1558</v>
      </c>
      <c r="B2243" s="84" t="s">
        <v>94</v>
      </c>
      <c r="C2243" s="84" t="s">
        <v>283</v>
      </c>
      <c r="D2243" s="85">
        <v>13750</v>
      </c>
      <c r="E2243" s="85">
        <v>285826</v>
      </c>
      <c r="F2243" s="86">
        <v>31282</v>
      </c>
      <c r="G2243" s="87">
        <v>10.944421</v>
      </c>
    </row>
    <row r="2244" spans="1:7" x14ac:dyDescent="0.25">
      <c r="A2244" s="84" t="s">
        <v>1559</v>
      </c>
      <c r="B2244" s="84" t="s">
        <v>94</v>
      </c>
      <c r="C2244" s="84" t="s">
        <v>283</v>
      </c>
      <c r="D2244" s="85">
        <v>5471</v>
      </c>
      <c r="E2244" s="85">
        <v>210695</v>
      </c>
      <c r="F2244" s="86">
        <v>17688</v>
      </c>
      <c r="G2244" s="87">
        <v>8.3950733999999994</v>
      </c>
    </row>
    <row r="2245" spans="1:7" x14ac:dyDescent="0.25">
      <c r="A2245" s="84" t="s">
        <v>1560</v>
      </c>
      <c r="B2245" s="84" t="s">
        <v>94</v>
      </c>
      <c r="C2245" s="84" t="s">
        <v>283</v>
      </c>
      <c r="D2245" s="85">
        <v>17434</v>
      </c>
      <c r="E2245" s="85">
        <v>474048</v>
      </c>
      <c r="F2245" s="86">
        <v>48736</v>
      </c>
      <c r="G2245" s="87">
        <v>10.280815</v>
      </c>
    </row>
    <row r="2246" spans="1:7" x14ac:dyDescent="0.25">
      <c r="A2246" s="84" t="s">
        <v>2626</v>
      </c>
      <c r="B2246" s="84" t="s">
        <v>94</v>
      </c>
      <c r="C2246" s="84" t="s">
        <v>283</v>
      </c>
      <c r="D2246" s="85">
        <v>1561</v>
      </c>
      <c r="E2246" s="85">
        <v>22428</v>
      </c>
      <c r="F2246" s="86">
        <v>2802.6</v>
      </c>
      <c r="G2246" s="87">
        <v>12.495987</v>
      </c>
    </row>
    <row r="2247" spans="1:7" x14ac:dyDescent="0.25">
      <c r="A2247" s="84" t="s">
        <v>1561</v>
      </c>
      <c r="B2247" s="84" t="s">
        <v>94</v>
      </c>
      <c r="C2247" s="84" t="s">
        <v>278</v>
      </c>
      <c r="D2247" s="85">
        <v>190043</v>
      </c>
      <c r="E2247" s="85">
        <v>2130363</v>
      </c>
      <c r="F2247" s="86">
        <v>242855.6</v>
      </c>
      <c r="G2247" s="87">
        <v>11.399729000000001</v>
      </c>
    </row>
    <row r="2248" spans="1:7" x14ac:dyDescent="0.25">
      <c r="A2248" s="84" t="s">
        <v>1562</v>
      </c>
      <c r="B2248" s="84" t="s">
        <v>94</v>
      </c>
      <c r="C2248" s="84" t="s">
        <v>283</v>
      </c>
      <c r="D2248" s="85">
        <v>3072</v>
      </c>
      <c r="E2248" s="85">
        <v>206796</v>
      </c>
      <c r="F2248" s="86">
        <v>18343</v>
      </c>
      <c r="G2248" s="87">
        <v>8.8700942000000005</v>
      </c>
    </row>
    <row r="2249" spans="1:7" x14ac:dyDescent="0.25">
      <c r="A2249" s="84" t="s">
        <v>1563</v>
      </c>
      <c r="B2249" s="84" t="s">
        <v>94</v>
      </c>
      <c r="C2249" s="84" t="s">
        <v>281</v>
      </c>
      <c r="D2249" s="85">
        <v>17765</v>
      </c>
      <c r="E2249" s="85">
        <v>376244</v>
      </c>
      <c r="F2249" s="86">
        <v>48643</v>
      </c>
      <c r="G2249" s="87">
        <v>12.928578</v>
      </c>
    </row>
    <row r="2250" spans="1:7" x14ac:dyDescent="0.25">
      <c r="A2250" s="84" t="s">
        <v>1564</v>
      </c>
      <c r="B2250" s="84" t="s">
        <v>94</v>
      </c>
      <c r="C2250" s="84" t="s">
        <v>281</v>
      </c>
      <c r="D2250" s="85">
        <v>5135</v>
      </c>
      <c r="E2250" s="85">
        <v>120023</v>
      </c>
      <c r="F2250" s="86">
        <v>14481.9</v>
      </c>
      <c r="G2250" s="87">
        <v>12.065937</v>
      </c>
    </row>
    <row r="2251" spans="1:7" x14ac:dyDescent="0.25">
      <c r="A2251" s="84" t="s">
        <v>1565</v>
      </c>
      <c r="B2251" s="84" t="s">
        <v>94</v>
      </c>
      <c r="C2251" s="84" t="s">
        <v>278</v>
      </c>
      <c r="D2251" s="85">
        <v>265862</v>
      </c>
      <c r="E2251" s="85">
        <v>3866368</v>
      </c>
      <c r="F2251" s="86">
        <v>391149</v>
      </c>
      <c r="G2251" s="87">
        <v>10.116704</v>
      </c>
    </row>
    <row r="2252" spans="1:7" x14ac:dyDescent="0.25">
      <c r="A2252" s="84" t="s">
        <v>1566</v>
      </c>
      <c r="B2252" s="84" t="s">
        <v>94</v>
      </c>
      <c r="C2252" s="84" t="s">
        <v>278</v>
      </c>
      <c r="D2252" s="85">
        <v>290522</v>
      </c>
      <c r="E2252" s="85">
        <v>4009677</v>
      </c>
      <c r="F2252" s="86">
        <v>430033.6</v>
      </c>
      <c r="G2252" s="87">
        <v>10.724894000000001</v>
      </c>
    </row>
    <row r="2253" spans="1:7" x14ac:dyDescent="0.25">
      <c r="A2253" s="84" t="s">
        <v>1567</v>
      </c>
      <c r="B2253" s="84" t="s">
        <v>94</v>
      </c>
      <c r="C2253" s="84" t="s">
        <v>281</v>
      </c>
      <c r="D2253" s="85">
        <v>9103</v>
      </c>
      <c r="E2253" s="85">
        <v>147352</v>
      </c>
      <c r="F2253" s="86">
        <v>19146</v>
      </c>
      <c r="G2253" s="87">
        <v>12.993376</v>
      </c>
    </row>
    <row r="2254" spans="1:7" x14ac:dyDescent="0.25">
      <c r="A2254" s="84" t="s">
        <v>1568</v>
      </c>
      <c r="B2254" s="84" t="s">
        <v>94</v>
      </c>
      <c r="C2254" s="84" t="s">
        <v>281</v>
      </c>
      <c r="D2254" s="85">
        <v>9028</v>
      </c>
      <c r="E2254" s="85">
        <v>114964</v>
      </c>
      <c r="F2254" s="86">
        <v>15790</v>
      </c>
      <c r="G2254" s="87">
        <v>13.734734</v>
      </c>
    </row>
    <row r="2255" spans="1:7" x14ac:dyDescent="0.25">
      <c r="A2255" s="84" t="s">
        <v>1569</v>
      </c>
      <c r="B2255" s="84" t="s">
        <v>94</v>
      </c>
      <c r="C2255" s="84" t="s">
        <v>281</v>
      </c>
      <c r="D2255" s="85">
        <v>16851</v>
      </c>
      <c r="E2255" s="85">
        <v>251107</v>
      </c>
      <c r="F2255" s="86">
        <v>34378.800000000003</v>
      </c>
      <c r="G2255" s="87">
        <v>13.690897</v>
      </c>
    </row>
    <row r="2256" spans="1:7" x14ac:dyDescent="0.25">
      <c r="A2256" s="84" t="s">
        <v>1570</v>
      </c>
      <c r="B2256" s="84" t="s">
        <v>94</v>
      </c>
      <c r="C2256" s="84" t="s">
        <v>281</v>
      </c>
      <c r="D2256" s="85">
        <v>13375</v>
      </c>
      <c r="E2256" s="85">
        <v>344647</v>
      </c>
      <c r="F2256" s="86">
        <v>43963.199999999997</v>
      </c>
      <c r="G2256" s="87">
        <v>12.756008</v>
      </c>
    </row>
    <row r="2257" spans="1:7" x14ac:dyDescent="0.25">
      <c r="A2257" s="84" t="s">
        <v>1571</v>
      </c>
      <c r="B2257" s="84" t="s">
        <v>94</v>
      </c>
      <c r="C2257" s="84" t="s">
        <v>281</v>
      </c>
      <c r="D2257" s="85">
        <v>17454</v>
      </c>
      <c r="E2257" s="85">
        <v>350684</v>
      </c>
      <c r="F2257" s="86">
        <v>41337.1</v>
      </c>
      <c r="G2257" s="87">
        <v>11.787564</v>
      </c>
    </row>
    <row r="2258" spans="1:7" x14ac:dyDescent="0.25">
      <c r="A2258" s="84" t="s">
        <v>1572</v>
      </c>
      <c r="B2258" s="84" t="s">
        <v>94</v>
      </c>
      <c r="C2258" s="84" t="s">
        <v>281</v>
      </c>
      <c r="D2258" s="85">
        <v>25941</v>
      </c>
      <c r="E2258" s="85">
        <v>389078</v>
      </c>
      <c r="F2258" s="86">
        <v>53256.7</v>
      </c>
      <c r="G2258" s="87">
        <v>13.687924000000001</v>
      </c>
    </row>
    <row r="2259" spans="1:7" x14ac:dyDescent="0.25">
      <c r="A2259" s="84" t="s">
        <v>1573</v>
      </c>
      <c r="B2259" s="84" t="s">
        <v>94</v>
      </c>
      <c r="C2259" s="84" t="s">
        <v>281</v>
      </c>
      <c r="D2259" s="85">
        <v>4637</v>
      </c>
      <c r="E2259" s="85">
        <v>183504</v>
      </c>
      <c r="F2259" s="86">
        <v>19763.900000000001</v>
      </c>
      <c r="G2259" s="87">
        <v>10.770282999999999</v>
      </c>
    </row>
    <row r="2260" spans="1:7" x14ac:dyDescent="0.25">
      <c r="A2260" s="84" t="s">
        <v>401</v>
      </c>
      <c r="B2260" s="84" t="s">
        <v>94</v>
      </c>
      <c r="C2260" s="84" t="s">
        <v>392</v>
      </c>
      <c r="D2260" s="85">
        <v>1</v>
      </c>
      <c r="E2260" s="85">
        <v>426</v>
      </c>
      <c r="F2260" s="86">
        <v>46</v>
      </c>
      <c r="G2260" s="87">
        <v>10.798121999999999</v>
      </c>
    </row>
    <row r="2261" spans="1:7" x14ac:dyDescent="0.25">
      <c r="A2261" s="84" t="s">
        <v>1574</v>
      </c>
      <c r="B2261" s="84" t="s">
        <v>94</v>
      </c>
      <c r="C2261" s="84" t="s">
        <v>281</v>
      </c>
      <c r="D2261" s="85">
        <v>16429</v>
      </c>
      <c r="E2261" s="85">
        <v>330857</v>
      </c>
      <c r="F2261" s="86">
        <v>38373</v>
      </c>
      <c r="G2261" s="87">
        <v>11.598062000000001</v>
      </c>
    </row>
    <row r="2262" spans="1:7" x14ac:dyDescent="0.25">
      <c r="A2262" s="84" t="s">
        <v>1575</v>
      </c>
      <c r="B2262" s="84" t="s">
        <v>94</v>
      </c>
      <c r="C2262" s="84" t="s">
        <v>281</v>
      </c>
      <c r="D2262" s="85">
        <v>8146</v>
      </c>
      <c r="E2262" s="85">
        <v>166337</v>
      </c>
      <c r="F2262" s="86">
        <v>21368.3</v>
      </c>
      <c r="G2262" s="87">
        <v>12.84639</v>
      </c>
    </row>
    <row r="2263" spans="1:7" x14ac:dyDescent="0.25">
      <c r="A2263" s="84" t="s">
        <v>1576</v>
      </c>
      <c r="B2263" s="84" t="s">
        <v>94</v>
      </c>
      <c r="C2263" s="84" t="s">
        <v>281</v>
      </c>
      <c r="D2263" s="85">
        <v>10824</v>
      </c>
      <c r="E2263" s="85">
        <v>271127</v>
      </c>
      <c r="F2263" s="86">
        <v>30579</v>
      </c>
      <c r="G2263" s="87">
        <v>11.278478</v>
      </c>
    </row>
    <row r="2264" spans="1:7" x14ac:dyDescent="0.25">
      <c r="A2264" s="84" t="s">
        <v>837</v>
      </c>
      <c r="B2264" s="84" t="s">
        <v>94</v>
      </c>
      <c r="C2264" s="84" t="s">
        <v>281</v>
      </c>
      <c r="D2264" s="85">
        <v>1060</v>
      </c>
      <c r="E2264" s="85">
        <v>16217</v>
      </c>
      <c r="F2264" s="86">
        <v>2382.1999999999998</v>
      </c>
      <c r="G2264" s="87">
        <v>14.689522999999999</v>
      </c>
    </row>
    <row r="2265" spans="1:7" x14ac:dyDescent="0.25">
      <c r="A2265" s="84" t="s">
        <v>1388</v>
      </c>
      <c r="B2265" s="84" t="s">
        <v>94</v>
      </c>
      <c r="C2265" s="84" t="s">
        <v>281</v>
      </c>
      <c r="D2265" s="85">
        <v>9657</v>
      </c>
      <c r="E2265" s="85">
        <v>206851</v>
      </c>
      <c r="F2265" s="86">
        <v>24946</v>
      </c>
      <c r="G2265" s="87">
        <v>12.059889</v>
      </c>
    </row>
    <row r="2266" spans="1:7" x14ac:dyDescent="0.25">
      <c r="A2266" s="84" t="s">
        <v>1577</v>
      </c>
      <c r="B2266" s="84" t="s">
        <v>94</v>
      </c>
      <c r="C2266" s="84" t="s">
        <v>281</v>
      </c>
      <c r="D2266" s="85">
        <v>5943</v>
      </c>
      <c r="E2266" s="85">
        <v>123916</v>
      </c>
      <c r="F2266" s="86">
        <v>14893</v>
      </c>
      <c r="G2266" s="87">
        <v>12.018625999999999</v>
      </c>
    </row>
    <row r="2267" spans="1:7" x14ac:dyDescent="0.25">
      <c r="A2267" s="84" t="s">
        <v>1578</v>
      </c>
      <c r="B2267" s="84" t="s">
        <v>94</v>
      </c>
      <c r="C2267" s="84" t="s">
        <v>278</v>
      </c>
      <c r="D2267" s="85">
        <v>327657</v>
      </c>
      <c r="E2267" s="85">
        <v>3970997</v>
      </c>
      <c r="F2267" s="86">
        <v>469194.6</v>
      </c>
      <c r="G2267" s="87">
        <v>11.815537000000001</v>
      </c>
    </row>
    <row r="2268" spans="1:7" x14ac:dyDescent="0.25">
      <c r="A2268" s="84" t="s">
        <v>1579</v>
      </c>
      <c r="B2268" s="84" t="s">
        <v>94</v>
      </c>
      <c r="C2268" s="84" t="s">
        <v>278</v>
      </c>
      <c r="D2268" s="85">
        <v>920735</v>
      </c>
      <c r="E2268" s="85">
        <v>11573523</v>
      </c>
      <c r="F2268" s="86">
        <v>1384750</v>
      </c>
      <c r="G2268" s="87">
        <v>11.96481</v>
      </c>
    </row>
    <row r="2269" spans="1:7" x14ac:dyDescent="0.25">
      <c r="A2269" s="84" t="s">
        <v>1580</v>
      </c>
      <c r="B2269" s="84" t="s">
        <v>94</v>
      </c>
      <c r="C2269" s="84" t="s">
        <v>278</v>
      </c>
      <c r="D2269" s="85">
        <v>1</v>
      </c>
      <c r="E2269" s="85">
        <v>125881</v>
      </c>
      <c r="F2269" s="86">
        <v>4641</v>
      </c>
      <c r="G2269" s="87">
        <v>3.6868153000000001</v>
      </c>
    </row>
    <row r="2270" spans="1:7" x14ac:dyDescent="0.25">
      <c r="A2270" s="84" t="s">
        <v>844</v>
      </c>
      <c r="B2270" s="84" t="s">
        <v>94</v>
      </c>
      <c r="C2270" s="84" t="s">
        <v>281</v>
      </c>
      <c r="D2270" s="85">
        <v>9514</v>
      </c>
      <c r="E2270" s="85">
        <v>261553</v>
      </c>
      <c r="F2270" s="86">
        <v>29556</v>
      </c>
      <c r="G2270" s="87">
        <v>11.300195</v>
      </c>
    </row>
    <row r="2271" spans="1:7" x14ac:dyDescent="0.25">
      <c r="A2271" s="84" t="s">
        <v>1581</v>
      </c>
      <c r="B2271" s="84" t="s">
        <v>94</v>
      </c>
      <c r="C2271" s="84" t="s">
        <v>281</v>
      </c>
      <c r="D2271" s="85">
        <v>16818</v>
      </c>
      <c r="E2271" s="85">
        <v>643660</v>
      </c>
      <c r="F2271" s="86">
        <v>66210.2</v>
      </c>
      <c r="G2271" s="87">
        <v>10.286517999999999</v>
      </c>
    </row>
    <row r="2272" spans="1:7" x14ac:dyDescent="0.25">
      <c r="A2272" s="84" t="s">
        <v>2627</v>
      </c>
      <c r="B2272" s="84" t="s">
        <v>94</v>
      </c>
      <c r="C2272" s="84" t="s">
        <v>283</v>
      </c>
      <c r="D2272" s="85">
        <v>736</v>
      </c>
      <c r="E2272" s="85">
        <v>9760</v>
      </c>
      <c r="F2272" s="86">
        <v>1203</v>
      </c>
      <c r="G2272" s="87">
        <v>12.32582</v>
      </c>
    </row>
    <row r="2273" spans="1:7" x14ac:dyDescent="0.25">
      <c r="A2273" s="84" t="s">
        <v>2628</v>
      </c>
      <c r="B2273" s="84" t="s">
        <v>94</v>
      </c>
      <c r="C2273" s="84" t="s">
        <v>283</v>
      </c>
      <c r="D2273" s="85">
        <v>1942</v>
      </c>
      <c r="E2273" s="85">
        <v>86192</v>
      </c>
      <c r="F2273" s="86">
        <v>7883</v>
      </c>
      <c r="G2273" s="87">
        <v>9.1458604000000001</v>
      </c>
    </row>
    <row r="2274" spans="1:7" x14ac:dyDescent="0.25">
      <c r="A2274" s="84" t="s">
        <v>408</v>
      </c>
      <c r="B2274" s="84" t="s">
        <v>94</v>
      </c>
      <c r="C2274" s="84" t="s">
        <v>392</v>
      </c>
      <c r="D2274" s="85">
        <v>19</v>
      </c>
      <c r="E2274" s="85">
        <v>6981</v>
      </c>
      <c r="F2274" s="86">
        <v>552</v>
      </c>
      <c r="G2274" s="87">
        <v>7.9071765999999997</v>
      </c>
    </row>
    <row r="2275" spans="1:7" x14ac:dyDescent="0.25">
      <c r="A2275" s="84" t="s">
        <v>1582</v>
      </c>
      <c r="B2275" s="84" t="s">
        <v>94</v>
      </c>
      <c r="C2275" s="84" t="s">
        <v>281</v>
      </c>
      <c r="D2275" s="85">
        <v>120382</v>
      </c>
      <c r="E2275" s="85">
        <v>2750603</v>
      </c>
      <c r="F2275" s="86">
        <v>293443.5</v>
      </c>
      <c r="G2275" s="87">
        <v>10.668333000000001</v>
      </c>
    </row>
    <row r="2276" spans="1:7" x14ac:dyDescent="0.25">
      <c r="A2276" s="84" t="s">
        <v>2629</v>
      </c>
      <c r="B2276" s="84" t="s">
        <v>94</v>
      </c>
      <c r="C2276" s="84" t="s">
        <v>283</v>
      </c>
      <c r="D2276" s="85">
        <v>237</v>
      </c>
      <c r="E2276" s="85">
        <v>4436</v>
      </c>
      <c r="F2276" s="86">
        <v>527</v>
      </c>
      <c r="G2276" s="87">
        <v>11.880072</v>
      </c>
    </row>
    <row r="2277" spans="1:7" x14ac:dyDescent="0.25">
      <c r="A2277" s="84" t="s">
        <v>1583</v>
      </c>
      <c r="B2277" s="84" t="s">
        <v>94</v>
      </c>
      <c r="C2277" s="84" t="s">
        <v>278</v>
      </c>
      <c r="D2277" s="85">
        <v>93567</v>
      </c>
      <c r="E2277" s="85">
        <v>1088474</v>
      </c>
      <c r="F2277" s="86">
        <v>132858.9</v>
      </c>
      <c r="G2277" s="87">
        <v>12.205978</v>
      </c>
    </row>
    <row r="2278" spans="1:7" x14ac:dyDescent="0.25">
      <c r="A2278" s="84" t="s">
        <v>2630</v>
      </c>
      <c r="B2278" s="84" t="s">
        <v>94</v>
      </c>
      <c r="C2278" s="84" t="s">
        <v>281</v>
      </c>
      <c r="D2278" s="85">
        <v>4390</v>
      </c>
      <c r="E2278" s="85">
        <v>73257</v>
      </c>
      <c r="F2278" s="86">
        <v>9319</v>
      </c>
      <c r="G2278" s="87">
        <v>12.720969</v>
      </c>
    </row>
    <row r="2279" spans="1:7" x14ac:dyDescent="0.25">
      <c r="A2279" s="84" t="s">
        <v>1584</v>
      </c>
      <c r="B2279" s="84" t="s">
        <v>94</v>
      </c>
      <c r="C2279" s="84" t="s">
        <v>281</v>
      </c>
      <c r="D2279" s="85">
        <v>10438</v>
      </c>
      <c r="E2279" s="85">
        <v>524888</v>
      </c>
      <c r="F2279" s="86">
        <v>53099.199999999997</v>
      </c>
      <c r="G2279" s="87">
        <v>10.116291</v>
      </c>
    </row>
    <row r="2280" spans="1:7" x14ac:dyDescent="0.25">
      <c r="A2280" s="84" t="s">
        <v>2631</v>
      </c>
      <c r="B2280" s="84" t="s">
        <v>94</v>
      </c>
      <c r="C2280" s="84" t="s">
        <v>283</v>
      </c>
      <c r="D2280" s="85">
        <v>301</v>
      </c>
      <c r="E2280" s="85">
        <v>5058</v>
      </c>
      <c r="F2280" s="86">
        <v>665.2</v>
      </c>
      <c r="G2280" s="87">
        <v>13.151443</v>
      </c>
    </row>
    <row r="2281" spans="1:7" x14ac:dyDescent="0.25">
      <c r="A2281" s="84" t="s">
        <v>2632</v>
      </c>
      <c r="B2281" s="84" t="s">
        <v>94</v>
      </c>
      <c r="C2281" s="84" t="s">
        <v>283</v>
      </c>
      <c r="D2281" s="85">
        <v>834</v>
      </c>
      <c r="E2281" s="85">
        <v>9053</v>
      </c>
      <c r="F2281" s="86">
        <v>1473</v>
      </c>
      <c r="G2281" s="87">
        <v>16.270848999999998</v>
      </c>
    </row>
    <row r="2282" spans="1:7" x14ac:dyDescent="0.25">
      <c r="A2282" s="84" t="s">
        <v>2633</v>
      </c>
      <c r="B2282" s="84" t="s">
        <v>94</v>
      </c>
      <c r="C2282" s="84" t="s">
        <v>283</v>
      </c>
      <c r="D2282" s="85">
        <v>1606</v>
      </c>
      <c r="E2282" s="85">
        <v>24095</v>
      </c>
      <c r="F2282" s="86">
        <v>2565</v>
      </c>
      <c r="G2282" s="87">
        <v>10.645362</v>
      </c>
    </row>
    <row r="2283" spans="1:7" x14ac:dyDescent="0.25">
      <c r="A2283" s="84" t="s">
        <v>2634</v>
      </c>
      <c r="B2283" s="84" t="s">
        <v>94</v>
      </c>
      <c r="C2283" s="84" t="s">
        <v>283</v>
      </c>
      <c r="D2283" s="85">
        <v>312</v>
      </c>
      <c r="E2283" s="85">
        <v>3181</v>
      </c>
      <c r="F2283" s="86">
        <v>469</v>
      </c>
      <c r="G2283" s="87">
        <v>14.743791</v>
      </c>
    </row>
    <row r="2284" spans="1:7" x14ac:dyDescent="0.25">
      <c r="A2284" s="84" t="s">
        <v>2635</v>
      </c>
      <c r="B2284" s="84" t="s">
        <v>94</v>
      </c>
      <c r="C2284" s="84" t="s">
        <v>283</v>
      </c>
      <c r="D2284" s="85">
        <v>531</v>
      </c>
      <c r="E2284" s="85">
        <v>5731</v>
      </c>
      <c r="F2284" s="86">
        <v>817</v>
      </c>
      <c r="G2284" s="87">
        <v>14.255801999999999</v>
      </c>
    </row>
    <row r="2285" spans="1:7" x14ac:dyDescent="0.25">
      <c r="A2285" s="84" t="s">
        <v>2636</v>
      </c>
      <c r="B2285" s="84" t="s">
        <v>94</v>
      </c>
      <c r="C2285" s="84" t="s">
        <v>283</v>
      </c>
      <c r="D2285" s="85">
        <v>942</v>
      </c>
      <c r="E2285" s="85">
        <v>54729</v>
      </c>
      <c r="F2285" s="86">
        <v>5830.2</v>
      </c>
      <c r="G2285" s="87">
        <v>10.652853</v>
      </c>
    </row>
    <row r="2286" spans="1:7" x14ac:dyDescent="0.25">
      <c r="A2286" s="84" t="s">
        <v>2637</v>
      </c>
      <c r="B2286" s="84" t="s">
        <v>94</v>
      </c>
      <c r="C2286" s="84" t="s">
        <v>283</v>
      </c>
      <c r="D2286" s="85">
        <v>1891</v>
      </c>
      <c r="E2286" s="85">
        <v>94415</v>
      </c>
      <c r="F2286" s="86">
        <v>8168.5</v>
      </c>
      <c r="G2286" s="87">
        <v>8.6516973000000004</v>
      </c>
    </row>
    <row r="2287" spans="1:7" x14ac:dyDescent="0.25">
      <c r="A2287" s="84" t="s">
        <v>2638</v>
      </c>
      <c r="B2287" s="84" t="s">
        <v>94</v>
      </c>
      <c r="C2287" s="84" t="s">
        <v>283</v>
      </c>
      <c r="D2287" s="85">
        <v>273</v>
      </c>
      <c r="E2287" s="85">
        <v>3405</v>
      </c>
      <c r="F2287" s="86">
        <v>427</v>
      </c>
      <c r="G2287" s="87">
        <v>12.540381999999999</v>
      </c>
    </row>
    <row r="2288" spans="1:7" x14ac:dyDescent="0.25">
      <c r="A2288" s="84" t="s">
        <v>2639</v>
      </c>
      <c r="B2288" s="84" t="s">
        <v>94</v>
      </c>
      <c r="C2288" s="84" t="s">
        <v>283</v>
      </c>
      <c r="D2288" s="85">
        <v>978</v>
      </c>
      <c r="E2288" s="85">
        <v>15488</v>
      </c>
      <c r="F2288" s="86">
        <v>2534.4</v>
      </c>
      <c r="G2288" s="87">
        <v>16.363636</v>
      </c>
    </row>
    <row r="2289" spans="1:7" x14ac:dyDescent="0.25">
      <c r="A2289" s="84" t="s">
        <v>2640</v>
      </c>
      <c r="B2289" s="84" t="s">
        <v>94</v>
      </c>
      <c r="C2289" s="84" t="s">
        <v>283</v>
      </c>
      <c r="D2289" s="85">
        <v>1106</v>
      </c>
      <c r="E2289" s="85">
        <v>26304</v>
      </c>
      <c r="F2289" s="86">
        <v>3060</v>
      </c>
      <c r="G2289" s="87">
        <v>11.633212</v>
      </c>
    </row>
    <row r="2290" spans="1:7" x14ac:dyDescent="0.25">
      <c r="A2290" s="84" t="s">
        <v>2641</v>
      </c>
      <c r="B2290" s="84" t="s">
        <v>94</v>
      </c>
      <c r="C2290" s="84" t="s">
        <v>283</v>
      </c>
      <c r="D2290" s="85">
        <v>279</v>
      </c>
      <c r="E2290" s="85">
        <v>3898</v>
      </c>
      <c r="F2290" s="86">
        <v>449</v>
      </c>
      <c r="G2290" s="87">
        <v>11.518727999999999</v>
      </c>
    </row>
    <row r="2291" spans="1:7" x14ac:dyDescent="0.25">
      <c r="A2291" s="84" t="s">
        <v>2642</v>
      </c>
      <c r="B2291" s="84" t="s">
        <v>94</v>
      </c>
      <c r="C2291" s="84" t="s">
        <v>283</v>
      </c>
      <c r="D2291" s="85">
        <v>946</v>
      </c>
      <c r="E2291" s="85">
        <v>14259</v>
      </c>
      <c r="F2291" s="86">
        <v>1839</v>
      </c>
      <c r="G2291" s="87">
        <v>12.897118000000001</v>
      </c>
    </row>
    <row r="2292" spans="1:7" x14ac:dyDescent="0.25">
      <c r="A2292" s="84" t="s">
        <v>2643</v>
      </c>
      <c r="B2292" s="84" t="s">
        <v>94</v>
      </c>
      <c r="C2292" s="84" t="s">
        <v>283</v>
      </c>
      <c r="D2292" s="85">
        <v>1119</v>
      </c>
      <c r="E2292" s="85">
        <v>13997</v>
      </c>
      <c r="F2292" s="86">
        <v>2204</v>
      </c>
      <c r="G2292" s="87">
        <v>15.746231</v>
      </c>
    </row>
    <row r="2293" spans="1:7" x14ac:dyDescent="0.25">
      <c r="A2293" s="84" t="s">
        <v>2644</v>
      </c>
      <c r="B2293" s="84" t="s">
        <v>94</v>
      </c>
      <c r="C2293" s="84" t="s">
        <v>283</v>
      </c>
      <c r="D2293" s="85">
        <v>2129</v>
      </c>
      <c r="E2293" s="85">
        <v>44889</v>
      </c>
      <c r="F2293" s="86">
        <v>4419</v>
      </c>
      <c r="G2293" s="87">
        <v>9.8442825999999997</v>
      </c>
    </row>
    <row r="2294" spans="1:7" x14ac:dyDescent="0.25">
      <c r="A2294" s="84" t="s">
        <v>2645</v>
      </c>
      <c r="B2294" s="84" t="s">
        <v>94</v>
      </c>
      <c r="C2294" s="84" t="s">
        <v>283</v>
      </c>
      <c r="D2294" s="85">
        <v>993</v>
      </c>
      <c r="E2294" s="85">
        <v>9123</v>
      </c>
      <c r="F2294" s="86">
        <v>1297</v>
      </c>
      <c r="G2294" s="87">
        <v>14.216815</v>
      </c>
    </row>
    <row r="2295" spans="1:7" x14ac:dyDescent="0.25">
      <c r="A2295" s="84" t="s">
        <v>2646</v>
      </c>
      <c r="B2295" s="84" t="s">
        <v>94</v>
      </c>
      <c r="C2295" s="84" t="s">
        <v>283</v>
      </c>
      <c r="D2295" s="85">
        <v>1346</v>
      </c>
      <c r="E2295" s="85">
        <v>25348</v>
      </c>
      <c r="F2295" s="86">
        <v>3845.7</v>
      </c>
      <c r="G2295" s="87">
        <v>15.171611</v>
      </c>
    </row>
    <row r="2296" spans="1:7" x14ac:dyDescent="0.25">
      <c r="A2296" s="84" t="s">
        <v>2647</v>
      </c>
      <c r="B2296" s="84" t="s">
        <v>94</v>
      </c>
      <c r="C2296" s="84" t="s">
        <v>283</v>
      </c>
      <c r="D2296" s="85">
        <v>731</v>
      </c>
      <c r="E2296" s="85">
        <v>12938</v>
      </c>
      <c r="F2296" s="86">
        <v>1321</v>
      </c>
      <c r="G2296" s="87">
        <v>10.210233000000001</v>
      </c>
    </row>
    <row r="2297" spans="1:7" x14ac:dyDescent="0.25">
      <c r="A2297" s="84" t="s">
        <v>2648</v>
      </c>
      <c r="B2297" s="84" t="s">
        <v>94</v>
      </c>
      <c r="C2297" s="84" t="s">
        <v>283</v>
      </c>
      <c r="D2297" s="85">
        <v>546</v>
      </c>
      <c r="E2297" s="85">
        <v>6038</v>
      </c>
      <c r="F2297" s="86">
        <v>727.8</v>
      </c>
      <c r="G2297" s="87">
        <v>12.053660000000001</v>
      </c>
    </row>
    <row r="2298" spans="1:7" x14ac:dyDescent="0.25">
      <c r="A2298" s="84" t="s">
        <v>2649</v>
      </c>
      <c r="B2298" s="84" t="s">
        <v>94</v>
      </c>
      <c r="C2298" s="84" t="s">
        <v>283</v>
      </c>
      <c r="D2298" s="85">
        <v>765</v>
      </c>
      <c r="E2298" s="85">
        <v>21306</v>
      </c>
      <c r="F2298" s="86">
        <v>2655</v>
      </c>
      <c r="G2298" s="87">
        <v>12.461278999999999</v>
      </c>
    </row>
    <row r="2299" spans="1:7" x14ac:dyDescent="0.25">
      <c r="A2299" s="84" t="s">
        <v>2650</v>
      </c>
      <c r="B2299" s="84" t="s">
        <v>94</v>
      </c>
      <c r="C2299" s="84" t="s">
        <v>283</v>
      </c>
      <c r="D2299" s="85">
        <v>897</v>
      </c>
      <c r="E2299" s="85">
        <v>10265</v>
      </c>
      <c r="F2299" s="86">
        <v>1497</v>
      </c>
      <c r="G2299" s="87">
        <v>14.583536</v>
      </c>
    </row>
    <row r="2300" spans="1:7" x14ac:dyDescent="0.25">
      <c r="A2300" s="84" t="s">
        <v>2651</v>
      </c>
      <c r="B2300" s="84" t="s">
        <v>94</v>
      </c>
      <c r="C2300" s="84" t="s">
        <v>283</v>
      </c>
      <c r="D2300" s="85">
        <v>1792</v>
      </c>
      <c r="E2300" s="85">
        <v>43466</v>
      </c>
      <c r="F2300" s="86">
        <v>4106</v>
      </c>
      <c r="G2300" s="87">
        <v>9.4464638999999995</v>
      </c>
    </row>
    <row r="2301" spans="1:7" x14ac:dyDescent="0.25">
      <c r="A2301" s="84" t="s">
        <v>2652</v>
      </c>
      <c r="B2301" s="84" t="s">
        <v>94</v>
      </c>
      <c r="C2301" s="84" t="s">
        <v>283</v>
      </c>
      <c r="D2301" s="85">
        <v>353</v>
      </c>
      <c r="E2301" s="85">
        <v>3840</v>
      </c>
      <c r="F2301" s="86">
        <v>489</v>
      </c>
      <c r="G2301" s="87">
        <v>12.734375</v>
      </c>
    </row>
    <row r="2302" spans="1:7" x14ac:dyDescent="0.25">
      <c r="A2302" s="84" t="s">
        <v>2653</v>
      </c>
      <c r="B2302" s="84" t="s">
        <v>94</v>
      </c>
      <c r="C2302" s="84" t="s">
        <v>283</v>
      </c>
      <c r="D2302" s="85">
        <v>498</v>
      </c>
      <c r="E2302" s="85">
        <v>6781</v>
      </c>
      <c r="F2302" s="86">
        <v>827</v>
      </c>
      <c r="G2302" s="87">
        <v>12.195841</v>
      </c>
    </row>
    <row r="2303" spans="1:7" x14ac:dyDescent="0.25">
      <c r="A2303" s="84" t="s">
        <v>2654</v>
      </c>
      <c r="B2303" s="84" t="s">
        <v>94</v>
      </c>
      <c r="C2303" s="84" t="s">
        <v>283</v>
      </c>
      <c r="D2303" s="85">
        <v>740</v>
      </c>
      <c r="E2303" s="85">
        <v>11563</v>
      </c>
      <c r="F2303" s="86">
        <v>1752</v>
      </c>
      <c r="G2303" s="87">
        <v>15.151776999999999</v>
      </c>
    </row>
    <row r="2304" spans="1:7" x14ac:dyDescent="0.25">
      <c r="A2304" s="84" t="s">
        <v>1585</v>
      </c>
      <c r="B2304" s="84" t="s">
        <v>94</v>
      </c>
      <c r="C2304" s="84" t="s">
        <v>283</v>
      </c>
      <c r="D2304" s="85">
        <v>1479</v>
      </c>
      <c r="E2304" s="85">
        <v>139546</v>
      </c>
      <c r="F2304" s="86">
        <v>12793</v>
      </c>
      <c r="G2304" s="87">
        <v>9.1675863</v>
      </c>
    </row>
    <row r="2305" spans="1:7" x14ac:dyDescent="0.25">
      <c r="A2305" s="84" t="s">
        <v>2655</v>
      </c>
      <c r="B2305" s="84" t="s">
        <v>94</v>
      </c>
      <c r="C2305" s="84" t="s">
        <v>283</v>
      </c>
      <c r="D2305" s="85">
        <v>830</v>
      </c>
      <c r="E2305" s="85">
        <v>47639</v>
      </c>
      <c r="F2305" s="86">
        <v>4583</v>
      </c>
      <c r="G2305" s="87">
        <v>9.6202690999999998</v>
      </c>
    </row>
    <row r="2306" spans="1:7" x14ac:dyDescent="0.25">
      <c r="A2306" s="84" t="s">
        <v>2656</v>
      </c>
      <c r="B2306" s="84" t="s">
        <v>94</v>
      </c>
      <c r="C2306" s="84" t="s">
        <v>283</v>
      </c>
      <c r="D2306" s="85">
        <v>2310</v>
      </c>
      <c r="E2306" s="85">
        <v>79432</v>
      </c>
      <c r="F2306" s="86">
        <v>8362</v>
      </c>
      <c r="G2306" s="87">
        <v>10.527243</v>
      </c>
    </row>
    <row r="2307" spans="1:7" x14ac:dyDescent="0.25">
      <c r="A2307" s="84" t="s">
        <v>2657</v>
      </c>
      <c r="B2307" s="84" t="s">
        <v>94</v>
      </c>
      <c r="C2307" s="84" t="s">
        <v>283</v>
      </c>
      <c r="D2307" s="85">
        <v>1617</v>
      </c>
      <c r="E2307" s="85">
        <v>69266</v>
      </c>
      <c r="F2307" s="86">
        <v>6483</v>
      </c>
      <c r="G2307" s="87">
        <v>9.3595704000000008</v>
      </c>
    </row>
    <row r="2308" spans="1:7" x14ac:dyDescent="0.25">
      <c r="A2308" s="84" t="s">
        <v>2658</v>
      </c>
      <c r="B2308" s="84" t="s">
        <v>94</v>
      </c>
      <c r="C2308" s="84" t="s">
        <v>283</v>
      </c>
      <c r="D2308" s="85">
        <v>473</v>
      </c>
      <c r="E2308" s="85">
        <v>10350</v>
      </c>
      <c r="F2308" s="86">
        <v>1559.6</v>
      </c>
      <c r="G2308" s="87">
        <v>15.068599000000001</v>
      </c>
    </row>
    <row r="2309" spans="1:7" x14ac:dyDescent="0.25">
      <c r="A2309" s="84" t="s">
        <v>2659</v>
      </c>
      <c r="B2309" s="84" t="s">
        <v>94</v>
      </c>
      <c r="C2309" s="84" t="s">
        <v>283</v>
      </c>
      <c r="D2309" s="85">
        <v>1542</v>
      </c>
      <c r="E2309" s="85">
        <v>21276</v>
      </c>
      <c r="F2309" s="86">
        <v>2897</v>
      </c>
      <c r="G2309" s="87">
        <v>13.616281000000001</v>
      </c>
    </row>
    <row r="2310" spans="1:7" x14ac:dyDescent="0.25">
      <c r="A2310" s="84" t="s">
        <v>2660</v>
      </c>
      <c r="B2310" s="84" t="s">
        <v>94</v>
      </c>
      <c r="C2310" s="84" t="s">
        <v>283</v>
      </c>
      <c r="D2310" s="85">
        <v>96</v>
      </c>
      <c r="E2310" s="85">
        <v>70178</v>
      </c>
      <c r="F2310" s="86">
        <v>6637.8</v>
      </c>
      <c r="G2310" s="87">
        <v>9.4585197999999995</v>
      </c>
    </row>
    <row r="2311" spans="1:7" x14ac:dyDescent="0.25">
      <c r="A2311" s="84" t="s">
        <v>2661</v>
      </c>
      <c r="B2311" s="84" t="s">
        <v>94</v>
      </c>
      <c r="C2311" s="84" t="s">
        <v>283</v>
      </c>
      <c r="D2311" s="85">
        <v>430</v>
      </c>
      <c r="E2311" s="85">
        <v>5581</v>
      </c>
      <c r="F2311" s="86">
        <v>634</v>
      </c>
      <c r="G2311" s="87">
        <v>11.359971</v>
      </c>
    </row>
    <row r="2312" spans="1:7" x14ac:dyDescent="0.25">
      <c r="A2312" s="84" t="s">
        <v>2662</v>
      </c>
      <c r="B2312" s="84" t="s">
        <v>94</v>
      </c>
      <c r="C2312" s="84" t="s">
        <v>283</v>
      </c>
      <c r="D2312" s="85">
        <v>714</v>
      </c>
      <c r="E2312" s="85">
        <v>10665</v>
      </c>
      <c r="F2312" s="86">
        <v>1300.7</v>
      </c>
      <c r="G2312" s="87">
        <v>12.195968000000001</v>
      </c>
    </row>
    <row r="2313" spans="1:7" x14ac:dyDescent="0.25">
      <c r="A2313" s="84" t="s">
        <v>2663</v>
      </c>
      <c r="B2313" s="84" t="s">
        <v>94</v>
      </c>
      <c r="C2313" s="84" t="s">
        <v>283</v>
      </c>
      <c r="D2313" s="85">
        <v>845</v>
      </c>
      <c r="E2313" s="85">
        <v>32339</v>
      </c>
      <c r="F2313" s="86">
        <v>3750</v>
      </c>
      <c r="G2313" s="87">
        <v>11.595905999999999</v>
      </c>
    </row>
    <row r="2314" spans="1:7" x14ac:dyDescent="0.25">
      <c r="A2314" s="84" t="s">
        <v>2664</v>
      </c>
      <c r="B2314" s="84" t="s">
        <v>94</v>
      </c>
      <c r="C2314" s="84" t="s">
        <v>283</v>
      </c>
      <c r="D2314" s="85">
        <v>848</v>
      </c>
      <c r="E2314" s="85">
        <v>11026</v>
      </c>
      <c r="F2314" s="86">
        <v>1524</v>
      </c>
      <c r="G2314" s="87">
        <v>13.821876</v>
      </c>
    </row>
    <row r="2315" spans="1:7" x14ac:dyDescent="0.25">
      <c r="A2315" s="84" t="s">
        <v>2665</v>
      </c>
      <c r="B2315" s="84" t="s">
        <v>94</v>
      </c>
      <c r="C2315" s="84" t="s">
        <v>283</v>
      </c>
      <c r="D2315" s="85">
        <v>307</v>
      </c>
      <c r="E2315" s="85">
        <v>2897</v>
      </c>
      <c r="F2315" s="86">
        <v>430</v>
      </c>
      <c r="G2315" s="87">
        <v>14.842941</v>
      </c>
    </row>
    <row r="2316" spans="1:7" x14ac:dyDescent="0.25">
      <c r="A2316" s="84" t="s">
        <v>2666</v>
      </c>
      <c r="B2316" s="84" t="s">
        <v>94</v>
      </c>
      <c r="C2316" s="84" t="s">
        <v>283</v>
      </c>
      <c r="D2316" s="85">
        <v>1034</v>
      </c>
      <c r="E2316" s="85">
        <v>14543</v>
      </c>
      <c r="F2316" s="86">
        <v>1568</v>
      </c>
      <c r="G2316" s="87">
        <v>10.781819</v>
      </c>
    </row>
    <row r="2317" spans="1:7" x14ac:dyDescent="0.25">
      <c r="A2317" s="84" t="s">
        <v>2667</v>
      </c>
      <c r="B2317" s="84" t="s">
        <v>94</v>
      </c>
      <c r="C2317" s="84" t="s">
        <v>283</v>
      </c>
      <c r="D2317" s="85">
        <v>275</v>
      </c>
      <c r="E2317" s="85">
        <v>4084</v>
      </c>
      <c r="F2317" s="86">
        <v>581</v>
      </c>
      <c r="G2317" s="87">
        <v>14.226248999999999</v>
      </c>
    </row>
    <row r="2318" spans="1:7" x14ac:dyDescent="0.25">
      <c r="A2318" s="84" t="s">
        <v>2668</v>
      </c>
      <c r="B2318" s="84" t="s">
        <v>94</v>
      </c>
      <c r="C2318" s="84" t="s">
        <v>283</v>
      </c>
      <c r="D2318" s="85">
        <v>499</v>
      </c>
      <c r="E2318" s="85">
        <v>21221</v>
      </c>
      <c r="F2318" s="86">
        <v>1985</v>
      </c>
      <c r="G2318" s="87">
        <v>9.3539419000000006</v>
      </c>
    </row>
    <row r="2319" spans="1:7" x14ac:dyDescent="0.25">
      <c r="A2319" s="84" t="s">
        <v>2669</v>
      </c>
      <c r="B2319" s="84" t="s">
        <v>94</v>
      </c>
      <c r="C2319" s="84" t="s">
        <v>283</v>
      </c>
      <c r="D2319" s="85">
        <v>236</v>
      </c>
      <c r="E2319" s="85">
        <v>5229</v>
      </c>
      <c r="F2319" s="86">
        <v>680.5</v>
      </c>
      <c r="G2319" s="87">
        <v>13.013961</v>
      </c>
    </row>
    <row r="2320" spans="1:7" x14ac:dyDescent="0.25">
      <c r="A2320" s="84" t="s">
        <v>2670</v>
      </c>
      <c r="B2320" s="84" t="s">
        <v>94</v>
      </c>
      <c r="C2320" s="84" t="s">
        <v>283</v>
      </c>
      <c r="D2320" s="85">
        <v>1900</v>
      </c>
      <c r="E2320" s="85">
        <v>71858</v>
      </c>
      <c r="F2320" s="86">
        <v>7700</v>
      </c>
      <c r="G2320" s="87">
        <v>10.715578000000001</v>
      </c>
    </row>
    <row r="2321" spans="1:7" x14ac:dyDescent="0.25">
      <c r="A2321" s="84" t="s">
        <v>2671</v>
      </c>
      <c r="B2321" s="84" t="s">
        <v>94</v>
      </c>
      <c r="C2321" s="84" t="s">
        <v>283</v>
      </c>
      <c r="D2321" s="85">
        <v>442</v>
      </c>
      <c r="E2321" s="85">
        <v>7116</v>
      </c>
      <c r="F2321" s="86">
        <v>891</v>
      </c>
      <c r="G2321" s="87">
        <v>12.521079</v>
      </c>
    </row>
    <row r="2322" spans="1:7" x14ac:dyDescent="0.25">
      <c r="A2322" s="84" t="s">
        <v>2672</v>
      </c>
      <c r="B2322" s="84" t="s">
        <v>94</v>
      </c>
      <c r="C2322" s="84" t="s">
        <v>283</v>
      </c>
      <c r="D2322" s="85">
        <v>2595</v>
      </c>
      <c r="E2322" s="85">
        <v>75426</v>
      </c>
      <c r="F2322" s="86">
        <v>8673</v>
      </c>
      <c r="G2322" s="87">
        <v>11.498687</v>
      </c>
    </row>
    <row r="2323" spans="1:7" x14ac:dyDescent="0.25">
      <c r="A2323" s="84" t="s">
        <v>2673</v>
      </c>
      <c r="B2323" s="84" t="s">
        <v>94</v>
      </c>
      <c r="C2323" s="84" t="s">
        <v>283</v>
      </c>
      <c r="D2323" s="85">
        <v>165</v>
      </c>
      <c r="E2323" s="85">
        <v>1584</v>
      </c>
      <c r="F2323" s="86">
        <v>149.19999999999999</v>
      </c>
      <c r="G2323" s="87">
        <v>9.4191918999999995</v>
      </c>
    </row>
    <row r="2324" spans="1:7" x14ac:dyDescent="0.25">
      <c r="A2324" s="84" t="s">
        <v>2674</v>
      </c>
      <c r="B2324" s="84" t="s">
        <v>94</v>
      </c>
      <c r="C2324" s="84" t="s">
        <v>283</v>
      </c>
      <c r="D2324" s="85">
        <v>994</v>
      </c>
      <c r="E2324" s="85">
        <v>11716</v>
      </c>
      <c r="F2324" s="86">
        <v>1590</v>
      </c>
      <c r="G2324" s="87">
        <v>13.571185</v>
      </c>
    </row>
    <row r="2325" spans="1:7" x14ac:dyDescent="0.25">
      <c r="A2325" s="84" t="s">
        <v>1586</v>
      </c>
      <c r="B2325" s="84" t="s">
        <v>94</v>
      </c>
      <c r="C2325" s="84" t="s">
        <v>283</v>
      </c>
      <c r="D2325" s="85">
        <v>2185</v>
      </c>
      <c r="E2325" s="85">
        <v>33533</v>
      </c>
      <c r="F2325" s="86">
        <v>3439</v>
      </c>
      <c r="G2325" s="87">
        <v>10.255568999999999</v>
      </c>
    </row>
    <row r="2326" spans="1:7" x14ac:dyDescent="0.25">
      <c r="A2326" s="84" t="s">
        <v>1587</v>
      </c>
      <c r="B2326" s="84" t="s">
        <v>94</v>
      </c>
      <c r="C2326" s="84" t="s">
        <v>281</v>
      </c>
      <c r="D2326" s="85">
        <v>10485</v>
      </c>
      <c r="E2326" s="85">
        <v>110607</v>
      </c>
      <c r="F2326" s="86">
        <v>17662.2</v>
      </c>
      <c r="G2326" s="87">
        <v>15.968429</v>
      </c>
    </row>
    <row r="2327" spans="1:7" x14ac:dyDescent="0.25">
      <c r="A2327" s="84" t="s">
        <v>856</v>
      </c>
      <c r="B2327" s="84" t="s">
        <v>96</v>
      </c>
      <c r="C2327" s="84" t="s">
        <v>281</v>
      </c>
      <c r="D2327" s="85">
        <v>7652</v>
      </c>
      <c r="E2327" s="85">
        <v>688634</v>
      </c>
      <c r="F2327" s="86">
        <v>49619</v>
      </c>
      <c r="G2327" s="87">
        <v>7.2054241000000001</v>
      </c>
    </row>
    <row r="2328" spans="1:7" x14ac:dyDescent="0.25">
      <c r="A2328" s="84" t="s">
        <v>2675</v>
      </c>
      <c r="B2328" s="84" t="s">
        <v>96</v>
      </c>
      <c r="C2328" s="84" t="s">
        <v>283</v>
      </c>
      <c r="D2328" s="85">
        <v>2446</v>
      </c>
      <c r="E2328" s="85">
        <v>54098</v>
      </c>
      <c r="F2328" s="86">
        <v>4891</v>
      </c>
      <c r="G2328" s="87">
        <v>9.0409997000000004</v>
      </c>
    </row>
    <row r="2329" spans="1:7" x14ac:dyDescent="0.25">
      <c r="A2329" s="84" t="s">
        <v>354</v>
      </c>
      <c r="B2329" s="84" t="s">
        <v>96</v>
      </c>
      <c r="C2329" s="84" t="s">
        <v>281</v>
      </c>
      <c r="D2329" s="85">
        <v>4539</v>
      </c>
      <c r="E2329" s="85">
        <v>90989</v>
      </c>
      <c r="F2329" s="86">
        <v>9354.2999999999993</v>
      </c>
      <c r="G2329" s="87">
        <v>10.280692999999999</v>
      </c>
    </row>
    <row r="2330" spans="1:7" x14ac:dyDescent="0.25">
      <c r="A2330" s="84" t="s">
        <v>1588</v>
      </c>
      <c r="B2330" s="84" t="s">
        <v>96</v>
      </c>
      <c r="C2330" s="84" t="s">
        <v>281</v>
      </c>
      <c r="D2330" s="85">
        <v>25684</v>
      </c>
      <c r="E2330" s="85">
        <v>654238</v>
      </c>
      <c r="F2330" s="86">
        <v>68876</v>
      </c>
      <c r="G2330" s="87">
        <v>10.527666999999999</v>
      </c>
    </row>
    <row r="2331" spans="1:7" x14ac:dyDescent="0.25">
      <c r="A2331" s="84" t="s">
        <v>1589</v>
      </c>
      <c r="B2331" s="84" t="s">
        <v>96</v>
      </c>
      <c r="C2331" s="84" t="s">
        <v>281</v>
      </c>
      <c r="D2331" s="85">
        <v>25135</v>
      </c>
      <c r="E2331" s="85">
        <v>781535</v>
      </c>
      <c r="F2331" s="86">
        <v>63321.7</v>
      </c>
      <c r="G2331" s="87">
        <v>8.1022219</v>
      </c>
    </row>
    <row r="2332" spans="1:7" x14ac:dyDescent="0.25">
      <c r="A2332" s="84" t="s">
        <v>1590</v>
      </c>
      <c r="B2332" s="84" t="s">
        <v>96</v>
      </c>
      <c r="C2332" s="84" t="s">
        <v>281</v>
      </c>
      <c r="D2332" s="85">
        <v>22017</v>
      </c>
      <c r="E2332" s="85">
        <v>582968</v>
      </c>
      <c r="F2332" s="86">
        <v>56083</v>
      </c>
      <c r="G2332" s="87">
        <v>9.6202535999999998</v>
      </c>
    </row>
    <row r="2333" spans="1:7" x14ac:dyDescent="0.25">
      <c r="A2333" s="84" t="s">
        <v>1591</v>
      </c>
      <c r="B2333" s="84" t="s">
        <v>96</v>
      </c>
      <c r="C2333" s="84" t="s">
        <v>281</v>
      </c>
      <c r="D2333" s="85">
        <v>18987</v>
      </c>
      <c r="E2333" s="85">
        <v>476205</v>
      </c>
      <c r="F2333" s="86">
        <v>47106.9</v>
      </c>
      <c r="G2333" s="87">
        <v>9.8921472999999995</v>
      </c>
    </row>
    <row r="2334" spans="1:7" x14ac:dyDescent="0.25">
      <c r="A2334" s="84" t="s">
        <v>1592</v>
      </c>
      <c r="B2334" s="84" t="s">
        <v>96</v>
      </c>
      <c r="C2334" s="84" t="s">
        <v>281</v>
      </c>
      <c r="D2334" s="85">
        <v>18076</v>
      </c>
      <c r="E2334" s="85">
        <v>684104</v>
      </c>
      <c r="F2334" s="86">
        <v>60686</v>
      </c>
      <c r="G2334" s="87">
        <v>8.8708734000000007</v>
      </c>
    </row>
    <row r="2335" spans="1:7" x14ac:dyDescent="0.25">
      <c r="A2335" s="84" t="s">
        <v>1593</v>
      </c>
      <c r="B2335" s="84" t="s">
        <v>96</v>
      </c>
      <c r="C2335" s="84" t="s">
        <v>283</v>
      </c>
      <c r="D2335" s="85">
        <v>8750</v>
      </c>
      <c r="E2335" s="85">
        <v>196655</v>
      </c>
      <c r="F2335" s="86">
        <v>23102</v>
      </c>
      <c r="G2335" s="87">
        <v>11.747477</v>
      </c>
    </row>
    <row r="2336" spans="1:7" x14ac:dyDescent="0.25">
      <c r="A2336" s="84" t="s">
        <v>2676</v>
      </c>
      <c r="B2336" s="84" t="s">
        <v>96</v>
      </c>
      <c r="C2336" s="84" t="s">
        <v>283</v>
      </c>
      <c r="D2336" s="85">
        <v>3219</v>
      </c>
      <c r="E2336" s="85">
        <v>53202</v>
      </c>
      <c r="F2336" s="86">
        <v>6007.5</v>
      </c>
      <c r="G2336" s="87">
        <v>11.291869</v>
      </c>
    </row>
    <row r="2337" spans="1:7" x14ac:dyDescent="0.25">
      <c r="A2337" s="84" t="s">
        <v>2677</v>
      </c>
      <c r="B2337" s="84" t="s">
        <v>96</v>
      </c>
      <c r="C2337" s="84" t="s">
        <v>283</v>
      </c>
      <c r="D2337" s="85">
        <v>76</v>
      </c>
      <c r="E2337" s="85">
        <v>3385</v>
      </c>
      <c r="F2337" s="86">
        <v>285</v>
      </c>
      <c r="G2337" s="87">
        <v>8.4194978000000003</v>
      </c>
    </row>
    <row r="2338" spans="1:7" x14ac:dyDescent="0.25">
      <c r="A2338" s="84" t="s">
        <v>1594</v>
      </c>
      <c r="B2338" s="84" t="s">
        <v>96</v>
      </c>
      <c r="C2338" s="84" t="s">
        <v>283</v>
      </c>
      <c r="D2338" s="85">
        <v>12173</v>
      </c>
      <c r="E2338" s="85">
        <v>273688</v>
      </c>
      <c r="F2338" s="86">
        <v>26448</v>
      </c>
      <c r="G2338" s="87">
        <v>9.6635585000000006</v>
      </c>
    </row>
    <row r="2339" spans="1:7" x14ac:dyDescent="0.25">
      <c r="A2339" s="84" t="s">
        <v>2678</v>
      </c>
      <c r="B2339" s="84" t="s">
        <v>96</v>
      </c>
      <c r="C2339" s="84" t="s">
        <v>283</v>
      </c>
      <c r="D2339" s="85">
        <v>3156</v>
      </c>
      <c r="E2339" s="85">
        <v>50155</v>
      </c>
      <c r="F2339" s="86">
        <v>6381</v>
      </c>
      <c r="G2339" s="87">
        <v>12.72256</v>
      </c>
    </row>
    <row r="2340" spans="1:7" x14ac:dyDescent="0.25">
      <c r="A2340" s="84" t="s">
        <v>2679</v>
      </c>
      <c r="B2340" s="84" t="s">
        <v>96</v>
      </c>
      <c r="C2340" s="84" t="s">
        <v>283</v>
      </c>
      <c r="D2340" s="85">
        <v>797</v>
      </c>
      <c r="E2340" s="85">
        <v>12470</v>
      </c>
      <c r="F2340" s="86">
        <v>1557</v>
      </c>
      <c r="G2340" s="87">
        <v>12.485965999999999</v>
      </c>
    </row>
    <row r="2341" spans="1:7" x14ac:dyDescent="0.25">
      <c r="A2341" s="84" t="s">
        <v>1595</v>
      </c>
      <c r="B2341" s="84" t="s">
        <v>96</v>
      </c>
      <c r="C2341" s="84" t="s">
        <v>283</v>
      </c>
      <c r="D2341" s="85">
        <v>4400</v>
      </c>
      <c r="E2341" s="85">
        <v>106755</v>
      </c>
      <c r="F2341" s="86">
        <v>8880</v>
      </c>
      <c r="G2341" s="87">
        <v>8.3181115999999999</v>
      </c>
    </row>
    <row r="2342" spans="1:7" x14ac:dyDescent="0.25">
      <c r="A2342" s="84" t="s">
        <v>1596</v>
      </c>
      <c r="B2342" s="84" t="s">
        <v>96</v>
      </c>
      <c r="C2342" s="84" t="s">
        <v>283</v>
      </c>
      <c r="D2342" s="85">
        <v>8825</v>
      </c>
      <c r="E2342" s="85">
        <v>184253</v>
      </c>
      <c r="F2342" s="86">
        <v>18991.599999999999</v>
      </c>
      <c r="G2342" s="87">
        <v>10.307349</v>
      </c>
    </row>
    <row r="2343" spans="1:7" x14ac:dyDescent="0.25">
      <c r="A2343" s="84" t="s">
        <v>1597</v>
      </c>
      <c r="B2343" s="84" t="s">
        <v>96</v>
      </c>
      <c r="C2343" s="84" t="s">
        <v>283</v>
      </c>
      <c r="D2343" s="85">
        <v>41098</v>
      </c>
      <c r="E2343" s="85">
        <v>881338</v>
      </c>
      <c r="F2343" s="86">
        <v>90647</v>
      </c>
      <c r="G2343" s="87">
        <v>10.285157</v>
      </c>
    </row>
    <row r="2344" spans="1:7" x14ac:dyDescent="0.25">
      <c r="A2344" s="84" t="s">
        <v>2680</v>
      </c>
      <c r="B2344" s="84" t="s">
        <v>96</v>
      </c>
      <c r="C2344" s="84" t="s">
        <v>283</v>
      </c>
      <c r="D2344" s="85">
        <v>224</v>
      </c>
      <c r="E2344" s="85">
        <v>1969</v>
      </c>
      <c r="F2344" s="86">
        <v>242.5</v>
      </c>
      <c r="G2344" s="87">
        <v>12.315896</v>
      </c>
    </row>
    <row r="2345" spans="1:7" x14ac:dyDescent="0.25">
      <c r="A2345" s="84" t="s">
        <v>2681</v>
      </c>
      <c r="B2345" s="84" t="s">
        <v>96</v>
      </c>
      <c r="C2345" s="84" t="s">
        <v>283</v>
      </c>
      <c r="D2345" s="85">
        <v>2126</v>
      </c>
      <c r="E2345" s="85">
        <v>28599</v>
      </c>
      <c r="F2345" s="86">
        <v>2377.3000000000002</v>
      </c>
      <c r="G2345" s="87">
        <v>8.3125283999999997</v>
      </c>
    </row>
    <row r="2346" spans="1:7" x14ac:dyDescent="0.25">
      <c r="A2346" s="84" t="s">
        <v>2682</v>
      </c>
      <c r="B2346" s="84" t="s">
        <v>96</v>
      </c>
      <c r="C2346" s="84" t="s">
        <v>283</v>
      </c>
      <c r="D2346" s="85">
        <v>1967</v>
      </c>
      <c r="E2346" s="85">
        <v>47666</v>
      </c>
      <c r="F2346" s="86">
        <v>4934.8999999999996</v>
      </c>
      <c r="G2346" s="87">
        <v>10.353082000000001</v>
      </c>
    </row>
    <row r="2347" spans="1:7" x14ac:dyDescent="0.25">
      <c r="A2347" s="84" t="s">
        <v>2683</v>
      </c>
      <c r="B2347" s="84" t="s">
        <v>96</v>
      </c>
      <c r="C2347" s="84" t="s">
        <v>283</v>
      </c>
      <c r="D2347" s="85">
        <v>688</v>
      </c>
      <c r="E2347" s="85">
        <v>6787</v>
      </c>
      <c r="F2347" s="86">
        <v>903</v>
      </c>
      <c r="G2347" s="87">
        <v>13.304848</v>
      </c>
    </row>
    <row r="2348" spans="1:7" x14ac:dyDescent="0.25">
      <c r="A2348" s="84" t="s">
        <v>2684</v>
      </c>
      <c r="B2348" s="84" t="s">
        <v>96</v>
      </c>
      <c r="C2348" s="84" t="s">
        <v>283</v>
      </c>
      <c r="D2348" s="85">
        <v>635</v>
      </c>
      <c r="E2348" s="85">
        <v>5599</v>
      </c>
      <c r="F2348" s="86">
        <v>740.7</v>
      </c>
      <c r="G2348" s="87">
        <v>13.229148</v>
      </c>
    </row>
    <row r="2349" spans="1:7" x14ac:dyDescent="0.25">
      <c r="A2349" s="84" t="s">
        <v>2685</v>
      </c>
      <c r="B2349" s="84" t="s">
        <v>96</v>
      </c>
      <c r="C2349" s="84" t="s">
        <v>283</v>
      </c>
      <c r="D2349" s="85">
        <v>2289</v>
      </c>
      <c r="E2349" s="85">
        <v>51189</v>
      </c>
      <c r="F2349" s="86">
        <v>5451</v>
      </c>
      <c r="G2349" s="87">
        <v>10.648771999999999</v>
      </c>
    </row>
    <row r="2350" spans="1:7" x14ac:dyDescent="0.25">
      <c r="A2350" s="84" t="s">
        <v>2686</v>
      </c>
      <c r="B2350" s="84" t="s">
        <v>96</v>
      </c>
      <c r="C2350" s="84" t="s">
        <v>283</v>
      </c>
      <c r="D2350" s="85">
        <v>813</v>
      </c>
      <c r="E2350" s="85">
        <v>10421</v>
      </c>
      <c r="F2350" s="86">
        <v>1196.9000000000001</v>
      </c>
      <c r="G2350" s="87">
        <v>11.485462</v>
      </c>
    </row>
    <row r="2351" spans="1:7" x14ac:dyDescent="0.25">
      <c r="A2351" s="84" t="s">
        <v>2687</v>
      </c>
      <c r="B2351" s="84" t="s">
        <v>96</v>
      </c>
      <c r="C2351" s="84" t="s">
        <v>283</v>
      </c>
      <c r="D2351" s="85">
        <v>1499</v>
      </c>
      <c r="E2351" s="85">
        <v>25827</v>
      </c>
      <c r="F2351" s="86">
        <v>2031</v>
      </c>
      <c r="G2351" s="87">
        <v>7.8638633999999996</v>
      </c>
    </row>
    <row r="2352" spans="1:7" x14ac:dyDescent="0.25">
      <c r="A2352" s="84" t="s">
        <v>1598</v>
      </c>
      <c r="B2352" s="84" t="s">
        <v>96</v>
      </c>
      <c r="C2352" s="84" t="s">
        <v>283</v>
      </c>
      <c r="D2352" s="85">
        <v>1648</v>
      </c>
      <c r="E2352" s="85">
        <v>20796</v>
      </c>
      <c r="F2352" s="86">
        <v>1941.5</v>
      </c>
      <c r="G2352" s="87">
        <v>9.3359299999999994</v>
      </c>
    </row>
    <row r="2353" spans="1:7" x14ac:dyDescent="0.25">
      <c r="A2353" s="84" t="s">
        <v>2688</v>
      </c>
      <c r="B2353" s="84" t="s">
        <v>96</v>
      </c>
      <c r="C2353" s="84" t="s">
        <v>283</v>
      </c>
      <c r="D2353" s="85">
        <v>81</v>
      </c>
      <c r="E2353" s="85">
        <v>1848</v>
      </c>
      <c r="F2353" s="86">
        <v>225</v>
      </c>
      <c r="G2353" s="87">
        <v>12.175325000000001</v>
      </c>
    </row>
    <row r="2354" spans="1:7" x14ac:dyDescent="0.25">
      <c r="A2354" s="84" t="s">
        <v>2689</v>
      </c>
      <c r="B2354" s="84" t="s">
        <v>96</v>
      </c>
      <c r="C2354" s="84" t="s">
        <v>283</v>
      </c>
      <c r="D2354" s="85">
        <v>2260</v>
      </c>
      <c r="E2354" s="85">
        <v>38822</v>
      </c>
      <c r="F2354" s="86">
        <v>3895</v>
      </c>
      <c r="G2354" s="87">
        <v>10.032971</v>
      </c>
    </row>
    <row r="2355" spans="1:7" x14ac:dyDescent="0.25">
      <c r="A2355" s="84" t="s">
        <v>1599</v>
      </c>
      <c r="B2355" s="84" t="s">
        <v>96</v>
      </c>
      <c r="C2355" s="84" t="s">
        <v>283</v>
      </c>
      <c r="D2355" s="85">
        <v>6574</v>
      </c>
      <c r="E2355" s="85">
        <v>172659</v>
      </c>
      <c r="F2355" s="86">
        <v>15758</v>
      </c>
      <c r="G2355" s="87">
        <v>9.1266601000000005</v>
      </c>
    </row>
    <row r="2356" spans="1:7" x14ac:dyDescent="0.25">
      <c r="A2356" s="84" t="s">
        <v>2690</v>
      </c>
      <c r="B2356" s="84" t="s">
        <v>96</v>
      </c>
      <c r="C2356" s="84" t="s">
        <v>283</v>
      </c>
      <c r="D2356" s="85">
        <v>913</v>
      </c>
      <c r="E2356" s="85">
        <v>8587</v>
      </c>
      <c r="F2356" s="86">
        <v>1044.8</v>
      </c>
      <c r="G2356" s="87">
        <v>12.16723</v>
      </c>
    </row>
    <row r="2357" spans="1:7" x14ac:dyDescent="0.25">
      <c r="A2357" s="84" t="s">
        <v>2691</v>
      </c>
      <c r="B2357" s="84" t="s">
        <v>96</v>
      </c>
      <c r="C2357" s="84" t="s">
        <v>283</v>
      </c>
      <c r="D2357" s="85">
        <v>1545</v>
      </c>
      <c r="E2357" s="85">
        <v>25640</v>
      </c>
      <c r="F2357" s="86">
        <v>2780.9</v>
      </c>
      <c r="G2357" s="87">
        <v>10.845943999999999</v>
      </c>
    </row>
    <row r="2358" spans="1:7" x14ac:dyDescent="0.25">
      <c r="A2358" s="84" t="s">
        <v>2692</v>
      </c>
      <c r="B2358" s="84" t="s">
        <v>96</v>
      </c>
      <c r="C2358" s="84" t="s">
        <v>283</v>
      </c>
      <c r="D2358" s="85">
        <v>1356</v>
      </c>
      <c r="E2358" s="85">
        <v>21525</v>
      </c>
      <c r="F2358" s="86">
        <v>1983</v>
      </c>
      <c r="G2358" s="87">
        <v>9.2125436000000001</v>
      </c>
    </row>
    <row r="2359" spans="1:7" x14ac:dyDescent="0.25">
      <c r="A2359" s="84" t="s">
        <v>2693</v>
      </c>
      <c r="B2359" s="84" t="s">
        <v>96</v>
      </c>
      <c r="C2359" s="84" t="s">
        <v>283</v>
      </c>
      <c r="D2359" s="85">
        <v>342</v>
      </c>
      <c r="E2359" s="85">
        <v>3294</v>
      </c>
      <c r="F2359" s="86">
        <v>365</v>
      </c>
      <c r="G2359" s="87">
        <v>11.080753</v>
      </c>
    </row>
    <row r="2360" spans="1:7" x14ac:dyDescent="0.25">
      <c r="A2360" s="84" t="s">
        <v>2694</v>
      </c>
      <c r="B2360" s="84" t="s">
        <v>96</v>
      </c>
      <c r="C2360" s="84" t="s">
        <v>283</v>
      </c>
      <c r="D2360" s="85">
        <v>93</v>
      </c>
      <c r="E2360" s="85">
        <v>1192</v>
      </c>
      <c r="F2360" s="86">
        <v>132</v>
      </c>
      <c r="G2360" s="87">
        <v>11.073826</v>
      </c>
    </row>
    <row r="2361" spans="1:7" x14ac:dyDescent="0.25">
      <c r="A2361" s="84" t="s">
        <v>1600</v>
      </c>
      <c r="B2361" s="84" t="s">
        <v>96</v>
      </c>
      <c r="C2361" s="84" t="s">
        <v>283</v>
      </c>
      <c r="D2361" s="85">
        <v>2097</v>
      </c>
      <c r="E2361" s="85">
        <v>34710</v>
      </c>
      <c r="F2361" s="86">
        <v>4053.4</v>
      </c>
      <c r="G2361" s="87">
        <v>11.677903000000001</v>
      </c>
    </row>
    <row r="2362" spans="1:7" x14ac:dyDescent="0.25">
      <c r="A2362" s="84" t="s">
        <v>2695</v>
      </c>
      <c r="B2362" s="84" t="s">
        <v>96</v>
      </c>
      <c r="C2362" s="84" t="s">
        <v>283</v>
      </c>
      <c r="D2362" s="85">
        <v>2735</v>
      </c>
      <c r="E2362" s="85">
        <v>69358</v>
      </c>
      <c r="F2362" s="86">
        <v>7387</v>
      </c>
      <c r="G2362" s="87">
        <v>10.650537999999999</v>
      </c>
    </row>
    <row r="2363" spans="1:7" x14ac:dyDescent="0.25">
      <c r="A2363" s="84" t="s">
        <v>1601</v>
      </c>
      <c r="B2363" s="84" t="s">
        <v>96</v>
      </c>
      <c r="C2363" s="84" t="s">
        <v>283</v>
      </c>
      <c r="D2363" s="85">
        <v>15858</v>
      </c>
      <c r="E2363" s="85">
        <v>345692</v>
      </c>
      <c r="F2363" s="86">
        <v>37453</v>
      </c>
      <c r="G2363" s="87">
        <v>10.834211</v>
      </c>
    </row>
    <row r="2364" spans="1:7" x14ac:dyDescent="0.25">
      <c r="A2364" s="84" t="s">
        <v>2696</v>
      </c>
      <c r="B2364" s="84" t="s">
        <v>96</v>
      </c>
      <c r="C2364" s="84" t="s">
        <v>283</v>
      </c>
      <c r="D2364" s="85">
        <v>552</v>
      </c>
      <c r="E2364" s="85">
        <v>7566</v>
      </c>
      <c r="F2364" s="86">
        <v>986</v>
      </c>
      <c r="G2364" s="87">
        <v>13.031985000000001</v>
      </c>
    </row>
    <row r="2365" spans="1:7" x14ac:dyDescent="0.25">
      <c r="A2365" s="84" t="s">
        <v>1602</v>
      </c>
      <c r="B2365" s="84" t="s">
        <v>96</v>
      </c>
      <c r="C2365" s="84" t="s">
        <v>283</v>
      </c>
      <c r="D2365" s="85">
        <v>4815</v>
      </c>
      <c r="E2365" s="85">
        <v>97135</v>
      </c>
      <c r="F2365" s="86">
        <v>8036</v>
      </c>
      <c r="G2365" s="87">
        <v>8.2730221000000004</v>
      </c>
    </row>
    <row r="2366" spans="1:7" x14ac:dyDescent="0.25">
      <c r="A2366" s="84" t="s">
        <v>2697</v>
      </c>
      <c r="B2366" s="84" t="s">
        <v>96</v>
      </c>
      <c r="C2366" s="84" t="s">
        <v>283</v>
      </c>
      <c r="D2366" s="85">
        <v>2892</v>
      </c>
      <c r="E2366" s="85">
        <v>53626</v>
      </c>
      <c r="F2366" s="86">
        <v>6269</v>
      </c>
      <c r="G2366" s="87">
        <v>11.690225</v>
      </c>
    </row>
    <row r="2367" spans="1:7" x14ac:dyDescent="0.25">
      <c r="A2367" s="84" t="s">
        <v>1603</v>
      </c>
      <c r="B2367" s="84" t="s">
        <v>96</v>
      </c>
      <c r="C2367" s="84" t="s">
        <v>283</v>
      </c>
      <c r="D2367" s="85">
        <v>4240</v>
      </c>
      <c r="E2367" s="85">
        <v>112702</v>
      </c>
      <c r="F2367" s="86">
        <v>10479</v>
      </c>
      <c r="G2367" s="87">
        <v>9.2979716000000003</v>
      </c>
    </row>
    <row r="2368" spans="1:7" x14ac:dyDescent="0.25">
      <c r="A2368" s="84" t="s">
        <v>2698</v>
      </c>
      <c r="B2368" s="84" t="s">
        <v>96</v>
      </c>
      <c r="C2368" s="84" t="s">
        <v>283</v>
      </c>
      <c r="D2368" s="85">
        <v>3902</v>
      </c>
      <c r="E2368" s="85">
        <v>68804</v>
      </c>
      <c r="F2368" s="86">
        <v>7173.5</v>
      </c>
      <c r="G2368" s="87">
        <v>10.425993</v>
      </c>
    </row>
    <row r="2369" spans="1:7" x14ac:dyDescent="0.25">
      <c r="A2369" s="84" t="s">
        <v>1604</v>
      </c>
      <c r="B2369" s="84" t="s">
        <v>96</v>
      </c>
      <c r="C2369" s="84" t="s">
        <v>283</v>
      </c>
      <c r="D2369" s="85">
        <v>2008</v>
      </c>
      <c r="E2369" s="85">
        <v>76270</v>
      </c>
      <c r="F2369" s="86">
        <v>5000</v>
      </c>
      <c r="G2369" s="87">
        <v>6.5556574999999997</v>
      </c>
    </row>
    <row r="2370" spans="1:7" x14ac:dyDescent="0.25">
      <c r="A2370" s="84" t="s">
        <v>2699</v>
      </c>
      <c r="B2370" s="84" t="s">
        <v>96</v>
      </c>
      <c r="C2370" s="84" t="s">
        <v>283</v>
      </c>
      <c r="D2370" s="85">
        <v>1467</v>
      </c>
      <c r="E2370" s="85">
        <v>36650</v>
      </c>
      <c r="F2370" s="86">
        <v>4266</v>
      </c>
      <c r="G2370" s="87">
        <v>11.639836000000001</v>
      </c>
    </row>
    <row r="2371" spans="1:7" x14ac:dyDescent="0.25">
      <c r="A2371" s="84" t="s">
        <v>2700</v>
      </c>
      <c r="B2371" s="84" t="s">
        <v>96</v>
      </c>
      <c r="C2371" s="84" t="s">
        <v>283</v>
      </c>
      <c r="D2371" s="85">
        <v>1508</v>
      </c>
      <c r="E2371" s="85">
        <v>31535</v>
      </c>
      <c r="F2371" s="86">
        <v>3390.9</v>
      </c>
      <c r="G2371" s="87">
        <v>10.752814000000001</v>
      </c>
    </row>
    <row r="2372" spans="1:7" x14ac:dyDescent="0.25">
      <c r="A2372" s="84" t="s">
        <v>2701</v>
      </c>
      <c r="B2372" s="84" t="s">
        <v>96</v>
      </c>
      <c r="C2372" s="84" t="s">
        <v>283</v>
      </c>
      <c r="D2372" s="85">
        <v>1556</v>
      </c>
      <c r="E2372" s="85">
        <v>25318</v>
      </c>
      <c r="F2372" s="86">
        <v>3131</v>
      </c>
      <c r="G2372" s="87">
        <v>12.366695999999999</v>
      </c>
    </row>
    <row r="2373" spans="1:7" x14ac:dyDescent="0.25">
      <c r="A2373" s="84" t="s">
        <v>2702</v>
      </c>
      <c r="B2373" s="84" t="s">
        <v>96</v>
      </c>
      <c r="C2373" s="84" t="s">
        <v>283</v>
      </c>
      <c r="D2373" s="85">
        <v>885</v>
      </c>
      <c r="E2373" s="85">
        <v>9019</v>
      </c>
      <c r="F2373" s="86">
        <v>801.3</v>
      </c>
      <c r="G2373" s="87">
        <v>8.8845770000000002</v>
      </c>
    </row>
    <row r="2374" spans="1:7" x14ac:dyDescent="0.25">
      <c r="A2374" s="84" t="s">
        <v>2703</v>
      </c>
      <c r="B2374" s="84" t="s">
        <v>96</v>
      </c>
      <c r="C2374" s="84" t="s">
        <v>283</v>
      </c>
      <c r="D2374" s="85">
        <v>622</v>
      </c>
      <c r="E2374" s="85">
        <v>8450</v>
      </c>
      <c r="F2374" s="86">
        <v>1358.7</v>
      </c>
      <c r="G2374" s="87">
        <v>16.07929</v>
      </c>
    </row>
    <row r="2375" spans="1:7" x14ac:dyDescent="0.25">
      <c r="A2375" s="84" t="s">
        <v>1605</v>
      </c>
      <c r="B2375" s="84" t="s">
        <v>96</v>
      </c>
      <c r="C2375" s="84" t="s">
        <v>281</v>
      </c>
      <c r="D2375" s="85">
        <v>17928</v>
      </c>
      <c r="E2375" s="85">
        <v>296196</v>
      </c>
      <c r="F2375" s="86">
        <v>33240</v>
      </c>
      <c r="G2375" s="87">
        <v>11.222299</v>
      </c>
    </row>
    <row r="2376" spans="1:7" x14ac:dyDescent="0.25">
      <c r="A2376" s="84" t="s">
        <v>2704</v>
      </c>
      <c r="B2376" s="84" t="s">
        <v>96</v>
      </c>
      <c r="C2376" s="84" t="s">
        <v>283</v>
      </c>
      <c r="D2376" s="85">
        <v>396</v>
      </c>
      <c r="E2376" s="85">
        <v>6155</v>
      </c>
      <c r="F2376" s="86">
        <v>418.5</v>
      </c>
      <c r="G2376" s="87">
        <v>6.7993500999999998</v>
      </c>
    </row>
    <row r="2377" spans="1:7" x14ac:dyDescent="0.25">
      <c r="A2377" s="84" t="s">
        <v>1606</v>
      </c>
      <c r="B2377" s="84" t="s">
        <v>96</v>
      </c>
      <c r="C2377" s="84" t="s">
        <v>281</v>
      </c>
      <c r="D2377" s="85">
        <v>22356</v>
      </c>
      <c r="E2377" s="85">
        <v>762653</v>
      </c>
      <c r="F2377" s="86">
        <v>65706.2</v>
      </c>
      <c r="G2377" s="87">
        <v>8.6154778000000007</v>
      </c>
    </row>
    <row r="2378" spans="1:7" x14ac:dyDescent="0.25">
      <c r="A2378" s="84" t="s">
        <v>1607</v>
      </c>
      <c r="B2378" s="84" t="s">
        <v>96</v>
      </c>
      <c r="C2378" s="84" t="s">
        <v>281</v>
      </c>
      <c r="D2378" s="85">
        <v>34419</v>
      </c>
      <c r="E2378" s="85">
        <v>539972</v>
      </c>
      <c r="F2378" s="86">
        <v>60507</v>
      </c>
      <c r="G2378" s="87">
        <v>11.205581</v>
      </c>
    </row>
    <row r="2379" spans="1:7" x14ac:dyDescent="0.25">
      <c r="A2379" s="84" t="s">
        <v>369</v>
      </c>
      <c r="B2379" s="84" t="s">
        <v>96</v>
      </c>
      <c r="C2379" s="84" t="s">
        <v>278</v>
      </c>
      <c r="D2379" s="85">
        <v>4684</v>
      </c>
      <c r="E2379" s="85">
        <v>161890</v>
      </c>
      <c r="F2379" s="86">
        <v>14653.7</v>
      </c>
      <c r="G2379" s="87">
        <v>9.0516400000000008</v>
      </c>
    </row>
    <row r="2380" spans="1:7" x14ac:dyDescent="0.25">
      <c r="A2380" s="84" t="s">
        <v>2705</v>
      </c>
      <c r="B2380" s="84" t="s">
        <v>96</v>
      </c>
      <c r="C2380" s="84" t="s">
        <v>283</v>
      </c>
      <c r="D2380" s="85">
        <v>162</v>
      </c>
      <c r="E2380" s="85">
        <v>2004</v>
      </c>
      <c r="F2380" s="86">
        <v>240</v>
      </c>
      <c r="G2380" s="87">
        <v>11.976048</v>
      </c>
    </row>
    <row r="2381" spans="1:7" x14ac:dyDescent="0.25">
      <c r="A2381" s="84" t="s">
        <v>1608</v>
      </c>
      <c r="B2381" s="84" t="s">
        <v>96</v>
      </c>
      <c r="C2381" s="84" t="s">
        <v>174</v>
      </c>
      <c r="D2381" s="85">
        <v>82</v>
      </c>
      <c r="E2381" s="85">
        <v>2515758</v>
      </c>
      <c r="F2381" s="86">
        <v>113152</v>
      </c>
      <c r="G2381" s="87">
        <v>4.4977299000000004</v>
      </c>
    </row>
    <row r="2382" spans="1:7" x14ac:dyDescent="0.25">
      <c r="A2382" s="84" t="s">
        <v>1609</v>
      </c>
      <c r="B2382" s="84" t="s">
        <v>96</v>
      </c>
      <c r="C2382" s="84" t="s">
        <v>281</v>
      </c>
      <c r="D2382" s="85">
        <v>19612</v>
      </c>
      <c r="E2382" s="85">
        <v>544805</v>
      </c>
      <c r="F2382" s="86">
        <v>50034.3</v>
      </c>
      <c r="G2382" s="87">
        <v>9.1838914999999997</v>
      </c>
    </row>
    <row r="2383" spans="1:7" x14ac:dyDescent="0.25">
      <c r="A2383" s="84" t="s">
        <v>1610</v>
      </c>
      <c r="B2383" s="84" t="s">
        <v>96</v>
      </c>
      <c r="C2383" s="84" t="s">
        <v>281</v>
      </c>
      <c r="D2383" s="85">
        <v>5806</v>
      </c>
      <c r="E2383" s="85">
        <v>413690</v>
      </c>
      <c r="F2383" s="86">
        <v>33098</v>
      </c>
      <c r="G2383" s="87">
        <v>8.0006768000000008</v>
      </c>
    </row>
    <row r="2384" spans="1:7" x14ac:dyDescent="0.25">
      <c r="A2384" s="84" t="s">
        <v>1611</v>
      </c>
      <c r="B2384" s="84" t="s">
        <v>96</v>
      </c>
      <c r="C2384" s="84" t="s">
        <v>281</v>
      </c>
      <c r="D2384" s="85">
        <v>21862</v>
      </c>
      <c r="E2384" s="85">
        <v>364114</v>
      </c>
      <c r="F2384" s="86">
        <v>39384</v>
      </c>
      <c r="G2384" s="87">
        <v>10.816393</v>
      </c>
    </row>
    <row r="2385" spans="1:7" x14ac:dyDescent="0.25">
      <c r="A2385" s="84" t="s">
        <v>1612</v>
      </c>
      <c r="B2385" s="84" t="s">
        <v>96</v>
      </c>
      <c r="C2385" s="84" t="s">
        <v>281</v>
      </c>
      <c r="D2385" s="85">
        <v>24769</v>
      </c>
      <c r="E2385" s="85">
        <v>408971</v>
      </c>
      <c r="F2385" s="86">
        <v>42785</v>
      </c>
      <c r="G2385" s="87">
        <v>10.461622</v>
      </c>
    </row>
    <row r="2386" spans="1:7" x14ac:dyDescent="0.25">
      <c r="A2386" s="84" t="s">
        <v>2402</v>
      </c>
      <c r="B2386" s="84" t="s">
        <v>96</v>
      </c>
      <c r="C2386" s="84" t="s">
        <v>281</v>
      </c>
      <c r="D2386" s="85">
        <v>39369</v>
      </c>
      <c r="E2386" s="85">
        <v>663709</v>
      </c>
      <c r="F2386" s="86">
        <v>76390</v>
      </c>
      <c r="G2386" s="87">
        <v>11.509562000000001</v>
      </c>
    </row>
    <row r="2387" spans="1:7" x14ac:dyDescent="0.25">
      <c r="A2387" s="84" t="s">
        <v>1614</v>
      </c>
      <c r="B2387" s="84" t="s">
        <v>96</v>
      </c>
      <c r="C2387" s="84" t="s">
        <v>281</v>
      </c>
      <c r="D2387" s="85">
        <v>6554</v>
      </c>
      <c r="E2387" s="85">
        <v>149981</v>
      </c>
      <c r="F2387" s="86">
        <v>18982.3</v>
      </c>
      <c r="G2387" s="87">
        <v>12.656470000000001</v>
      </c>
    </row>
    <row r="2388" spans="1:7" x14ac:dyDescent="0.25">
      <c r="A2388" s="84" t="s">
        <v>1615</v>
      </c>
      <c r="B2388" s="84" t="s">
        <v>96</v>
      </c>
      <c r="C2388" s="84" t="s">
        <v>281</v>
      </c>
      <c r="D2388" s="85">
        <v>11842</v>
      </c>
      <c r="E2388" s="85">
        <v>318650</v>
      </c>
      <c r="F2388" s="86">
        <v>33141</v>
      </c>
      <c r="G2388" s="87">
        <v>10.400439</v>
      </c>
    </row>
    <row r="2389" spans="1:7" x14ac:dyDescent="0.25">
      <c r="A2389" s="84" t="s">
        <v>2706</v>
      </c>
      <c r="B2389" s="84" t="s">
        <v>96</v>
      </c>
      <c r="C2389" s="84" t="s">
        <v>283</v>
      </c>
      <c r="D2389" s="85">
        <v>636</v>
      </c>
      <c r="E2389" s="85">
        <v>29496</v>
      </c>
      <c r="F2389" s="86">
        <v>1908</v>
      </c>
      <c r="G2389" s="87">
        <v>6.4686737000000001</v>
      </c>
    </row>
    <row r="2390" spans="1:7" x14ac:dyDescent="0.25">
      <c r="A2390" s="84" t="s">
        <v>1616</v>
      </c>
      <c r="B2390" s="84" t="s">
        <v>96</v>
      </c>
      <c r="C2390" s="84" t="s">
        <v>281</v>
      </c>
      <c r="D2390" s="85">
        <v>57100</v>
      </c>
      <c r="E2390" s="85">
        <v>1245430</v>
      </c>
      <c r="F2390" s="86">
        <v>130290</v>
      </c>
      <c r="G2390" s="87">
        <v>10.461447</v>
      </c>
    </row>
    <row r="2391" spans="1:7" x14ac:dyDescent="0.25">
      <c r="A2391" s="84" t="s">
        <v>374</v>
      </c>
      <c r="B2391" s="84" t="s">
        <v>96</v>
      </c>
      <c r="C2391" s="84" t="s">
        <v>278</v>
      </c>
      <c r="D2391" s="85">
        <v>786529</v>
      </c>
      <c r="E2391" s="85">
        <v>25797421</v>
      </c>
      <c r="F2391" s="86">
        <v>1846249</v>
      </c>
      <c r="G2391" s="87">
        <v>7.1567192999999998</v>
      </c>
    </row>
    <row r="2392" spans="1:7" x14ac:dyDescent="0.25">
      <c r="A2392" s="84" t="s">
        <v>376</v>
      </c>
      <c r="B2392" s="84" t="s">
        <v>96</v>
      </c>
      <c r="C2392" s="84" t="s">
        <v>281</v>
      </c>
      <c r="D2392" s="85">
        <v>12068</v>
      </c>
      <c r="E2392" s="85">
        <v>201336</v>
      </c>
      <c r="F2392" s="86">
        <v>22827</v>
      </c>
      <c r="G2392" s="87">
        <v>11.337764</v>
      </c>
    </row>
    <row r="2393" spans="1:7" x14ac:dyDescent="0.25">
      <c r="A2393" s="84" t="s">
        <v>1617</v>
      </c>
      <c r="B2393" s="84" t="s">
        <v>96</v>
      </c>
      <c r="C2393" s="84" t="s">
        <v>281</v>
      </c>
      <c r="D2393" s="85">
        <v>21876</v>
      </c>
      <c r="E2393" s="85">
        <v>793284</v>
      </c>
      <c r="F2393" s="86">
        <v>69460</v>
      </c>
      <c r="G2393" s="87">
        <v>8.7560067000000004</v>
      </c>
    </row>
    <row r="2394" spans="1:7" x14ac:dyDescent="0.25">
      <c r="A2394" s="84" t="s">
        <v>1618</v>
      </c>
      <c r="B2394" s="84" t="s">
        <v>96</v>
      </c>
      <c r="C2394" s="84" t="s">
        <v>283</v>
      </c>
      <c r="D2394" s="85">
        <v>1267</v>
      </c>
      <c r="E2394" s="85">
        <v>19614</v>
      </c>
      <c r="F2394" s="86">
        <v>2197.3000000000002</v>
      </c>
      <c r="G2394" s="87">
        <v>11.202712</v>
      </c>
    </row>
    <row r="2395" spans="1:7" x14ac:dyDescent="0.25">
      <c r="A2395" s="84" t="s">
        <v>1619</v>
      </c>
      <c r="B2395" s="84" t="s">
        <v>96</v>
      </c>
      <c r="C2395" s="84" t="s">
        <v>278</v>
      </c>
      <c r="D2395" s="85">
        <v>557421</v>
      </c>
      <c r="E2395" s="85">
        <v>18555555</v>
      </c>
      <c r="F2395" s="86">
        <v>1385630.3</v>
      </c>
      <c r="G2395" s="87">
        <v>7.4674689000000001</v>
      </c>
    </row>
    <row r="2396" spans="1:7" x14ac:dyDescent="0.25">
      <c r="A2396" s="84" t="s">
        <v>1620</v>
      </c>
      <c r="B2396" s="84" t="s">
        <v>96</v>
      </c>
      <c r="C2396" s="84" t="s">
        <v>281</v>
      </c>
      <c r="D2396" s="85">
        <v>16263</v>
      </c>
      <c r="E2396" s="85">
        <v>430618</v>
      </c>
      <c r="F2396" s="86">
        <v>36882</v>
      </c>
      <c r="G2396" s="87">
        <v>8.5648996999999998</v>
      </c>
    </row>
    <row r="2397" spans="1:7" x14ac:dyDescent="0.25">
      <c r="A2397" s="84" t="s">
        <v>379</v>
      </c>
      <c r="B2397" s="84" t="s">
        <v>96</v>
      </c>
      <c r="C2397" s="84" t="s">
        <v>281</v>
      </c>
      <c r="D2397" s="85">
        <v>511</v>
      </c>
      <c r="E2397" s="85">
        <v>6144</v>
      </c>
      <c r="F2397" s="86">
        <v>507</v>
      </c>
      <c r="G2397" s="87">
        <v>8.2519530999999997</v>
      </c>
    </row>
    <row r="2398" spans="1:7" x14ac:dyDescent="0.25">
      <c r="A2398" s="84" t="s">
        <v>1621</v>
      </c>
      <c r="B2398" s="84" t="s">
        <v>96</v>
      </c>
      <c r="C2398" s="84" t="s">
        <v>281</v>
      </c>
      <c r="D2398" s="85">
        <v>11796</v>
      </c>
      <c r="E2398" s="85">
        <v>405523</v>
      </c>
      <c r="F2398" s="86">
        <v>37283.699999999997</v>
      </c>
      <c r="G2398" s="87">
        <v>9.1939791</v>
      </c>
    </row>
    <row r="2399" spans="1:7" x14ac:dyDescent="0.25">
      <c r="A2399" s="84" t="s">
        <v>1622</v>
      </c>
      <c r="B2399" s="84" t="s">
        <v>96</v>
      </c>
      <c r="C2399" s="84" t="s">
        <v>281</v>
      </c>
      <c r="D2399" s="85">
        <v>15058</v>
      </c>
      <c r="E2399" s="85">
        <v>403916</v>
      </c>
      <c r="F2399" s="86">
        <v>34264</v>
      </c>
      <c r="G2399" s="87">
        <v>8.4829518999999998</v>
      </c>
    </row>
    <row r="2400" spans="1:7" x14ac:dyDescent="0.25">
      <c r="A2400" s="84" t="s">
        <v>381</v>
      </c>
      <c r="B2400" s="84" t="s">
        <v>96</v>
      </c>
      <c r="C2400" s="84" t="s">
        <v>281</v>
      </c>
      <c r="D2400" s="85">
        <v>225</v>
      </c>
      <c r="E2400" s="85">
        <v>2923</v>
      </c>
      <c r="F2400" s="86">
        <v>293.89999999999998</v>
      </c>
      <c r="G2400" s="87">
        <v>10.054738</v>
      </c>
    </row>
    <row r="2401" spans="1:7" x14ac:dyDescent="0.25">
      <c r="A2401" s="84" t="s">
        <v>1623</v>
      </c>
      <c r="B2401" s="84" t="s">
        <v>96</v>
      </c>
      <c r="C2401" s="84" t="s">
        <v>281</v>
      </c>
      <c r="D2401" s="85">
        <v>4388</v>
      </c>
      <c r="E2401" s="85">
        <v>79119</v>
      </c>
      <c r="F2401" s="86">
        <v>9786.9</v>
      </c>
      <c r="G2401" s="87">
        <v>12.369847999999999</v>
      </c>
    </row>
    <row r="2402" spans="1:7" x14ac:dyDescent="0.25">
      <c r="A2402" s="84" t="s">
        <v>502</v>
      </c>
      <c r="B2402" s="84" t="s">
        <v>96</v>
      </c>
      <c r="C2402" s="84" t="s">
        <v>281</v>
      </c>
      <c r="D2402" s="85">
        <v>18</v>
      </c>
      <c r="E2402" s="85">
        <v>943</v>
      </c>
      <c r="F2402" s="86">
        <v>132</v>
      </c>
      <c r="G2402" s="87">
        <v>13.997878999999999</v>
      </c>
    </row>
    <row r="2403" spans="1:7" x14ac:dyDescent="0.25">
      <c r="A2403" s="84" t="s">
        <v>1624</v>
      </c>
      <c r="B2403" s="84" t="s">
        <v>96</v>
      </c>
      <c r="C2403" s="84" t="s">
        <v>283</v>
      </c>
      <c r="D2403" s="85">
        <v>21435</v>
      </c>
      <c r="E2403" s="85">
        <v>449744</v>
      </c>
      <c r="F2403" s="86">
        <v>45979</v>
      </c>
      <c r="G2403" s="87">
        <v>10.223371999999999</v>
      </c>
    </row>
    <row r="2404" spans="1:7" x14ac:dyDescent="0.25">
      <c r="A2404" s="84" t="s">
        <v>1625</v>
      </c>
      <c r="B2404" s="84" t="s">
        <v>96</v>
      </c>
      <c r="C2404" s="84" t="s">
        <v>283</v>
      </c>
      <c r="D2404" s="85">
        <v>11307</v>
      </c>
      <c r="E2404" s="85">
        <v>184284</v>
      </c>
      <c r="F2404" s="86">
        <v>14909</v>
      </c>
      <c r="G2404" s="87">
        <v>8.0902303</v>
      </c>
    </row>
    <row r="2405" spans="1:7" x14ac:dyDescent="0.25">
      <c r="A2405" s="84" t="s">
        <v>2707</v>
      </c>
      <c r="B2405" s="84" t="s">
        <v>96</v>
      </c>
      <c r="C2405" s="84" t="s">
        <v>283</v>
      </c>
      <c r="D2405" s="85">
        <v>2277</v>
      </c>
      <c r="E2405" s="85">
        <v>32074</v>
      </c>
      <c r="F2405" s="86">
        <v>3587</v>
      </c>
      <c r="G2405" s="87">
        <v>11.183513</v>
      </c>
    </row>
    <row r="2406" spans="1:7" x14ac:dyDescent="0.25">
      <c r="A2406" s="84" t="s">
        <v>2708</v>
      </c>
      <c r="B2406" s="84" t="s">
        <v>96</v>
      </c>
      <c r="C2406" s="84" t="s">
        <v>283</v>
      </c>
      <c r="D2406" s="85">
        <v>164</v>
      </c>
      <c r="E2406" s="85">
        <v>1303</v>
      </c>
      <c r="F2406" s="86">
        <v>196.5</v>
      </c>
      <c r="G2406" s="87">
        <v>15.080583000000001</v>
      </c>
    </row>
    <row r="2407" spans="1:7" x14ac:dyDescent="0.25">
      <c r="A2407" s="84" t="s">
        <v>2709</v>
      </c>
      <c r="B2407" s="84" t="s">
        <v>96</v>
      </c>
      <c r="C2407" s="84" t="s">
        <v>283</v>
      </c>
      <c r="D2407" s="85">
        <v>190</v>
      </c>
      <c r="E2407" s="85">
        <v>2054</v>
      </c>
      <c r="F2407" s="86">
        <v>281.7</v>
      </c>
      <c r="G2407" s="87">
        <v>13.714703</v>
      </c>
    </row>
    <row r="2408" spans="1:7" x14ac:dyDescent="0.25">
      <c r="A2408" s="84" t="s">
        <v>2710</v>
      </c>
      <c r="B2408" s="84" t="s">
        <v>96</v>
      </c>
      <c r="C2408" s="84" t="s">
        <v>283</v>
      </c>
      <c r="D2408" s="85">
        <v>632</v>
      </c>
      <c r="E2408" s="85">
        <v>10598</v>
      </c>
      <c r="F2408" s="86">
        <v>1250</v>
      </c>
      <c r="G2408" s="87">
        <v>11.794677999999999</v>
      </c>
    </row>
    <row r="2409" spans="1:7" x14ac:dyDescent="0.25">
      <c r="A2409" s="84" t="s">
        <v>2711</v>
      </c>
      <c r="B2409" s="84" t="s">
        <v>96</v>
      </c>
      <c r="C2409" s="84" t="s">
        <v>283</v>
      </c>
      <c r="D2409" s="85">
        <v>1153</v>
      </c>
      <c r="E2409" s="85">
        <v>38660</v>
      </c>
      <c r="F2409" s="86">
        <v>3183</v>
      </c>
      <c r="G2409" s="87">
        <v>8.2333160999999997</v>
      </c>
    </row>
    <row r="2410" spans="1:7" x14ac:dyDescent="0.25">
      <c r="A2410" s="84" t="s">
        <v>2712</v>
      </c>
      <c r="B2410" s="84" t="s">
        <v>96</v>
      </c>
      <c r="C2410" s="84" t="s">
        <v>283</v>
      </c>
      <c r="D2410" s="85">
        <v>398</v>
      </c>
      <c r="E2410" s="85">
        <v>4406</v>
      </c>
      <c r="F2410" s="86">
        <v>569</v>
      </c>
      <c r="G2410" s="87">
        <v>12.914208</v>
      </c>
    </row>
    <row r="2411" spans="1:7" x14ac:dyDescent="0.25">
      <c r="A2411" s="84" t="s">
        <v>2713</v>
      </c>
      <c r="B2411" s="84" t="s">
        <v>96</v>
      </c>
      <c r="C2411" s="84" t="s">
        <v>283</v>
      </c>
      <c r="D2411" s="85">
        <v>479</v>
      </c>
      <c r="E2411" s="85">
        <v>7928</v>
      </c>
      <c r="F2411" s="86">
        <v>812.7</v>
      </c>
      <c r="G2411" s="87">
        <v>10.251009</v>
      </c>
    </row>
    <row r="2412" spans="1:7" x14ac:dyDescent="0.25">
      <c r="A2412" s="84" t="s">
        <v>2714</v>
      </c>
      <c r="B2412" s="84" t="s">
        <v>96</v>
      </c>
      <c r="C2412" s="84" t="s">
        <v>283</v>
      </c>
      <c r="D2412" s="85">
        <v>1063</v>
      </c>
      <c r="E2412" s="85">
        <v>18459</v>
      </c>
      <c r="F2412" s="86">
        <v>1834</v>
      </c>
      <c r="G2412" s="87">
        <v>9.9355328000000007</v>
      </c>
    </row>
    <row r="2413" spans="1:7" x14ac:dyDescent="0.25">
      <c r="A2413" s="84" t="s">
        <v>2370</v>
      </c>
      <c r="B2413" s="84" t="s">
        <v>96</v>
      </c>
      <c r="C2413" s="84" t="s">
        <v>281</v>
      </c>
      <c r="D2413" s="85">
        <v>20727</v>
      </c>
      <c r="E2413" s="85">
        <v>799712</v>
      </c>
      <c r="F2413" s="86">
        <v>76058.600000000006</v>
      </c>
      <c r="G2413" s="87">
        <v>9.5107488999999994</v>
      </c>
    </row>
    <row r="2414" spans="1:7" x14ac:dyDescent="0.25">
      <c r="A2414" s="84" t="s">
        <v>1626</v>
      </c>
      <c r="B2414" s="84" t="s">
        <v>96</v>
      </c>
      <c r="C2414" s="84" t="s">
        <v>281</v>
      </c>
      <c r="D2414" s="85">
        <v>37231</v>
      </c>
      <c r="E2414" s="85">
        <v>673687</v>
      </c>
      <c r="F2414" s="86">
        <v>71248</v>
      </c>
      <c r="G2414" s="87">
        <v>10.575831000000001</v>
      </c>
    </row>
    <row r="2415" spans="1:7" x14ac:dyDescent="0.25">
      <c r="A2415" s="84" t="s">
        <v>1627</v>
      </c>
      <c r="B2415" s="84" t="s">
        <v>96</v>
      </c>
      <c r="C2415" s="84" t="s">
        <v>283</v>
      </c>
      <c r="D2415" s="85">
        <v>3822</v>
      </c>
      <c r="E2415" s="85">
        <v>73302</v>
      </c>
      <c r="F2415" s="86">
        <v>7357</v>
      </c>
      <c r="G2415" s="87">
        <v>10.036561000000001</v>
      </c>
    </row>
    <row r="2416" spans="1:7" x14ac:dyDescent="0.25">
      <c r="A2416" s="84" t="s">
        <v>2715</v>
      </c>
      <c r="B2416" s="84" t="s">
        <v>96</v>
      </c>
      <c r="C2416" s="84" t="s">
        <v>283</v>
      </c>
      <c r="D2416" s="85">
        <v>1204</v>
      </c>
      <c r="E2416" s="85">
        <v>17510</v>
      </c>
      <c r="F2416" s="86">
        <v>1929.1</v>
      </c>
      <c r="G2416" s="87">
        <v>11.017132999999999</v>
      </c>
    </row>
    <row r="2417" spans="1:7" x14ac:dyDescent="0.25">
      <c r="A2417" s="84" t="s">
        <v>1628</v>
      </c>
      <c r="B2417" s="84" t="s">
        <v>98</v>
      </c>
      <c r="C2417" s="84" t="s">
        <v>281</v>
      </c>
      <c r="D2417" s="85">
        <v>3631</v>
      </c>
      <c r="E2417" s="85">
        <v>171292</v>
      </c>
      <c r="F2417" s="86">
        <v>14177</v>
      </c>
      <c r="G2417" s="87">
        <v>8.2765103</v>
      </c>
    </row>
    <row r="2418" spans="1:7" x14ac:dyDescent="0.25">
      <c r="A2418" s="84" t="s">
        <v>1629</v>
      </c>
      <c r="B2418" s="84" t="s">
        <v>98</v>
      </c>
      <c r="C2418" s="84" t="s">
        <v>351</v>
      </c>
      <c r="D2418" s="85">
        <v>1</v>
      </c>
      <c r="E2418" s="85">
        <v>5867</v>
      </c>
      <c r="F2418" s="86">
        <v>239</v>
      </c>
      <c r="G2418" s="87">
        <v>4.0736321999999996</v>
      </c>
    </row>
    <row r="2419" spans="1:7" x14ac:dyDescent="0.25">
      <c r="A2419" s="84" t="s">
        <v>1630</v>
      </c>
      <c r="B2419" s="84" t="s">
        <v>98</v>
      </c>
      <c r="C2419" s="84" t="s">
        <v>283</v>
      </c>
      <c r="D2419" s="85">
        <v>7597</v>
      </c>
      <c r="E2419" s="85">
        <v>190580</v>
      </c>
      <c r="F2419" s="86">
        <v>12989.2</v>
      </c>
      <c r="G2419" s="87">
        <v>6.8156154999999998</v>
      </c>
    </row>
    <row r="2420" spans="1:7" x14ac:dyDescent="0.25">
      <c r="A2420" s="84" t="s">
        <v>1631</v>
      </c>
      <c r="B2420" s="84" t="s">
        <v>98</v>
      </c>
      <c r="C2420" s="84" t="s">
        <v>281</v>
      </c>
      <c r="D2420" s="85">
        <v>35083</v>
      </c>
      <c r="E2420" s="85">
        <v>747529</v>
      </c>
      <c r="F2420" s="86">
        <v>61208</v>
      </c>
      <c r="G2420" s="87">
        <v>8.1880434999999991</v>
      </c>
    </row>
    <row r="2421" spans="1:7" x14ac:dyDescent="0.25">
      <c r="A2421" s="84" t="s">
        <v>1632</v>
      </c>
      <c r="B2421" s="84" t="s">
        <v>98</v>
      </c>
      <c r="C2421" s="84" t="s">
        <v>385</v>
      </c>
      <c r="D2421" s="85">
        <v>39901</v>
      </c>
      <c r="E2421" s="85">
        <v>1267467</v>
      </c>
      <c r="F2421" s="86">
        <v>90634</v>
      </c>
      <c r="G2421" s="87">
        <v>7.1507975999999998</v>
      </c>
    </row>
    <row r="2422" spans="1:7" x14ac:dyDescent="0.25">
      <c r="A2422" s="84" t="s">
        <v>1633</v>
      </c>
      <c r="B2422" s="84" t="s">
        <v>98</v>
      </c>
      <c r="C2422" s="84" t="s">
        <v>283</v>
      </c>
      <c r="D2422" s="85">
        <v>12268</v>
      </c>
      <c r="E2422" s="85">
        <v>176394</v>
      </c>
      <c r="F2422" s="86">
        <v>16233</v>
      </c>
      <c r="G2422" s="87">
        <v>9.2026939999999993</v>
      </c>
    </row>
    <row r="2423" spans="1:7" x14ac:dyDescent="0.25">
      <c r="A2423" s="84" t="s">
        <v>1634</v>
      </c>
      <c r="B2423" s="84" t="s">
        <v>98</v>
      </c>
      <c r="C2423" s="84" t="s">
        <v>283</v>
      </c>
      <c r="D2423" s="85">
        <v>4156</v>
      </c>
      <c r="E2423" s="85">
        <v>65194</v>
      </c>
      <c r="F2423" s="86">
        <v>5777.7</v>
      </c>
      <c r="G2423" s="87">
        <v>8.8623186</v>
      </c>
    </row>
    <row r="2424" spans="1:7" x14ac:dyDescent="0.25">
      <c r="A2424" s="84" t="s">
        <v>2716</v>
      </c>
      <c r="B2424" s="84" t="s">
        <v>98</v>
      </c>
      <c r="C2424" s="84" t="s">
        <v>283</v>
      </c>
      <c r="D2424" s="85">
        <v>928</v>
      </c>
      <c r="E2424" s="85">
        <v>25985</v>
      </c>
      <c r="F2424" s="86">
        <v>2093.4</v>
      </c>
      <c r="G2424" s="87">
        <v>8.0561863000000002</v>
      </c>
    </row>
    <row r="2425" spans="1:7" x14ac:dyDescent="0.25">
      <c r="A2425" s="84" t="s">
        <v>2717</v>
      </c>
      <c r="B2425" s="84" t="s">
        <v>98</v>
      </c>
      <c r="C2425" s="84" t="s">
        <v>283</v>
      </c>
      <c r="D2425" s="85">
        <v>757</v>
      </c>
      <c r="E2425" s="85">
        <v>15711</v>
      </c>
      <c r="F2425" s="86">
        <v>1454.3</v>
      </c>
      <c r="G2425" s="87">
        <v>9.2565717999999997</v>
      </c>
    </row>
    <row r="2426" spans="1:7" x14ac:dyDescent="0.25">
      <c r="A2426" s="84" t="s">
        <v>1635</v>
      </c>
      <c r="B2426" s="84" t="s">
        <v>98</v>
      </c>
      <c r="C2426" s="84" t="s">
        <v>283</v>
      </c>
      <c r="D2426" s="85">
        <v>94751</v>
      </c>
      <c r="E2426" s="85">
        <v>2367667</v>
      </c>
      <c r="F2426" s="86">
        <v>213722</v>
      </c>
      <c r="G2426" s="87">
        <v>9.0266917000000007</v>
      </c>
    </row>
    <row r="2427" spans="1:7" x14ac:dyDescent="0.25">
      <c r="A2427" s="84" t="s">
        <v>1636</v>
      </c>
      <c r="B2427" s="84" t="s">
        <v>98</v>
      </c>
      <c r="C2427" s="84" t="s">
        <v>283</v>
      </c>
      <c r="D2427" s="85">
        <v>10364</v>
      </c>
      <c r="E2427" s="85">
        <v>256312</v>
      </c>
      <c r="F2427" s="86">
        <v>19528</v>
      </c>
      <c r="G2427" s="87">
        <v>7.6188395</v>
      </c>
    </row>
    <row r="2428" spans="1:7" x14ac:dyDescent="0.25">
      <c r="A2428" s="84" t="s">
        <v>1637</v>
      </c>
      <c r="B2428" s="84" t="s">
        <v>98</v>
      </c>
      <c r="C2428" s="84" t="s">
        <v>283</v>
      </c>
      <c r="D2428" s="85">
        <v>5429</v>
      </c>
      <c r="E2428" s="85">
        <v>107416</v>
      </c>
      <c r="F2428" s="86">
        <v>8582.6</v>
      </c>
      <c r="G2428" s="87">
        <v>7.9900573000000001</v>
      </c>
    </row>
    <row r="2429" spans="1:7" x14ac:dyDescent="0.25">
      <c r="A2429" s="84" t="s">
        <v>1638</v>
      </c>
      <c r="B2429" s="84" t="s">
        <v>98</v>
      </c>
      <c r="C2429" s="84" t="s">
        <v>283</v>
      </c>
      <c r="D2429" s="85">
        <v>17055</v>
      </c>
      <c r="E2429" s="85">
        <v>710807</v>
      </c>
      <c r="F2429" s="86">
        <v>41300</v>
      </c>
      <c r="G2429" s="87">
        <v>5.8102973000000002</v>
      </c>
    </row>
    <row r="2430" spans="1:7" x14ac:dyDescent="0.25">
      <c r="A2430" s="84" t="s">
        <v>1639</v>
      </c>
      <c r="B2430" s="84" t="s">
        <v>98</v>
      </c>
      <c r="C2430" s="84" t="s">
        <v>283</v>
      </c>
      <c r="D2430" s="85">
        <v>4368</v>
      </c>
      <c r="E2430" s="85">
        <v>105878</v>
      </c>
      <c r="F2430" s="86">
        <v>7587</v>
      </c>
      <c r="G2430" s="87">
        <v>7.1657945999999999</v>
      </c>
    </row>
    <row r="2431" spans="1:7" x14ac:dyDescent="0.25">
      <c r="A2431" s="84" t="s">
        <v>1640</v>
      </c>
      <c r="B2431" s="84" t="s">
        <v>98</v>
      </c>
      <c r="C2431" s="84" t="s">
        <v>283</v>
      </c>
      <c r="D2431" s="85">
        <v>4657</v>
      </c>
      <c r="E2431" s="85">
        <v>73263</v>
      </c>
      <c r="F2431" s="86">
        <v>5959.7</v>
      </c>
      <c r="G2431" s="87">
        <v>8.1346655000000005</v>
      </c>
    </row>
    <row r="2432" spans="1:7" x14ac:dyDescent="0.25">
      <c r="A2432" s="84" t="s">
        <v>1641</v>
      </c>
      <c r="B2432" s="84" t="s">
        <v>98</v>
      </c>
      <c r="C2432" s="84" t="s">
        <v>283</v>
      </c>
      <c r="D2432" s="85">
        <v>32379</v>
      </c>
      <c r="E2432" s="85">
        <v>767979</v>
      </c>
      <c r="F2432" s="86">
        <v>50460.1</v>
      </c>
      <c r="G2432" s="87">
        <v>6.5705052000000004</v>
      </c>
    </row>
    <row r="2433" spans="1:7" x14ac:dyDescent="0.25">
      <c r="A2433" s="84" t="s">
        <v>1642</v>
      </c>
      <c r="B2433" s="84" t="s">
        <v>98</v>
      </c>
      <c r="C2433" s="84" t="s">
        <v>385</v>
      </c>
      <c r="D2433" s="85">
        <v>4224</v>
      </c>
      <c r="E2433" s="85">
        <v>988974</v>
      </c>
      <c r="F2433" s="86">
        <v>55664.5</v>
      </c>
      <c r="G2433" s="87">
        <v>5.6285100000000003</v>
      </c>
    </row>
    <row r="2434" spans="1:7" x14ac:dyDescent="0.25">
      <c r="A2434" s="84" t="s">
        <v>746</v>
      </c>
      <c r="B2434" s="84" t="s">
        <v>98</v>
      </c>
      <c r="C2434" s="84" t="s">
        <v>281</v>
      </c>
      <c r="D2434" s="85">
        <v>177</v>
      </c>
      <c r="E2434" s="85">
        <v>1913</v>
      </c>
      <c r="F2434" s="86">
        <v>236.4</v>
      </c>
      <c r="G2434" s="87">
        <v>12.357554</v>
      </c>
    </row>
    <row r="2435" spans="1:7" x14ac:dyDescent="0.25">
      <c r="A2435" s="84" t="s">
        <v>1643</v>
      </c>
      <c r="B2435" s="84" t="s">
        <v>98</v>
      </c>
      <c r="C2435" s="84" t="s">
        <v>281</v>
      </c>
      <c r="D2435" s="85">
        <v>3892</v>
      </c>
      <c r="E2435" s="85">
        <v>110038</v>
      </c>
      <c r="F2435" s="86">
        <v>9203.6</v>
      </c>
      <c r="G2435" s="87">
        <v>8.3640197000000001</v>
      </c>
    </row>
    <row r="2436" spans="1:7" x14ac:dyDescent="0.25">
      <c r="A2436" s="84" t="s">
        <v>1644</v>
      </c>
      <c r="B2436" s="84" t="s">
        <v>98</v>
      </c>
      <c r="C2436" s="84" t="s">
        <v>281</v>
      </c>
      <c r="D2436" s="85">
        <v>1926</v>
      </c>
      <c r="E2436" s="85">
        <v>23422</v>
      </c>
      <c r="F2436" s="86">
        <v>2505</v>
      </c>
      <c r="G2436" s="87">
        <v>10.695073000000001</v>
      </c>
    </row>
    <row r="2437" spans="1:7" x14ac:dyDescent="0.25">
      <c r="A2437" s="84" t="s">
        <v>1645</v>
      </c>
      <c r="B2437" s="84" t="s">
        <v>98</v>
      </c>
      <c r="C2437" s="84" t="s">
        <v>385</v>
      </c>
      <c r="D2437" s="85">
        <v>19590</v>
      </c>
      <c r="E2437" s="85">
        <v>482347</v>
      </c>
      <c r="F2437" s="86">
        <v>34348.400000000001</v>
      </c>
      <c r="G2437" s="87">
        <v>7.1210975000000003</v>
      </c>
    </row>
    <row r="2438" spans="1:7" x14ac:dyDescent="0.25">
      <c r="A2438" s="84" t="s">
        <v>1646</v>
      </c>
      <c r="B2438" s="84" t="s">
        <v>98</v>
      </c>
      <c r="C2438" s="84" t="s">
        <v>281</v>
      </c>
      <c r="D2438" s="85">
        <v>143</v>
      </c>
      <c r="E2438" s="85">
        <v>5415</v>
      </c>
      <c r="F2438" s="86">
        <v>549.29999999999995</v>
      </c>
      <c r="G2438" s="87">
        <v>10.144043999999999</v>
      </c>
    </row>
    <row r="2439" spans="1:7" x14ac:dyDescent="0.25">
      <c r="A2439" s="84" t="s">
        <v>1647</v>
      </c>
      <c r="B2439" s="84" t="s">
        <v>98</v>
      </c>
      <c r="C2439" s="84" t="s">
        <v>281</v>
      </c>
      <c r="D2439" s="85">
        <v>22744</v>
      </c>
      <c r="E2439" s="85">
        <v>407310</v>
      </c>
      <c r="F2439" s="86">
        <v>39792.1</v>
      </c>
      <c r="G2439" s="87">
        <v>9.7694875999999997</v>
      </c>
    </row>
    <row r="2440" spans="1:7" x14ac:dyDescent="0.25">
      <c r="A2440" s="84" t="s">
        <v>1648</v>
      </c>
      <c r="B2440" s="84" t="s">
        <v>98</v>
      </c>
      <c r="C2440" s="84" t="s">
        <v>281</v>
      </c>
      <c r="D2440" s="85">
        <v>17987</v>
      </c>
      <c r="E2440" s="85">
        <v>331562</v>
      </c>
      <c r="F2440" s="86">
        <v>37362.800000000003</v>
      </c>
      <c r="G2440" s="87">
        <v>11.268722</v>
      </c>
    </row>
    <row r="2441" spans="1:7" x14ac:dyDescent="0.25">
      <c r="A2441" s="84" t="s">
        <v>1649</v>
      </c>
      <c r="B2441" s="84" t="s">
        <v>98</v>
      </c>
      <c r="C2441" s="84" t="s">
        <v>281</v>
      </c>
      <c r="D2441" s="85">
        <v>10217</v>
      </c>
      <c r="E2441" s="85">
        <v>147123</v>
      </c>
      <c r="F2441" s="86">
        <v>15843</v>
      </c>
      <c r="G2441" s="87">
        <v>10.768541000000001</v>
      </c>
    </row>
    <row r="2442" spans="1:7" x14ac:dyDescent="0.25">
      <c r="A2442" s="84" t="s">
        <v>1650</v>
      </c>
      <c r="B2442" s="84" t="s">
        <v>98</v>
      </c>
      <c r="C2442" s="84" t="s">
        <v>385</v>
      </c>
      <c r="D2442" s="85">
        <v>21731</v>
      </c>
      <c r="E2442" s="85">
        <v>620376</v>
      </c>
      <c r="F2442" s="86">
        <v>53166.400000000001</v>
      </c>
      <c r="G2442" s="87">
        <v>8.5700284999999994</v>
      </c>
    </row>
    <row r="2443" spans="1:7" x14ac:dyDescent="0.25">
      <c r="A2443" s="84" t="s">
        <v>1505</v>
      </c>
      <c r="B2443" s="84" t="s">
        <v>98</v>
      </c>
      <c r="C2443" s="84" t="s">
        <v>281</v>
      </c>
      <c r="D2443" s="85">
        <v>2400</v>
      </c>
      <c r="E2443" s="85">
        <v>90323</v>
      </c>
      <c r="F2443" s="86">
        <v>6136.2</v>
      </c>
      <c r="G2443" s="87">
        <v>6.7936185</v>
      </c>
    </row>
    <row r="2444" spans="1:7" x14ac:dyDescent="0.25">
      <c r="A2444" s="84" t="s">
        <v>1651</v>
      </c>
      <c r="B2444" s="84" t="s">
        <v>98</v>
      </c>
      <c r="C2444" s="84" t="s">
        <v>281</v>
      </c>
      <c r="D2444" s="85">
        <v>3896</v>
      </c>
      <c r="E2444" s="85">
        <v>124116</v>
      </c>
      <c r="F2444" s="86">
        <v>9084</v>
      </c>
      <c r="G2444" s="87">
        <v>7.3189596999999997</v>
      </c>
    </row>
    <row r="2445" spans="1:7" x14ac:dyDescent="0.25">
      <c r="A2445" s="84" t="s">
        <v>748</v>
      </c>
      <c r="B2445" s="84" t="s">
        <v>98</v>
      </c>
      <c r="C2445" s="84" t="s">
        <v>278</v>
      </c>
      <c r="D2445" s="85">
        <v>19259</v>
      </c>
      <c r="E2445" s="85">
        <v>664771</v>
      </c>
      <c r="F2445" s="86">
        <v>51990.8</v>
      </c>
      <c r="G2445" s="87">
        <v>7.8208586000000002</v>
      </c>
    </row>
    <row r="2446" spans="1:7" x14ac:dyDescent="0.25">
      <c r="A2446" s="84" t="s">
        <v>1652</v>
      </c>
      <c r="B2446" s="84" t="s">
        <v>98</v>
      </c>
      <c r="C2446" s="84" t="s">
        <v>281</v>
      </c>
      <c r="D2446" s="85">
        <v>13019</v>
      </c>
      <c r="E2446" s="85">
        <v>238975</v>
      </c>
      <c r="F2446" s="86">
        <v>26481.599999999999</v>
      </c>
      <c r="G2446" s="87">
        <v>11.081326000000001</v>
      </c>
    </row>
    <row r="2447" spans="1:7" x14ac:dyDescent="0.25">
      <c r="A2447" s="84" t="s">
        <v>401</v>
      </c>
      <c r="B2447" s="84" t="s">
        <v>98</v>
      </c>
      <c r="C2447" s="84" t="s">
        <v>392</v>
      </c>
      <c r="D2447" s="85">
        <v>24</v>
      </c>
      <c r="E2447" s="85">
        <v>1271</v>
      </c>
      <c r="F2447" s="86">
        <v>93.3</v>
      </c>
      <c r="G2447" s="87">
        <v>7.3406766000000001</v>
      </c>
    </row>
    <row r="2448" spans="1:7" x14ac:dyDescent="0.25">
      <c r="A2448" s="84" t="s">
        <v>1653</v>
      </c>
      <c r="B2448" s="84" t="s">
        <v>98</v>
      </c>
      <c r="C2448" s="84" t="s">
        <v>281</v>
      </c>
      <c r="D2448" s="85">
        <v>19661</v>
      </c>
      <c r="E2448" s="85">
        <v>412330</v>
      </c>
      <c r="F2448" s="86">
        <v>34989</v>
      </c>
      <c r="G2448" s="87">
        <v>8.4856788999999999</v>
      </c>
    </row>
    <row r="2449" spans="1:7" x14ac:dyDescent="0.25">
      <c r="A2449" s="84" t="s">
        <v>1654</v>
      </c>
      <c r="B2449" s="84" t="s">
        <v>98</v>
      </c>
      <c r="C2449" s="84" t="s">
        <v>385</v>
      </c>
      <c r="D2449" s="85">
        <v>10163</v>
      </c>
      <c r="E2449" s="85">
        <v>912257</v>
      </c>
      <c r="F2449" s="86">
        <v>49172.3</v>
      </c>
      <c r="G2449" s="87">
        <v>5.3901805999999999</v>
      </c>
    </row>
    <row r="2450" spans="1:7" x14ac:dyDescent="0.25">
      <c r="A2450" s="84" t="s">
        <v>1655</v>
      </c>
      <c r="B2450" s="84" t="s">
        <v>98</v>
      </c>
      <c r="C2450" s="84" t="s">
        <v>281</v>
      </c>
      <c r="D2450" s="85">
        <v>31282</v>
      </c>
      <c r="E2450" s="85">
        <v>648291</v>
      </c>
      <c r="F2450" s="86">
        <v>55182.5</v>
      </c>
      <c r="G2450" s="87">
        <v>8.5119954</v>
      </c>
    </row>
    <row r="2451" spans="1:7" x14ac:dyDescent="0.25">
      <c r="A2451" s="84" t="s">
        <v>457</v>
      </c>
      <c r="B2451" s="84" t="s">
        <v>98</v>
      </c>
      <c r="C2451" s="84" t="s">
        <v>278</v>
      </c>
      <c r="D2451" s="85">
        <v>595834</v>
      </c>
      <c r="E2451" s="85">
        <v>13088664</v>
      </c>
      <c r="F2451" s="86">
        <v>1252049.2</v>
      </c>
      <c r="G2451" s="87">
        <v>9.5659053000000007</v>
      </c>
    </row>
    <row r="2452" spans="1:7" x14ac:dyDescent="0.25">
      <c r="A2452" s="84" t="s">
        <v>1656</v>
      </c>
      <c r="B2452" s="84" t="s">
        <v>98</v>
      </c>
      <c r="C2452" s="84" t="s">
        <v>278</v>
      </c>
      <c r="D2452" s="85">
        <v>889388</v>
      </c>
      <c r="E2452" s="85">
        <v>17304691</v>
      </c>
      <c r="F2452" s="86">
        <v>1745751.5</v>
      </c>
      <c r="G2452" s="87">
        <v>10.088314</v>
      </c>
    </row>
    <row r="2453" spans="1:7" x14ac:dyDescent="0.25">
      <c r="A2453" s="84" t="s">
        <v>1657</v>
      </c>
      <c r="B2453" s="84" t="s">
        <v>98</v>
      </c>
      <c r="C2453" s="84" t="s">
        <v>281</v>
      </c>
      <c r="D2453" s="85">
        <v>20052</v>
      </c>
      <c r="E2453" s="85">
        <v>318968</v>
      </c>
      <c r="F2453" s="86">
        <v>28873.200000000001</v>
      </c>
      <c r="G2453" s="87">
        <v>9.0520679000000008</v>
      </c>
    </row>
    <row r="2454" spans="1:7" x14ac:dyDescent="0.25">
      <c r="A2454" s="84" t="s">
        <v>408</v>
      </c>
      <c r="B2454" s="84" t="s">
        <v>98</v>
      </c>
      <c r="C2454" s="84" t="s">
        <v>392</v>
      </c>
      <c r="D2454" s="85">
        <v>3707</v>
      </c>
      <c r="E2454" s="85">
        <v>29893</v>
      </c>
      <c r="F2454" s="86">
        <v>2781</v>
      </c>
      <c r="G2454" s="87">
        <v>9.3031813000000003</v>
      </c>
    </row>
    <row r="2455" spans="1:7" x14ac:dyDescent="0.25">
      <c r="A2455" s="84" t="s">
        <v>415</v>
      </c>
      <c r="B2455" s="84" t="s">
        <v>98</v>
      </c>
      <c r="C2455" s="84" t="s">
        <v>392</v>
      </c>
      <c r="D2455" s="85">
        <v>94</v>
      </c>
      <c r="E2455" s="85">
        <v>465</v>
      </c>
      <c r="F2455" s="86">
        <v>55</v>
      </c>
      <c r="G2455" s="87">
        <v>11.827957</v>
      </c>
    </row>
    <row r="2456" spans="1:7" x14ac:dyDescent="0.25">
      <c r="A2456" s="84" t="s">
        <v>467</v>
      </c>
      <c r="B2456" s="84" t="s">
        <v>98</v>
      </c>
      <c r="C2456" s="84" t="s">
        <v>281</v>
      </c>
      <c r="D2456" s="85">
        <v>1776</v>
      </c>
      <c r="E2456" s="85">
        <v>34730</v>
      </c>
      <c r="F2456" s="86">
        <v>3250.4</v>
      </c>
      <c r="G2456" s="87">
        <v>9.3590555999999996</v>
      </c>
    </row>
    <row r="2457" spans="1:7" x14ac:dyDescent="0.25">
      <c r="A2457" s="84" t="s">
        <v>416</v>
      </c>
      <c r="B2457" s="84" t="s">
        <v>98</v>
      </c>
      <c r="C2457" s="84" t="s">
        <v>392</v>
      </c>
      <c r="D2457" s="85">
        <v>3</v>
      </c>
      <c r="E2457" s="85">
        <v>1095</v>
      </c>
      <c r="F2457" s="86">
        <v>82.2</v>
      </c>
      <c r="G2457" s="87">
        <v>7.5068492999999998</v>
      </c>
    </row>
    <row r="2458" spans="1:7" x14ac:dyDescent="0.25">
      <c r="A2458" s="84" t="s">
        <v>1658</v>
      </c>
      <c r="B2458" s="84" t="s">
        <v>98</v>
      </c>
      <c r="C2458" s="84" t="s">
        <v>385</v>
      </c>
      <c r="D2458" s="85">
        <v>21419</v>
      </c>
      <c r="E2458" s="85">
        <v>481521</v>
      </c>
      <c r="F2458" s="86">
        <v>40015</v>
      </c>
      <c r="G2458" s="87">
        <v>8.3101255999999992</v>
      </c>
    </row>
    <row r="2459" spans="1:7" x14ac:dyDescent="0.25">
      <c r="A2459" s="84" t="s">
        <v>1659</v>
      </c>
      <c r="B2459" s="84" t="s">
        <v>98</v>
      </c>
      <c r="C2459" s="84" t="s">
        <v>281</v>
      </c>
      <c r="D2459" s="85">
        <v>15548</v>
      </c>
      <c r="E2459" s="85">
        <v>3034731</v>
      </c>
      <c r="F2459" s="86">
        <v>150101.1</v>
      </c>
      <c r="G2459" s="87">
        <v>4.9461088999999996</v>
      </c>
    </row>
    <row r="2460" spans="1:7" x14ac:dyDescent="0.25">
      <c r="A2460" s="84" t="s">
        <v>1660</v>
      </c>
      <c r="B2460" s="84" t="s">
        <v>98</v>
      </c>
      <c r="C2460" s="84" t="s">
        <v>281</v>
      </c>
      <c r="D2460" s="85">
        <v>4700</v>
      </c>
      <c r="E2460" s="85">
        <v>102397</v>
      </c>
      <c r="F2460" s="86">
        <v>11106</v>
      </c>
      <c r="G2460" s="87">
        <v>10.846021</v>
      </c>
    </row>
    <row r="2461" spans="1:7" x14ac:dyDescent="0.25">
      <c r="A2461" s="84" t="s">
        <v>2718</v>
      </c>
      <c r="B2461" s="84" t="s">
        <v>98</v>
      </c>
      <c r="C2461" s="84" t="s">
        <v>281</v>
      </c>
      <c r="D2461" s="85">
        <v>4429</v>
      </c>
      <c r="E2461" s="85">
        <v>65062</v>
      </c>
      <c r="F2461" s="86">
        <v>11683.2</v>
      </c>
      <c r="G2461" s="87">
        <v>17.957025999999999</v>
      </c>
    </row>
    <row r="2462" spans="1:7" x14ac:dyDescent="0.25">
      <c r="A2462" s="84" t="s">
        <v>1661</v>
      </c>
      <c r="B2462" s="84" t="s">
        <v>101</v>
      </c>
      <c r="C2462" s="84" t="s">
        <v>281</v>
      </c>
      <c r="D2462" s="85">
        <v>32655</v>
      </c>
      <c r="E2462" s="85">
        <v>559577</v>
      </c>
      <c r="F2462" s="86">
        <v>66909</v>
      </c>
      <c r="G2462" s="87">
        <v>11.957068</v>
      </c>
    </row>
    <row r="2463" spans="1:7" x14ac:dyDescent="0.25">
      <c r="A2463" s="84" t="s">
        <v>1662</v>
      </c>
      <c r="B2463" s="84" t="s">
        <v>101</v>
      </c>
      <c r="C2463" s="84" t="s">
        <v>281</v>
      </c>
      <c r="D2463" s="85">
        <v>9387</v>
      </c>
      <c r="E2463" s="85">
        <v>349615</v>
      </c>
      <c r="F2463" s="86">
        <v>30258</v>
      </c>
      <c r="G2463" s="87">
        <v>8.6546629999999993</v>
      </c>
    </row>
    <row r="2464" spans="1:7" x14ac:dyDescent="0.25">
      <c r="A2464" s="84" t="s">
        <v>2719</v>
      </c>
      <c r="B2464" s="84" t="s">
        <v>101</v>
      </c>
      <c r="C2464" s="84" t="s">
        <v>283</v>
      </c>
      <c r="D2464" s="85">
        <v>1168</v>
      </c>
      <c r="E2464" s="85">
        <v>19231</v>
      </c>
      <c r="F2464" s="86">
        <v>1870.2</v>
      </c>
      <c r="G2464" s="87">
        <v>9.7249233000000004</v>
      </c>
    </row>
    <row r="2465" spans="1:7" x14ac:dyDescent="0.25">
      <c r="A2465" s="84" t="s">
        <v>2720</v>
      </c>
      <c r="B2465" s="84" t="s">
        <v>101</v>
      </c>
      <c r="C2465" s="84" t="s">
        <v>283</v>
      </c>
      <c r="D2465" s="85">
        <v>3582</v>
      </c>
      <c r="E2465" s="85">
        <v>33540</v>
      </c>
      <c r="F2465" s="86">
        <v>5653.3</v>
      </c>
      <c r="G2465" s="87">
        <v>16.855397</v>
      </c>
    </row>
    <row r="2466" spans="1:7" x14ac:dyDescent="0.25">
      <c r="A2466" s="84" t="s">
        <v>2721</v>
      </c>
      <c r="B2466" s="84" t="s">
        <v>101</v>
      </c>
      <c r="C2466" s="84" t="s">
        <v>283</v>
      </c>
      <c r="D2466" s="85">
        <v>991</v>
      </c>
      <c r="E2466" s="85">
        <v>9279</v>
      </c>
      <c r="F2466" s="86">
        <v>1545</v>
      </c>
      <c r="G2466" s="87">
        <v>16.650500999999998</v>
      </c>
    </row>
    <row r="2467" spans="1:7" x14ac:dyDescent="0.25">
      <c r="A2467" s="84" t="s">
        <v>1663</v>
      </c>
      <c r="B2467" s="84" t="s">
        <v>101</v>
      </c>
      <c r="C2467" s="84" t="s">
        <v>283</v>
      </c>
      <c r="D2467" s="85">
        <v>11135</v>
      </c>
      <c r="E2467" s="85">
        <v>310104</v>
      </c>
      <c r="F2467" s="86">
        <v>28393</v>
      </c>
      <c r="G2467" s="87">
        <v>9.1559606000000002</v>
      </c>
    </row>
    <row r="2468" spans="1:7" x14ac:dyDescent="0.25">
      <c r="A2468" s="84" t="s">
        <v>2722</v>
      </c>
      <c r="B2468" s="84" t="s">
        <v>101</v>
      </c>
      <c r="C2468" s="84" t="s">
        <v>283</v>
      </c>
      <c r="D2468" s="85">
        <v>1038</v>
      </c>
      <c r="E2468" s="85">
        <v>11200</v>
      </c>
      <c r="F2468" s="86">
        <v>1194.7</v>
      </c>
      <c r="G2468" s="87">
        <v>10.666964</v>
      </c>
    </row>
    <row r="2469" spans="1:7" x14ac:dyDescent="0.25">
      <c r="A2469" s="84" t="s">
        <v>2723</v>
      </c>
      <c r="B2469" s="84" t="s">
        <v>101</v>
      </c>
      <c r="C2469" s="84" t="s">
        <v>283</v>
      </c>
      <c r="D2469" s="85">
        <v>625</v>
      </c>
      <c r="E2469" s="85">
        <v>5035</v>
      </c>
      <c r="F2469" s="86">
        <v>655.8</v>
      </c>
      <c r="G2469" s="87">
        <v>13.024825999999999</v>
      </c>
    </row>
    <row r="2470" spans="1:7" x14ac:dyDescent="0.25">
      <c r="A2470" s="84" t="s">
        <v>2724</v>
      </c>
      <c r="B2470" s="84" t="s">
        <v>101</v>
      </c>
      <c r="C2470" s="84" t="s">
        <v>283</v>
      </c>
      <c r="D2470" s="85">
        <v>4108</v>
      </c>
      <c r="E2470" s="85">
        <v>49790</v>
      </c>
      <c r="F2470" s="86">
        <v>6804</v>
      </c>
      <c r="G2470" s="87">
        <v>13.665395</v>
      </c>
    </row>
    <row r="2471" spans="1:7" x14ac:dyDescent="0.25">
      <c r="A2471" s="84" t="s">
        <v>1664</v>
      </c>
      <c r="B2471" s="84" t="s">
        <v>101</v>
      </c>
      <c r="C2471" s="84" t="s">
        <v>283</v>
      </c>
      <c r="D2471" s="85">
        <v>6679</v>
      </c>
      <c r="E2471" s="85">
        <v>137807</v>
      </c>
      <c r="F2471" s="86">
        <v>17349.099999999999</v>
      </c>
      <c r="G2471" s="87">
        <v>12.589418999999999</v>
      </c>
    </row>
    <row r="2472" spans="1:7" x14ac:dyDescent="0.25">
      <c r="A2472" s="84" t="s">
        <v>2725</v>
      </c>
      <c r="B2472" s="84" t="s">
        <v>101</v>
      </c>
      <c r="C2472" s="84" t="s">
        <v>283</v>
      </c>
      <c r="D2472" s="85">
        <v>1585</v>
      </c>
      <c r="E2472" s="85">
        <v>27078</v>
      </c>
      <c r="F2472" s="86">
        <v>3469</v>
      </c>
      <c r="G2472" s="87">
        <v>12.811138</v>
      </c>
    </row>
    <row r="2473" spans="1:7" x14ac:dyDescent="0.25">
      <c r="A2473" s="84" t="s">
        <v>2726</v>
      </c>
      <c r="B2473" s="84" t="s">
        <v>101</v>
      </c>
      <c r="C2473" s="84" t="s">
        <v>283</v>
      </c>
      <c r="D2473" s="85">
        <v>386</v>
      </c>
      <c r="E2473" s="85">
        <v>5306</v>
      </c>
      <c r="F2473" s="86">
        <v>601</v>
      </c>
      <c r="G2473" s="87">
        <v>11.3268</v>
      </c>
    </row>
    <row r="2474" spans="1:7" x14ac:dyDescent="0.25">
      <c r="A2474" s="84" t="s">
        <v>2727</v>
      </c>
      <c r="B2474" s="84" t="s">
        <v>101</v>
      </c>
      <c r="C2474" s="84" t="s">
        <v>283</v>
      </c>
      <c r="D2474" s="85">
        <v>2986</v>
      </c>
      <c r="E2474" s="85">
        <v>58914</v>
      </c>
      <c r="F2474" s="86">
        <v>7537.9</v>
      </c>
      <c r="G2474" s="87">
        <v>12.794752000000001</v>
      </c>
    </row>
    <row r="2475" spans="1:7" x14ac:dyDescent="0.25">
      <c r="A2475" s="84" t="s">
        <v>2728</v>
      </c>
      <c r="B2475" s="84" t="s">
        <v>101</v>
      </c>
      <c r="C2475" s="84" t="s">
        <v>283</v>
      </c>
      <c r="D2475" s="85">
        <v>1825</v>
      </c>
      <c r="E2475" s="85">
        <v>21613</v>
      </c>
      <c r="F2475" s="86">
        <v>3695</v>
      </c>
      <c r="G2475" s="87">
        <v>17.096191999999999</v>
      </c>
    </row>
    <row r="2476" spans="1:7" x14ac:dyDescent="0.25">
      <c r="A2476" s="84" t="s">
        <v>2729</v>
      </c>
      <c r="B2476" s="84" t="s">
        <v>101</v>
      </c>
      <c r="C2476" s="84" t="s">
        <v>283</v>
      </c>
      <c r="D2476" s="85">
        <v>2489</v>
      </c>
      <c r="E2476" s="85">
        <v>39558</v>
      </c>
      <c r="F2476" s="86">
        <v>6507</v>
      </c>
      <c r="G2476" s="87">
        <v>16.449263999999999</v>
      </c>
    </row>
    <row r="2477" spans="1:7" x14ac:dyDescent="0.25">
      <c r="A2477" s="84" t="s">
        <v>1665</v>
      </c>
      <c r="B2477" s="84" t="s">
        <v>101</v>
      </c>
      <c r="C2477" s="84" t="s">
        <v>283</v>
      </c>
      <c r="D2477" s="85">
        <v>8781</v>
      </c>
      <c r="E2477" s="85">
        <v>121246</v>
      </c>
      <c r="F2477" s="86">
        <v>20232</v>
      </c>
      <c r="G2477" s="87">
        <v>16.686736</v>
      </c>
    </row>
    <row r="2478" spans="1:7" x14ac:dyDescent="0.25">
      <c r="A2478" s="84" t="s">
        <v>2730</v>
      </c>
      <c r="B2478" s="84" t="s">
        <v>101</v>
      </c>
      <c r="C2478" s="84" t="s">
        <v>283</v>
      </c>
      <c r="D2478" s="85">
        <v>3024</v>
      </c>
      <c r="E2478" s="85">
        <v>46339</v>
      </c>
      <c r="F2478" s="86">
        <v>5977</v>
      </c>
      <c r="G2478" s="87">
        <v>12.898422</v>
      </c>
    </row>
    <row r="2479" spans="1:7" x14ac:dyDescent="0.25">
      <c r="A2479" s="84" t="s">
        <v>2731</v>
      </c>
      <c r="B2479" s="84" t="s">
        <v>101</v>
      </c>
      <c r="C2479" s="84" t="s">
        <v>283</v>
      </c>
      <c r="D2479" s="85">
        <v>194</v>
      </c>
      <c r="E2479" s="85">
        <v>2575</v>
      </c>
      <c r="F2479" s="86">
        <v>318.39999999999998</v>
      </c>
      <c r="G2479" s="87">
        <v>12.365049000000001</v>
      </c>
    </row>
    <row r="2480" spans="1:7" x14ac:dyDescent="0.25">
      <c r="A2480" s="84" t="s">
        <v>2732</v>
      </c>
      <c r="B2480" s="84" t="s">
        <v>101</v>
      </c>
      <c r="C2480" s="84" t="s">
        <v>283</v>
      </c>
      <c r="D2480" s="85">
        <v>3916</v>
      </c>
      <c r="E2480" s="85">
        <v>67556</v>
      </c>
      <c r="F2480" s="86">
        <v>8255</v>
      </c>
      <c r="G2480" s="87">
        <v>12.219492000000001</v>
      </c>
    </row>
    <row r="2481" spans="1:7" x14ac:dyDescent="0.25">
      <c r="A2481" s="84" t="s">
        <v>2733</v>
      </c>
      <c r="B2481" s="84" t="s">
        <v>101</v>
      </c>
      <c r="C2481" s="84" t="s">
        <v>283</v>
      </c>
      <c r="D2481" s="85">
        <v>1853</v>
      </c>
      <c r="E2481" s="85">
        <v>43495</v>
      </c>
      <c r="F2481" s="86">
        <v>5433</v>
      </c>
      <c r="G2481" s="87">
        <v>12.491091000000001</v>
      </c>
    </row>
    <row r="2482" spans="1:7" x14ac:dyDescent="0.25">
      <c r="A2482" s="84" t="s">
        <v>2734</v>
      </c>
      <c r="B2482" s="84" t="s">
        <v>101</v>
      </c>
      <c r="C2482" s="84" t="s">
        <v>283</v>
      </c>
      <c r="D2482" s="85">
        <v>730</v>
      </c>
      <c r="E2482" s="85">
        <v>18288</v>
      </c>
      <c r="F2482" s="86">
        <v>2716</v>
      </c>
      <c r="G2482" s="87">
        <v>14.851269</v>
      </c>
    </row>
    <row r="2483" spans="1:7" x14ac:dyDescent="0.25">
      <c r="A2483" s="84" t="s">
        <v>2735</v>
      </c>
      <c r="B2483" s="84" t="s">
        <v>101</v>
      </c>
      <c r="C2483" s="84" t="s">
        <v>283</v>
      </c>
      <c r="D2483" s="85">
        <v>2683</v>
      </c>
      <c r="E2483" s="85">
        <v>22968</v>
      </c>
      <c r="F2483" s="86">
        <v>3864</v>
      </c>
      <c r="G2483" s="87">
        <v>16.823405999999999</v>
      </c>
    </row>
    <row r="2484" spans="1:7" x14ac:dyDescent="0.25">
      <c r="A2484" s="84" t="s">
        <v>2736</v>
      </c>
      <c r="B2484" s="84" t="s">
        <v>101</v>
      </c>
      <c r="C2484" s="84" t="s">
        <v>283</v>
      </c>
      <c r="D2484" s="85">
        <v>4106</v>
      </c>
      <c r="E2484" s="85">
        <v>53092</v>
      </c>
      <c r="F2484" s="86">
        <v>8343</v>
      </c>
      <c r="G2484" s="87">
        <v>15.714232000000001</v>
      </c>
    </row>
    <row r="2485" spans="1:7" x14ac:dyDescent="0.25">
      <c r="A2485" s="84" t="s">
        <v>2737</v>
      </c>
      <c r="B2485" s="84" t="s">
        <v>101</v>
      </c>
      <c r="C2485" s="84" t="s">
        <v>283</v>
      </c>
      <c r="D2485" s="85">
        <v>1817</v>
      </c>
      <c r="E2485" s="85">
        <v>10834</v>
      </c>
      <c r="F2485" s="86">
        <v>1956</v>
      </c>
      <c r="G2485" s="87">
        <v>18.054273999999999</v>
      </c>
    </row>
    <row r="2486" spans="1:7" x14ac:dyDescent="0.25">
      <c r="A2486" s="84" t="s">
        <v>1666</v>
      </c>
      <c r="B2486" s="84" t="s">
        <v>101</v>
      </c>
      <c r="C2486" s="84" t="s">
        <v>283</v>
      </c>
      <c r="D2486" s="85">
        <v>5281</v>
      </c>
      <c r="E2486" s="85">
        <v>89765</v>
      </c>
      <c r="F2486" s="86">
        <v>11032.7</v>
      </c>
      <c r="G2486" s="87">
        <v>12.290647999999999</v>
      </c>
    </row>
    <row r="2487" spans="1:7" x14ac:dyDescent="0.25">
      <c r="A2487" s="84" t="s">
        <v>2738</v>
      </c>
      <c r="B2487" s="84" t="s">
        <v>101</v>
      </c>
      <c r="C2487" s="84" t="s">
        <v>283</v>
      </c>
      <c r="D2487" s="85">
        <v>556</v>
      </c>
      <c r="E2487" s="85">
        <v>5123</v>
      </c>
      <c r="F2487" s="86">
        <v>606.20000000000005</v>
      </c>
      <c r="G2487" s="87">
        <v>11.83291</v>
      </c>
    </row>
    <row r="2488" spans="1:7" x14ac:dyDescent="0.25">
      <c r="A2488" s="84" t="s">
        <v>2739</v>
      </c>
      <c r="B2488" s="84" t="s">
        <v>101</v>
      </c>
      <c r="C2488" s="84" t="s">
        <v>283</v>
      </c>
      <c r="D2488" s="85">
        <v>2990</v>
      </c>
      <c r="E2488" s="85">
        <v>45303</v>
      </c>
      <c r="F2488" s="86">
        <v>6209.5</v>
      </c>
      <c r="G2488" s="87">
        <v>13.706598</v>
      </c>
    </row>
    <row r="2489" spans="1:7" x14ac:dyDescent="0.25">
      <c r="A2489" s="84" t="s">
        <v>2740</v>
      </c>
      <c r="B2489" s="84" t="s">
        <v>101</v>
      </c>
      <c r="C2489" s="84" t="s">
        <v>283</v>
      </c>
      <c r="D2489" s="85">
        <v>1027</v>
      </c>
      <c r="E2489" s="85">
        <v>12846</v>
      </c>
      <c r="F2489" s="86">
        <v>1545.1</v>
      </c>
      <c r="G2489" s="87">
        <v>12.027869000000001</v>
      </c>
    </row>
    <row r="2490" spans="1:7" x14ac:dyDescent="0.25">
      <c r="A2490" s="84" t="s">
        <v>2741</v>
      </c>
      <c r="B2490" s="84" t="s">
        <v>101</v>
      </c>
      <c r="C2490" s="84" t="s">
        <v>283</v>
      </c>
      <c r="D2490" s="85">
        <v>1835</v>
      </c>
      <c r="E2490" s="85">
        <v>19949</v>
      </c>
      <c r="F2490" s="86">
        <v>3570.1</v>
      </c>
      <c r="G2490" s="87">
        <v>17.896135000000001</v>
      </c>
    </row>
    <row r="2491" spans="1:7" x14ac:dyDescent="0.25">
      <c r="A2491" s="84" t="s">
        <v>2742</v>
      </c>
      <c r="B2491" s="84" t="s">
        <v>101</v>
      </c>
      <c r="C2491" s="84" t="s">
        <v>283</v>
      </c>
      <c r="D2491" s="85">
        <v>293</v>
      </c>
      <c r="E2491" s="85">
        <v>2896</v>
      </c>
      <c r="F2491" s="86">
        <v>311</v>
      </c>
      <c r="G2491" s="87">
        <v>10.738950000000001</v>
      </c>
    </row>
    <row r="2492" spans="1:7" x14ac:dyDescent="0.25">
      <c r="A2492" s="84" t="s">
        <v>2743</v>
      </c>
      <c r="B2492" s="84" t="s">
        <v>101</v>
      </c>
      <c r="C2492" s="84" t="s">
        <v>283</v>
      </c>
      <c r="D2492" s="85">
        <v>2263</v>
      </c>
      <c r="E2492" s="85">
        <v>31825</v>
      </c>
      <c r="F2492" s="86">
        <v>4646</v>
      </c>
      <c r="G2492" s="87">
        <v>14.598585999999999</v>
      </c>
    </row>
    <row r="2493" spans="1:7" x14ac:dyDescent="0.25">
      <c r="A2493" s="84" t="s">
        <v>2744</v>
      </c>
      <c r="B2493" s="84" t="s">
        <v>101</v>
      </c>
      <c r="C2493" s="84" t="s">
        <v>283</v>
      </c>
      <c r="D2493" s="85">
        <v>377</v>
      </c>
      <c r="E2493" s="85">
        <v>3699</v>
      </c>
      <c r="F2493" s="86">
        <v>515</v>
      </c>
      <c r="G2493" s="87">
        <v>13.922682</v>
      </c>
    </row>
    <row r="2494" spans="1:7" x14ac:dyDescent="0.25">
      <c r="A2494" s="84" t="s">
        <v>2745</v>
      </c>
      <c r="B2494" s="84" t="s">
        <v>101</v>
      </c>
      <c r="C2494" s="84" t="s">
        <v>283</v>
      </c>
      <c r="D2494" s="85">
        <v>1083</v>
      </c>
      <c r="E2494" s="85">
        <v>11127</v>
      </c>
      <c r="F2494" s="86">
        <v>1873</v>
      </c>
      <c r="G2494" s="87">
        <v>16.832929</v>
      </c>
    </row>
    <row r="2495" spans="1:7" x14ac:dyDescent="0.25">
      <c r="A2495" s="84" t="s">
        <v>2746</v>
      </c>
      <c r="B2495" s="84" t="s">
        <v>101</v>
      </c>
      <c r="C2495" s="84" t="s">
        <v>283</v>
      </c>
      <c r="D2495" s="85">
        <v>1181</v>
      </c>
      <c r="E2495" s="85">
        <v>19447</v>
      </c>
      <c r="F2495" s="86">
        <v>2570</v>
      </c>
      <c r="G2495" s="87">
        <v>13.215406</v>
      </c>
    </row>
    <row r="2496" spans="1:7" x14ac:dyDescent="0.25">
      <c r="A2496" s="84" t="s">
        <v>2747</v>
      </c>
      <c r="B2496" s="84" t="s">
        <v>101</v>
      </c>
      <c r="C2496" s="84" t="s">
        <v>283</v>
      </c>
      <c r="D2496" s="85">
        <v>2272</v>
      </c>
      <c r="E2496" s="85">
        <v>29119</v>
      </c>
      <c r="F2496" s="86">
        <v>5173</v>
      </c>
      <c r="G2496" s="87">
        <v>17.765032999999999</v>
      </c>
    </row>
    <row r="2497" spans="1:7" x14ac:dyDescent="0.25">
      <c r="A2497" s="84" t="s">
        <v>1667</v>
      </c>
      <c r="B2497" s="84" t="s">
        <v>101</v>
      </c>
      <c r="C2497" s="84" t="s">
        <v>281</v>
      </c>
      <c r="D2497" s="85">
        <v>25373</v>
      </c>
      <c r="E2497" s="85">
        <v>296318</v>
      </c>
      <c r="F2497" s="86">
        <v>39486</v>
      </c>
      <c r="G2497" s="87">
        <v>13.325549000000001</v>
      </c>
    </row>
    <row r="2498" spans="1:7" x14ac:dyDescent="0.25">
      <c r="A2498" s="84" t="s">
        <v>1668</v>
      </c>
      <c r="B2498" s="84" t="s">
        <v>101</v>
      </c>
      <c r="C2498" s="84" t="s">
        <v>278</v>
      </c>
      <c r="D2498" s="85">
        <v>6965</v>
      </c>
      <c r="E2498" s="85">
        <v>120512</v>
      </c>
      <c r="F2498" s="86">
        <v>12489</v>
      </c>
      <c r="G2498" s="87">
        <v>10.363282999999999</v>
      </c>
    </row>
    <row r="2499" spans="1:7" x14ac:dyDescent="0.25">
      <c r="A2499" s="84" t="s">
        <v>1669</v>
      </c>
      <c r="B2499" s="84" t="s">
        <v>101</v>
      </c>
      <c r="C2499" s="84" t="s">
        <v>281</v>
      </c>
      <c r="D2499" s="85">
        <v>18773</v>
      </c>
      <c r="E2499" s="85">
        <v>269035</v>
      </c>
      <c r="F2499" s="86">
        <v>32140</v>
      </c>
      <c r="G2499" s="87">
        <v>11.946401</v>
      </c>
    </row>
    <row r="2500" spans="1:7" x14ac:dyDescent="0.25">
      <c r="A2500" s="84" t="s">
        <v>1670</v>
      </c>
      <c r="B2500" s="84" t="s">
        <v>101</v>
      </c>
      <c r="C2500" s="84" t="s">
        <v>278</v>
      </c>
      <c r="D2500" s="85">
        <v>426527</v>
      </c>
      <c r="E2500" s="85">
        <v>4091923</v>
      </c>
      <c r="F2500" s="86">
        <v>596264.6</v>
      </c>
      <c r="G2500" s="87">
        <v>14.571745</v>
      </c>
    </row>
    <row r="2501" spans="1:7" x14ac:dyDescent="0.25">
      <c r="A2501" s="84" t="s">
        <v>2365</v>
      </c>
      <c r="B2501" s="84" t="s">
        <v>101</v>
      </c>
      <c r="C2501" s="84" t="s">
        <v>392</v>
      </c>
      <c r="D2501" s="85">
        <v>1</v>
      </c>
      <c r="E2501" s="85">
        <v>7384</v>
      </c>
      <c r="F2501" s="86">
        <v>604.4</v>
      </c>
      <c r="G2501" s="87">
        <v>8.1852654000000005</v>
      </c>
    </row>
    <row r="2502" spans="1:7" x14ac:dyDescent="0.25">
      <c r="A2502" s="84" t="s">
        <v>2748</v>
      </c>
      <c r="B2502" s="84" t="s">
        <v>101</v>
      </c>
      <c r="C2502" s="84" t="s">
        <v>283</v>
      </c>
      <c r="D2502" s="85">
        <v>695</v>
      </c>
      <c r="E2502" s="85">
        <v>4045</v>
      </c>
      <c r="F2502" s="86">
        <v>502.7</v>
      </c>
      <c r="G2502" s="87">
        <v>12.427689000000001</v>
      </c>
    </row>
    <row r="2503" spans="1:7" x14ac:dyDescent="0.25">
      <c r="A2503" s="84" t="s">
        <v>401</v>
      </c>
      <c r="B2503" s="84" t="s">
        <v>101</v>
      </c>
      <c r="C2503" s="84" t="s">
        <v>392</v>
      </c>
      <c r="D2503" s="85">
        <v>5</v>
      </c>
      <c r="E2503" s="85">
        <v>1900</v>
      </c>
      <c r="F2503" s="86">
        <v>247.5</v>
      </c>
      <c r="G2503" s="87">
        <v>13.026316</v>
      </c>
    </row>
    <row r="2504" spans="1:7" x14ac:dyDescent="0.25">
      <c r="A2504" s="84" t="s">
        <v>1671</v>
      </c>
      <c r="B2504" s="84" t="s">
        <v>101</v>
      </c>
      <c r="C2504" s="84" t="s">
        <v>278</v>
      </c>
      <c r="D2504" s="85">
        <v>400462</v>
      </c>
      <c r="E2504" s="85">
        <v>4904238</v>
      </c>
      <c r="F2504" s="86">
        <v>589625.4</v>
      </c>
      <c r="G2504" s="87">
        <v>12.022773000000001</v>
      </c>
    </row>
    <row r="2505" spans="1:7" x14ac:dyDescent="0.25">
      <c r="A2505" s="84" t="s">
        <v>2749</v>
      </c>
      <c r="B2505" s="84" t="s">
        <v>101</v>
      </c>
      <c r="C2505" s="84" t="s">
        <v>283</v>
      </c>
      <c r="D2505" s="85">
        <v>711</v>
      </c>
      <c r="E2505" s="85">
        <v>10179</v>
      </c>
      <c r="F2505" s="86">
        <v>1009.3</v>
      </c>
      <c r="G2505" s="87">
        <v>9.9155122999999996</v>
      </c>
    </row>
    <row r="2506" spans="1:7" x14ac:dyDescent="0.25">
      <c r="A2506" s="84" t="s">
        <v>2750</v>
      </c>
      <c r="B2506" s="84" t="s">
        <v>101</v>
      </c>
      <c r="C2506" s="84" t="s">
        <v>281</v>
      </c>
      <c r="D2506" s="85">
        <v>3678</v>
      </c>
      <c r="E2506" s="85">
        <v>54339</v>
      </c>
      <c r="F2506" s="86">
        <v>6232</v>
      </c>
      <c r="G2506" s="87">
        <v>11.468743</v>
      </c>
    </row>
    <row r="2507" spans="1:7" x14ac:dyDescent="0.25">
      <c r="A2507" s="84" t="s">
        <v>1672</v>
      </c>
      <c r="B2507" s="84" t="s">
        <v>101</v>
      </c>
      <c r="C2507" s="84" t="s">
        <v>281</v>
      </c>
      <c r="D2507" s="85">
        <v>19494</v>
      </c>
      <c r="E2507" s="85">
        <v>249372</v>
      </c>
      <c r="F2507" s="86">
        <v>32397</v>
      </c>
      <c r="G2507" s="87">
        <v>12.991434</v>
      </c>
    </row>
    <row r="2508" spans="1:7" x14ac:dyDescent="0.25">
      <c r="A2508" s="84" t="s">
        <v>1673</v>
      </c>
      <c r="B2508" s="84" t="s">
        <v>101</v>
      </c>
      <c r="C2508" s="84" t="s">
        <v>278</v>
      </c>
      <c r="D2508" s="85">
        <v>1142446</v>
      </c>
      <c r="E2508" s="85">
        <v>12296539</v>
      </c>
      <c r="F2508" s="86">
        <v>1462253</v>
      </c>
      <c r="G2508" s="87">
        <v>11.891582</v>
      </c>
    </row>
    <row r="2509" spans="1:7" x14ac:dyDescent="0.25">
      <c r="A2509" s="84" t="s">
        <v>1674</v>
      </c>
      <c r="B2509" s="84" t="s">
        <v>101</v>
      </c>
      <c r="C2509" s="84" t="s">
        <v>278</v>
      </c>
      <c r="D2509" s="85">
        <v>855014</v>
      </c>
      <c r="E2509" s="85">
        <v>10569683</v>
      </c>
      <c r="F2509" s="86">
        <v>1321912.3999999999</v>
      </c>
      <c r="G2509" s="87">
        <v>12.506641999999999</v>
      </c>
    </row>
    <row r="2510" spans="1:7" x14ac:dyDescent="0.25">
      <c r="A2510" s="84" t="s">
        <v>1523</v>
      </c>
      <c r="B2510" s="84" t="s">
        <v>101</v>
      </c>
      <c r="C2510" s="84" t="s">
        <v>278</v>
      </c>
      <c r="D2510" s="85">
        <v>425663</v>
      </c>
      <c r="E2510" s="85">
        <v>4158113</v>
      </c>
      <c r="F2510" s="86">
        <v>573447.69999999995</v>
      </c>
      <c r="G2510" s="87">
        <v>13.791055999999999</v>
      </c>
    </row>
    <row r="2511" spans="1:7" x14ac:dyDescent="0.25">
      <c r="A2511" s="84" t="s">
        <v>1675</v>
      </c>
      <c r="B2511" s="84" t="s">
        <v>101</v>
      </c>
      <c r="C2511" s="84" t="s">
        <v>278</v>
      </c>
      <c r="D2511" s="85">
        <v>123689</v>
      </c>
      <c r="E2511" s="85">
        <v>1584884</v>
      </c>
      <c r="F2511" s="86">
        <v>191331.1</v>
      </c>
      <c r="G2511" s="87">
        <v>12.072246</v>
      </c>
    </row>
    <row r="2512" spans="1:7" x14ac:dyDescent="0.25">
      <c r="A2512" s="84" t="s">
        <v>1676</v>
      </c>
      <c r="B2512" s="84" t="s">
        <v>101</v>
      </c>
      <c r="C2512" s="84" t="s">
        <v>278</v>
      </c>
      <c r="D2512" s="85">
        <v>3460</v>
      </c>
      <c r="E2512" s="85">
        <v>49314</v>
      </c>
      <c r="F2512" s="86">
        <v>5938.3</v>
      </c>
      <c r="G2512" s="87">
        <v>12.041814</v>
      </c>
    </row>
    <row r="2513" spans="1:7" x14ac:dyDescent="0.25">
      <c r="A2513" s="84" t="s">
        <v>1677</v>
      </c>
      <c r="B2513" s="84" t="s">
        <v>101</v>
      </c>
      <c r="C2513" s="84" t="s">
        <v>281</v>
      </c>
      <c r="D2513" s="85">
        <v>22648</v>
      </c>
      <c r="E2513" s="85">
        <v>382132</v>
      </c>
      <c r="F2513" s="86">
        <v>42262</v>
      </c>
      <c r="G2513" s="87">
        <v>11.059528999999999</v>
      </c>
    </row>
    <row r="2514" spans="1:7" x14ac:dyDescent="0.25">
      <c r="A2514" s="84" t="s">
        <v>408</v>
      </c>
      <c r="B2514" s="84" t="s">
        <v>101</v>
      </c>
      <c r="C2514" s="84" t="s">
        <v>392</v>
      </c>
      <c r="D2514" s="85">
        <v>6957</v>
      </c>
      <c r="E2514" s="85">
        <v>63506</v>
      </c>
      <c r="F2514" s="86">
        <v>8339</v>
      </c>
      <c r="G2514" s="87">
        <v>13.131043</v>
      </c>
    </row>
    <row r="2515" spans="1:7" x14ac:dyDescent="0.25">
      <c r="A2515" s="84" t="s">
        <v>1678</v>
      </c>
      <c r="B2515" s="84" t="s">
        <v>101</v>
      </c>
      <c r="C2515" s="84" t="s">
        <v>281</v>
      </c>
      <c r="D2515" s="85">
        <v>13649</v>
      </c>
      <c r="E2515" s="85">
        <v>203506</v>
      </c>
      <c r="F2515" s="86">
        <v>21952</v>
      </c>
      <c r="G2515" s="87">
        <v>10.786906</v>
      </c>
    </row>
    <row r="2516" spans="1:7" x14ac:dyDescent="0.25">
      <c r="A2516" s="84" t="s">
        <v>2751</v>
      </c>
      <c r="B2516" s="84" t="s">
        <v>101</v>
      </c>
      <c r="C2516" s="84" t="s">
        <v>281</v>
      </c>
      <c r="D2516" s="85">
        <v>5995</v>
      </c>
      <c r="E2516" s="85">
        <v>52756</v>
      </c>
      <c r="F2516" s="86">
        <v>9000</v>
      </c>
      <c r="G2516" s="87">
        <v>17.059671000000002</v>
      </c>
    </row>
    <row r="2517" spans="1:7" x14ac:dyDescent="0.25">
      <c r="A2517" s="84" t="s">
        <v>412</v>
      </c>
      <c r="B2517" s="84" t="s">
        <v>101</v>
      </c>
      <c r="C2517" s="84" t="s">
        <v>392</v>
      </c>
      <c r="D2517" s="85">
        <v>11</v>
      </c>
      <c r="E2517" s="85">
        <v>55</v>
      </c>
      <c r="F2517" s="86">
        <v>8.6</v>
      </c>
      <c r="G2517" s="87">
        <v>15.636364</v>
      </c>
    </row>
    <row r="2518" spans="1:7" x14ac:dyDescent="0.25">
      <c r="A2518" s="84" t="s">
        <v>413</v>
      </c>
      <c r="B2518" s="84" t="s">
        <v>101</v>
      </c>
      <c r="C2518" s="84" t="s">
        <v>392</v>
      </c>
      <c r="D2518" s="85">
        <v>54</v>
      </c>
      <c r="E2518" s="85">
        <v>471</v>
      </c>
      <c r="F2518" s="86">
        <v>24</v>
      </c>
      <c r="G2518" s="87">
        <v>5.0955414000000001</v>
      </c>
    </row>
    <row r="2519" spans="1:7" x14ac:dyDescent="0.25">
      <c r="A2519" s="84" t="s">
        <v>414</v>
      </c>
      <c r="B2519" s="84" t="s">
        <v>101</v>
      </c>
      <c r="C2519" s="84" t="s">
        <v>392</v>
      </c>
      <c r="D2519" s="85">
        <v>889</v>
      </c>
      <c r="E2519" s="85">
        <v>9188</v>
      </c>
      <c r="F2519" s="86">
        <v>1609.4</v>
      </c>
      <c r="G2519" s="87">
        <v>17.516325999999999</v>
      </c>
    </row>
    <row r="2520" spans="1:7" x14ac:dyDescent="0.25">
      <c r="A2520" s="84" t="s">
        <v>415</v>
      </c>
      <c r="B2520" s="84" t="s">
        <v>101</v>
      </c>
      <c r="C2520" s="84" t="s">
        <v>392</v>
      </c>
      <c r="D2520" s="85">
        <v>1025</v>
      </c>
      <c r="E2520" s="85">
        <v>8672</v>
      </c>
      <c r="F2520" s="86">
        <v>1365</v>
      </c>
      <c r="G2520" s="87">
        <v>15.740314</v>
      </c>
    </row>
    <row r="2521" spans="1:7" x14ac:dyDescent="0.25">
      <c r="A2521" s="84" t="s">
        <v>416</v>
      </c>
      <c r="B2521" s="84" t="s">
        <v>101</v>
      </c>
      <c r="C2521" s="84" t="s">
        <v>392</v>
      </c>
      <c r="D2521" s="85">
        <v>19</v>
      </c>
      <c r="E2521" s="85">
        <v>5594</v>
      </c>
      <c r="F2521" s="86">
        <v>455.2</v>
      </c>
      <c r="G2521" s="87">
        <v>8.1372900000000001</v>
      </c>
    </row>
    <row r="2522" spans="1:7" x14ac:dyDescent="0.25">
      <c r="A2522" s="84" t="s">
        <v>2403</v>
      </c>
      <c r="B2522" s="84" t="s">
        <v>101</v>
      </c>
      <c r="C2522" s="84" t="s">
        <v>281</v>
      </c>
      <c r="D2522" s="85">
        <v>19324</v>
      </c>
      <c r="E2522" s="85">
        <v>222191</v>
      </c>
      <c r="F2522" s="86">
        <v>32598</v>
      </c>
      <c r="G2522" s="87">
        <v>14.671161</v>
      </c>
    </row>
    <row r="2523" spans="1:7" x14ac:dyDescent="0.25">
      <c r="A2523" s="84" t="s">
        <v>1680</v>
      </c>
      <c r="B2523" s="84" t="s">
        <v>101</v>
      </c>
      <c r="C2523" s="84" t="s">
        <v>278</v>
      </c>
      <c r="D2523" s="85">
        <v>62560</v>
      </c>
      <c r="E2523" s="85">
        <v>749665</v>
      </c>
      <c r="F2523" s="86">
        <v>78310</v>
      </c>
      <c r="G2523" s="87">
        <v>10.445999</v>
      </c>
    </row>
    <row r="2524" spans="1:7" x14ac:dyDescent="0.25">
      <c r="A2524" s="84" t="s">
        <v>1681</v>
      </c>
      <c r="B2524" s="84" t="s">
        <v>101</v>
      </c>
      <c r="C2524" s="84" t="s">
        <v>281</v>
      </c>
      <c r="D2524" s="85">
        <v>18859</v>
      </c>
      <c r="E2524" s="85">
        <v>168476</v>
      </c>
      <c r="F2524" s="86">
        <v>27616</v>
      </c>
      <c r="G2524" s="87">
        <v>16.391652000000001</v>
      </c>
    </row>
    <row r="2525" spans="1:7" x14ac:dyDescent="0.25">
      <c r="A2525" s="84" t="s">
        <v>1682</v>
      </c>
      <c r="B2525" s="84" t="s">
        <v>101</v>
      </c>
      <c r="C2525" s="84" t="s">
        <v>281</v>
      </c>
      <c r="D2525" s="85">
        <v>22127</v>
      </c>
      <c r="E2525" s="85">
        <v>285768</v>
      </c>
      <c r="F2525" s="86">
        <v>35361</v>
      </c>
      <c r="G2525" s="87">
        <v>12.374024</v>
      </c>
    </row>
    <row r="2526" spans="1:7" x14ac:dyDescent="0.25">
      <c r="A2526" s="84" t="s">
        <v>421</v>
      </c>
      <c r="B2526" s="84" t="s">
        <v>101</v>
      </c>
      <c r="C2526" s="84" t="s">
        <v>392</v>
      </c>
      <c r="D2526" s="85">
        <v>2763</v>
      </c>
      <c r="E2526" s="85">
        <v>20168</v>
      </c>
      <c r="F2526" s="86">
        <v>2645.7</v>
      </c>
      <c r="G2526" s="87">
        <v>13.118306</v>
      </c>
    </row>
    <row r="2527" spans="1:7" x14ac:dyDescent="0.25">
      <c r="A2527" s="84" t="s">
        <v>2752</v>
      </c>
      <c r="B2527" s="84" t="s">
        <v>101</v>
      </c>
      <c r="C2527" s="84" t="s">
        <v>281</v>
      </c>
      <c r="D2527" s="85">
        <v>8662</v>
      </c>
      <c r="E2527" s="85">
        <v>54601</v>
      </c>
      <c r="F2527" s="86">
        <v>9182</v>
      </c>
      <c r="G2527" s="87">
        <v>16.816541999999998</v>
      </c>
    </row>
    <row r="2528" spans="1:7" x14ac:dyDescent="0.25">
      <c r="A2528" s="84" t="s">
        <v>1683</v>
      </c>
      <c r="B2528" s="84" t="s">
        <v>101</v>
      </c>
      <c r="C2528" s="84" t="s">
        <v>278</v>
      </c>
      <c r="D2528" s="85">
        <v>6273</v>
      </c>
      <c r="E2528" s="85">
        <v>75307</v>
      </c>
      <c r="F2528" s="86">
        <v>9632</v>
      </c>
      <c r="G2528" s="87">
        <v>12.790312</v>
      </c>
    </row>
    <row r="2529" spans="1:7" x14ac:dyDescent="0.25">
      <c r="A2529" s="84" t="s">
        <v>2404</v>
      </c>
      <c r="B2529" s="84" t="s">
        <v>101</v>
      </c>
      <c r="C2529" s="84" t="s">
        <v>278</v>
      </c>
      <c r="D2529" s="85">
        <v>542979</v>
      </c>
      <c r="E2529" s="85">
        <v>7258037</v>
      </c>
      <c r="F2529" s="86">
        <v>756302.4</v>
      </c>
      <c r="G2529" s="87">
        <v>10.420206</v>
      </c>
    </row>
    <row r="2530" spans="1:7" x14ac:dyDescent="0.25">
      <c r="A2530" s="84" t="s">
        <v>2405</v>
      </c>
      <c r="B2530" s="84" t="s">
        <v>104</v>
      </c>
      <c r="C2530" s="84" t="s">
        <v>385</v>
      </c>
      <c r="D2530" s="85">
        <v>1952</v>
      </c>
      <c r="E2530" s="85">
        <v>13173</v>
      </c>
      <c r="F2530" s="86">
        <v>5356</v>
      </c>
      <c r="G2530" s="87">
        <v>40.658923999999999</v>
      </c>
    </row>
    <row r="2531" spans="1:7" x14ac:dyDescent="0.25">
      <c r="A2531" s="84" t="s">
        <v>2365</v>
      </c>
      <c r="B2531" s="84" t="s">
        <v>104</v>
      </c>
      <c r="C2531" s="84" t="s">
        <v>392</v>
      </c>
      <c r="D2531" s="85">
        <v>1</v>
      </c>
      <c r="E2531" s="85">
        <v>1148</v>
      </c>
      <c r="F2531" s="86">
        <v>45.7</v>
      </c>
      <c r="G2531" s="87">
        <v>3.9808362000000002</v>
      </c>
    </row>
    <row r="2532" spans="1:7" x14ac:dyDescent="0.25">
      <c r="A2532" s="84" t="s">
        <v>1686</v>
      </c>
      <c r="B2532" s="84" t="s">
        <v>104</v>
      </c>
      <c r="C2532" s="84" t="s">
        <v>283</v>
      </c>
      <c r="D2532" s="85">
        <v>4875</v>
      </c>
      <c r="E2532" s="85">
        <v>54299</v>
      </c>
      <c r="F2532" s="86">
        <v>8037</v>
      </c>
      <c r="G2532" s="87">
        <v>14.801378</v>
      </c>
    </row>
    <row r="2533" spans="1:7" x14ac:dyDescent="0.25">
      <c r="A2533" s="84" t="s">
        <v>408</v>
      </c>
      <c r="B2533" s="84" t="s">
        <v>104</v>
      </c>
      <c r="C2533" s="84" t="s">
        <v>392</v>
      </c>
      <c r="D2533" s="85">
        <v>309</v>
      </c>
      <c r="E2533" s="85">
        <v>3098</v>
      </c>
      <c r="F2533" s="86">
        <v>353</v>
      </c>
      <c r="G2533" s="87">
        <v>11.394448000000001</v>
      </c>
    </row>
    <row r="2534" spans="1:7" x14ac:dyDescent="0.25">
      <c r="A2534" s="84" t="s">
        <v>414</v>
      </c>
      <c r="B2534" s="84" t="s">
        <v>104</v>
      </c>
      <c r="C2534" s="84" t="s">
        <v>392</v>
      </c>
      <c r="D2534" s="85">
        <v>383</v>
      </c>
      <c r="E2534" s="85">
        <v>2408</v>
      </c>
      <c r="F2534" s="86">
        <v>397.7</v>
      </c>
      <c r="G2534" s="87">
        <v>16.515781</v>
      </c>
    </row>
    <row r="2535" spans="1:7" x14ac:dyDescent="0.25">
      <c r="A2535" s="84" t="s">
        <v>415</v>
      </c>
      <c r="B2535" s="84" t="s">
        <v>104</v>
      </c>
      <c r="C2535" s="84" t="s">
        <v>392</v>
      </c>
      <c r="D2535" s="85">
        <v>360</v>
      </c>
      <c r="E2535" s="85">
        <v>1591</v>
      </c>
      <c r="F2535" s="86">
        <v>353</v>
      </c>
      <c r="G2535" s="87">
        <v>22.187304000000001</v>
      </c>
    </row>
    <row r="2536" spans="1:7" x14ac:dyDescent="0.25">
      <c r="A2536" s="84" t="s">
        <v>1687</v>
      </c>
      <c r="B2536" s="84" t="s">
        <v>104</v>
      </c>
      <c r="C2536" s="84" t="s">
        <v>278</v>
      </c>
      <c r="D2536" s="85">
        <v>435889</v>
      </c>
      <c r="E2536" s="85">
        <v>3944340</v>
      </c>
      <c r="F2536" s="86">
        <v>793671.5</v>
      </c>
      <c r="G2536" s="87">
        <v>20.121782</v>
      </c>
    </row>
    <row r="2537" spans="1:7" x14ac:dyDescent="0.25">
      <c r="A2537" s="84" t="s">
        <v>421</v>
      </c>
      <c r="B2537" s="84" t="s">
        <v>104</v>
      </c>
      <c r="C2537" s="84" t="s">
        <v>392</v>
      </c>
      <c r="D2537" s="85">
        <v>98</v>
      </c>
      <c r="E2537" s="85">
        <v>508</v>
      </c>
      <c r="F2537" s="86">
        <v>93.4</v>
      </c>
      <c r="G2537" s="87">
        <v>18.385826999999999</v>
      </c>
    </row>
    <row r="2538" spans="1:7" x14ac:dyDescent="0.25">
      <c r="A2538" s="84" t="s">
        <v>1688</v>
      </c>
      <c r="B2538" s="84" t="s">
        <v>106</v>
      </c>
      <c r="C2538" s="84" t="s">
        <v>281</v>
      </c>
      <c r="D2538" s="85">
        <v>48059</v>
      </c>
      <c r="E2538" s="85">
        <v>938436</v>
      </c>
      <c r="F2538" s="86">
        <v>115739.8</v>
      </c>
      <c r="G2538" s="87">
        <v>12.333265000000001</v>
      </c>
    </row>
    <row r="2539" spans="1:7" x14ac:dyDescent="0.25">
      <c r="A2539" s="84" t="s">
        <v>2753</v>
      </c>
      <c r="B2539" s="84" t="s">
        <v>106</v>
      </c>
      <c r="C2539" s="84" t="s">
        <v>283</v>
      </c>
      <c r="D2539" s="85">
        <v>2058</v>
      </c>
      <c r="E2539" s="85">
        <v>45866</v>
      </c>
      <c r="F2539" s="86">
        <v>5604</v>
      </c>
      <c r="G2539" s="87">
        <v>12.218201000000001</v>
      </c>
    </row>
    <row r="2540" spans="1:7" x14ac:dyDescent="0.25">
      <c r="A2540" s="84" t="s">
        <v>1689</v>
      </c>
      <c r="B2540" s="84" t="s">
        <v>106</v>
      </c>
      <c r="C2540" s="84" t="s">
        <v>281</v>
      </c>
      <c r="D2540" s="85">
        <v>104044</v>
      </c>
      <c r="E2540" s="85">
        <v>3290736</v>
      </c>
      <c r="F2540" s="86">
        <v>317540</v>
      </c>
      <c r="G2540" s="87">
        <v>9.6495131000000001</v>
      </c>
    </row>
    <row r="2541" spans="1:7" x14ac:dyDescent="0.25">
      <c r="A2541" s="84" t="s">
        <v>1690</v>
      </c>
      <c r="B2541" s="84" t="s">
        <v>106</v>
      </c>
      <c r="C2541" s="84" t="s">
        <v>281</v>
      </c>
      <c r="D2541" s="85">
        <v>32714</v>
      </c>
      <c r="E2541" s="85">
        <v>704689</v>
      </c>
      <c r="F2541" s="86">
        <v>80221.3</v>
      </c>
      <c r="G2541" s="87">
        <v>11.383929999999999</v>
      </c>
    </row>
    <row r="2542" spans="1:7" x14ac:dyDescent="0.25">
      <c r="A2542" s="84" t="s">
        <v>1691</v>
      </c>
      <c r="B2542" s="84" t="s">
        <v>106</v>
      </c>
      <c r="C2542" s="84" t="s">
        <v>281</v>
      </c>
      <c r="D2542" s="85">
        <v>66733</v>
      </c>
      <c r="E2542" s="85">
        <v>1089406</v>
      </c>
      <c r="F2542" s="86">
        <v>149335.9</v>
      </c>
      <c r="G2542" s="87">
        <v>13.708012</v>
      </c>
    </row>
    <row r="2543" spans="1:7" x14ac:dyDescent="0.25">
      <c r="A2543" s="84" t="s">
        <v>1315</v>
      </c>
      <c r="B2543" s="84" t="s">
        <v>106</v>
      </c>
      <c r="C2543" s="84" t="s">
        <v>281</v>
      </c>
      <c r="D2543" s="85">
        <v>21661</v>
      </c>
      <c r="E2543" s="85">
        <v>389925</v>
      </c>
      <c r="F2543" s="86">
        <v>50904.9</v>
      </c>
      <c r="G2543" s="87">
        <v>13.055049</v>
      </c>
    </row>
    <row r="2544" spans="1:7" x14ac:dyDescent="0.25">
      <c r="A2544" s="84" t="s">
        <v>2754</v>
      </c>
      <c r="B2544" s="84" t="s">
        <v>106</v>
      </c>
      <c r="C2544" s="84" t="s">
        <v>283</v>
      </c>
      <c r="D2544" s="85">
        <v>3844</v>
      </c>
      <c r="E2544" s="85">
        <v>58000</v>
      </c>
      <c r="F2544" s="86">
        <v>7536</v>
      </c>
      <c r="G2544" s="87">
        <v>12.993103</v>
      </c>
    </row>
    <row r="2545" spans="1:7" x14ac:dyDescent="0.25">
      <c r="A2545" s="84" t="s">
        <v>1692</v>
      </c>
      <c r="B2545" s="84" t="s">
        <v>106</v>
      </c>
      <c r="C2545" s="84" t="s">
        <v>283</v>
      </c>
      <c r="D2545" s="85">
        <v>4373</v>
      </c>
      <c r="E2545" s="85">
        <v>79716</v>
      </c>
      <c r="F2545" s="86">
        <v>9716</v>
      </c>
      <c r="G2545" s="87">
        <v>12.188268000000001</v>
      </c>
    </row>
    <row r="2546" spans="1:7" x14ac:dyDescent="0.25">
      <c r="A2546" s="84" t="s">
        <v>1693</v>
      </c>
      <c r="B2546" s="84" t="s">
        <v>106</v>
      </c>
      <c r="C2546" s="84" t="s">
        <v>283</v>
      </c>
      <c r="D2546" s="85">
        <v>10924</v>
      </c>
      <c r="E2546" s="85">
        <v>177560</v>
      </c>
      <c r="F2546" s="86">
        <v>22666</v>
      </c>
      <c r="G2546" s="87">
        <v>12.765262</v>
      </c>
    </row>
    <row r="2547" spans="1:7" x14ac:dyDescent="0.25">
      <c r="A2547" s="84" t="s">
        <v>2755</v>
      </c>
      <c r="B2547" s="84" t="s">
        <v>106</v>
      </c>
      <c r="C2547" s="84" t="s">
        <v>283</v>
      </c>
      <c r="D2547" s="85">
        <v>485</v>
      </c>
      <c r="E2547" s="85">
        <v>12262</v>
      </c>
      <c r="F2547" s="86">
        <v>1351</v>
      </c>
      <c r="G2547" s="87">
        <v>11.017779000000001</v>
      </c>
    </row>
    <row r="2548" spans="1:7" x14ac:dyDescent="0.25">
      <c r="A2548" s="84" t="s">
        <v>1694</v>
      </c>
      <c r="B2548" s="84" t="s">
        <v>106</v>
      </c>
      <c r="C2548" s="84" t="s">
        <v>283</v>
      </c>
      <c r="D2548" s="85">
        <v>7407</v>
      </c>
      <c r="E2548" s="85">
        <v>230921</v>
      </c>
      <c r="F2548" s="86">
        <v>24526</v>
      </c>
      <c r="G2548" s="87">
        <v>10.620948</v>
      </c>
    </row>
    <row r="2549" spans="1:7" x14ac:dyDescent="0.25">
      <c r="A2549" s="84" t="s">
        <v>1695</v>
      </c>
      <c r="B2549" s="84" t="s">
        <v>106</v>
      </c>
      <c r="C2549" s="84" t="s">
        <v>283</v>
      </c>
      <c r="D2549" s="85">
        <v>5005</v>
      </c>
      <c r="E2549" s="85">
        <v>130276</v>
      </c>
      <c r="F2549" s="86">
        <v>11297</v>
      </c>
      <c r="G2549" s="87">
        <v>8.6715894999999996</v>
      </c>
    </row>
    <row r="2550" spans="1:7" x14ac:dyDescent="0.25">
      <c r="A2550" s="84" t="s">
        <v>1696</v>
      </c>
      <c r="B2550" s="84" t="s">
        <v>106</v>
      </c>
      <c r="C2550" s="84" t="s">
        <v>283</v>
      </c>
      <c r="D2550" s="85">
        <v>5362</v>
      </c>
      <c r="E2550" s="85">
        <v>112229</v>
      </c>
      <c r="F2550" s="86">
        <v>13303</v>
      </c>
      <c r="G2550" s="87">
        <v>11.853443</v>
      </c>
    </row>
    <row r="2551" spans="1:7" x14ac:dyDescent="0.25">
      <c r="A2551" s="84" t="s">
        <v>1697</v>
      </c>
      <c r="B2551" s="84" t="s">
        <v>106</v>
      </c>
      <c r="C2551" s="84" t="s">
        <v>283</v>
      </c>
      <c r="D2551" s="85">
        <v>4907</v>
      </c>
      <c r="E2551" s="85">
        <v>206595</v>
      </c>
      <c r="F2551" s="86">
        <v>24212</v>
      </c>
      <c r="G2551" s="87">
        <v>11.719548</v>
      </c>
    </row>
    <row r="2552" spans="1:7" x14ac:dyDescent="0.25">
      <c r="A2552" s="84" t="s">
        <v>1698</v>
      </c>
      <c r="B2552" s="84" t="s">
        <v>106</v>
      </c>
      <c r="C2552" s="84" t="s">
        <v>283</v>
      </c>
      <c r="D2552" s="85">
        <v>24421</v>
      </c>
      <c r="E2552" s="85">
        <v>838932</v>
      </c>
      <c r="F2552" s="86">
        <v>76773</v>
      </c>
      <c r="G2552" s="87">
        <v>9.1512781000000007</v>
      </c>
    </row>
    <row r="2553" spans="1:7" x14ac:dyDescent="0.25">
      <c r="A2553" s="84" t="s">
        <v>1699</v>
      </c>
      <c r="B2553" s="84" t="s">
        <v>106</v>
      </c>
      <c r="C2553" s="84" t="s">
        <v>283</v>
      </c>
      <c r="D2553" s="85">
        <v>39471</v>
      </c>
      <c r="E2553" s="85">
        <v>849164</v>
      </c>
      <c r="F2553" s="86">
        <v>108641.3</v>
      </c>
      <c r="G2553" s="87">
        <v>12.793913</v>
      </c>
    </row>
    <row r="2554" spans="1:7" x14ac:dyDescent="0.25">
      <c r="A2554" s="84" t="s">
        <v>1700</v>
      </c>
      <c r="B2554" s="84" t="s">
        <v>106</v>
      </c>
      <c r="C2554" s="84" t="s">
        <v>283</v>
      </c>
      <c r="D2554" s="85">
        <v>7629</v>
      </c>
      <c r="E2554" s="85">
        <v>137043</v>
      </c>
      <c r="F2554" s="86">
        <v>16491.7</v>
      </c>
      <c r="G2554" s="87">
        <v>12.03396</v>
      </c>
    </row>
    <row r="2555" spans="1:7" x14ac:dyDescent="0.25">
      <c r="A2555" s="84" t="s">
        <v>1701</v>
      </c>
      <c r="B2555" s="84" t="s">
        <v>106</v>
      </c>
      <c r="C2555" s="84" t="s">
        <v>283</v>
      </c>
      <c r="D2555" s="85">
        <v>6969</v>
      </c>
      <c r="E2555" s="85">
        <v>132939</v>
      </c>
      <c r="F2555" s="86">
        <v>16834</v>
      </c>
      <c r="G2555" s="87">
        <v>12.662951</v>
      </c>
    </row>
    <row r="2556" spans="1:7" x14ac:dyDescent="0.25">
      <c r="A2556" s="84" t="s">
        <v>2756</v>
      </c>
      <c r="B2556" s="84" t="s">
        <v>106</v>
      </c>
      <c r="C2556" s="84" t="s">
        <v>283</v>
      </c>
      <c r="D2556" s="85">
        <v>1490</v>
      </c>
      <c r="E2556" s="85">
        <v>25263</v>
      </c>
      <c r="F2556" s="86">
        <v>3954</v>
      </c>
      <c r="G2556" s="87">
        <v>15.651348</v>
      </c>
    </row>
    <row r="2557" spans="1:7" x14ac:dyDescent="0.25">
      <c r="A2557" s="84" t="s">
        <v>1702</v>
      </c>
      <c r="B2557" s="84" t="s">
        <v>106</v>
      </c>
      <c r="C2557" s="84" t="s">
        <v>283</v>
      </c>
      <c r="D2557" s="85">
        <v>4056</v>
      </c>
      <c r="E2557" s="85">
        <v>103117</v>
      </c>
      <c r="F2557" s="86">
        <v>13141</v>
      </c>
      <c r="G2557" s="87">
        <v>12.743776</v>
      </c>
    </row>
    <row r="2558" spans="1:7" x14ac:dyDescent="0.25">
      <c r="A2558" s="84" t="s">
        <v>1703</v>
      </c>
      <c r="B2558" s="84" t="s">
        <v>106</v>
      </c>
      <c r="C2558" s="84" t="s">
        <v>281</v>
      </c>
      <c r="D2558" s="85">
        <v>11683</v>
      </c>
      <c r="E2558" s="85">
        <v>176420</v>
      </c>
      <c r="F2558" s="86">
        <v>27222.9</v>
      </c>
      <c r="G2558" s="87">
        <v>15.430733</v>
      </c>
    </row>
    <row r="2559" spans="1:7" x14ac:dyDescent="0.25">
      <c r="A2559" s="84" t="s">
        <v>2406</v>
      </c>
      <c r="B2559" s="84" t="s">
        <v>106</v>
      </c>
      <c r="C2559" s="84" t="s">
        <v>278</v>
      </c>
      <c r="D2559" s="85">
        <v>743780</v>
      </c>
      <c r="E2559" s="85">
        <v>21983940</v>
      </c>
      <c r="F2559" s="86">
        <v>2453064</v>
      </c>
      <c r="G2559" s="87">
        <v>11.158436999999999</v>
      </c>
    </row>
    <row r="2560" spans="1:7" x14ac:dyDescent="0.25">
      <c r="A2560" s="84" t="s">
        <v>1338</v>
      </c>
      <c r="B2560" s="84" t="s">
        <v>106</v>
      </c>
      <c r="C2560" s="84" t="s">
        <v>278</v>
      </c>
      <c r="D2560" s="85">
        <v>603453</v>
      </c>
      <c r="E2560" s="85">
        <v>21388684</v>
      </c>
      <c r="F2560" s="86">
        <v>1822466.5</v>
      </c>
      <c r="G2560" s="87">
        <v>8.5207042000000008</v>
      </c>
    </row>
    <row r="2561" spans="1:7" x14ac:dyDescent="0.25">
      <c r="A2561" s="84" t="s">
        <v>1339</v>
      </c>
      <c r="B2561" s="84" t="s">
        <v>106</v>
      </c>
      <c r="C2561" s="84" t="s">
        <v>278</v>
      </c>
      <c r="D2561" s="85">
        <v>169885</v>
      </c>
      <c r="E2561" s="85">
        <v>6297009</v>
      </c>
      <c r="F2561" s="86">
        <v>583573.30000000005</v>
      </c>
      <c r="G2561" s="87">
        <v>9.2674681000000003</v>
      </c>
    </row>
    <row r="2562" spans="1:7" x14ac:dyDescent="0.25">
      <c r="A2562" s="84" t="s">
        <v>1704</v>
      </c>
      <c r="B2562" s="84" t="s">
        <v>106</v>
      </c>
      <c r="C2562" s="84" t="s">
        <v>283</v>
      </c>
      <c r="D2562" s="85">
        <v>14957</v>
      </c>
      <c r="E2562" s="85">
        <v>296592</v>
      </c>
      <c r="F2562" s="86">
        <v>36909</v>
      </c>
      <c r="G2562" s="87">
        <v>12.444368000000001</v>
      </c>
    </row>
    <row r="2563" spans="1:7" x14ac:dyDescent="0.25">
      <c r="A2563" s="84" t="s">
        <v>1705</v>
      </c>
      <c r="B2563" s="84" t="s">
        <v>106</v>
      </c>
      <c r="C2563" s="84" t="s">
        <v>281</v>
      </c>
      <c r="D2563" s="85">
        <v>20308</v>
      </c>
      <c r="E2563" s="85">
        <v>376856</v>
      </c>
      <c r="F2563" s="86">
        <v>49640.4</v>
      </c>
      <c r="G2563" s="87">
        <v>13.172245999999999</v>
      </c>
    </row>
    <row r="2564" spans="1:7" x14ac:dyDescent="0.25">
      <c r="A2564" s="84" t="s">
        <v>1706</v>
      </c>
      <c r="B2564" s="84" t="s">
        <v>106</v>
      </c>
      <c r="C2564" s="84" t="s">
        <v>281</v>
      </c>
      <c r="D2564" s="85">
        <v>29843</v>
      </c>
      <c r="E2564" s="85">
        <v>679003</v>
      </c>
      <c r="F2564" s="86">
        <v>75823</v>
      </c>
      <c r="G2564" s="87">
        <v>11.166814</v>
      </c>
    </row>
    <row r="2565" spans="1:7" x14ac:dyDescent="0.25">
      <c r="A2565" s="84" t="s">
        <v>2365</v>
      </c>
      <c r="B2565" s="84" t="s">
        <v>106</v>
      </c>
      <c r="C2565" s="84" t="s">
        <v>392</v>
      </c>
      <c r="D2565" s="85">
        <v>1</v>
      </c>
      <c r="E2565" s="85">
        <v>3277</v>
      </c>
      <c r="F2565" s="86">
        <v>496.8</v>
      </c>
      <c r="G2565" s="87">
        <v>15.160208000000001</v>
      </c>
    </row>
    <row r="2566" spans="1:7" x14ac:dyDescent="0.25">
      <c r="A2566" s="84" t="s">
        <v>1707</v>
      </c>
      <c r="B2566" s="84" t="s">
        <v>106</v>
      </c>
      <c r="C2566" s="84" t="s">
        <v>283</v>
      </c>
      <c r="D2566" s="85">
        <v>14128</v>
      </c>
      <c r="E2566" s="85">
        <v>303784</v>
      </c>
      <c r="F2566" s="86">
        <v>22747</v>
      </c>
      <c r="G2566" s="87">
        <v>7.4878860999999999</v>
      </c>
    </row>
    <row r="2567" spans="1:7" x14ac:dyDescent="0.25">
      <c r="A2567" s="84" t="s">
        <v>1708</v>
      </c>
      <c r="B2567" s="84" t="s">
        <v>106</v>
      </c>
      <c r="C2567" s="84" t="s">
        <v>283</v>
      </c>
      <c r="D2567" s="85">
        <v>27976</v>
      </c>
      <c r="E2567" s="85">
        <v>389031</v>
      </c>
      <c r="F2567" s="86">
        <v>46891</v>
      </c>
      <c r="G2567" s="87">
        <v>12.053281</v>
      </c>
    </row>
    <row r="2568" spans="1:7" x14ac:dyDescent="0.25">
      <c r="A2568" s="84" t="s">
        <v>622</v>
      </c>
      <c r="B2568" s="84" t="s">
        <v>106</v>
      </c>
      <c r="C2568" s="84" t="s">
        <v>281</v>
      </c>
      <c r="D2568" s="85">
        <v>14</v>
      </c>
      <c r="E2568" s="85">
        <v>78</v>
      </c>
      <c r="F2568" s="86">
        <v>14</v>
      </c>
      <c r="G2568" s="87">
        <v>17.948718</v>
      </c>
    </row>
    <row r="2569" spans="1:7" x14ac:dyDescent="0.25">
      <c r="A2569" s="84" t="s">
        <v>1709</v>
      </c>
      <c r="B2569" s="84" t="s">
        <v>106</v>
      </c>
      <c r="C2569" s="84" t="s">
        <v>281</v>
      </c>
      <c r="D2569" s="85">
        <v>81919</v>
      </c>
      <c r="E2569" s="85">
        <v>1209397</v>
      </c>
      <c r="F2569" s="86">
        <v>165224</v>
      </c>
      <c r="G2569" s="87">
        <v>13.661683999999999</v>
      </c>
    </row>
    <row r="2570" spans="1:7" x14ac:dyDescent="0.25">
      <c r="A2570" s="84" t="s">
        <v>1710</v>
      </c>
      <c r="B2570" s="84" t="s">
        <v>106</v>
      </c>
      <c r="C2570" s="84" t="s">
        <v>281</v>
      </c>
      <c r="D2570" s="85">
        <v>59031</v>
      </c>
      <c r="E2570" s="85">
        <v>1091160</v>
      </c>
      <c r="F2570" s="86">
        <v>136923</v>
      </c>
      <c r="G2570" s="87">
        <v>12.548389</v>
      </c>
    </row>
    <row r="2571" spans="1:7" x14ac:dyDescent="0.25">
      <c r="A2571" s="84" t="s">
        <v>1711</v>
      </c>
      <c r="B2571" s="84" t="s">
        <v>106</v>
      </c>
      <c r="C2571" s="84" t="s">
        <v>281</v>
      </c>
      <c r="D2571" s="85">
        <v>14347</v>
      </c>
      <c r="E2571" s="85">
        <v>190933</v>
      </c>
      <c r="F2571" s="86">
        <v>28425.9</v>
      </c>
      <c r="G2571" s="87">
        <v>14.887893</v>
      </c>
    </row>
    <row r="2572" spans="1:7" x14ac:dyDescent="0.25">
      <c r="A2572" s="84" t="s">
        <v>1712</v>
      </c>
      <c r="B2572" s="84" t="s">
        <v>106</v>
      </c>
      <c r="C2572" s="84" t="s">
        <v>278</v>
      </c>
      <c r="D2572" s="85">
        <v>6177</v>
      </c>
      <c r="E2572" s="85">
        <v>201032</v>
      </c>
      <c r="F2572" s="86">
        <v>18932.900000000001</v>
      </c>
      <c r="G2572" s="87">
        <v>9.4178539000000008</v>
      </c>
    </row>
    <row r="2573" spans="1:7" x14ac:dyDescent="0.25">
      <c r="A2573" s="84" t="s">
        <v>1713</v>
      </c>
      <c r="B2573" s="84" t="s">
        <v>106</v>
      </c>
      <c r="C2573" s="84" t="s">
        <v>281</v>
      </c>
      <c r="D2573" s="85">
        <v>21486</v>
      </c>
      <c r="E2573" s="85">
        <v>450257</v>
      </c>
      <c r="F2573" s="86">
        <v>52453</v>
      </c>
      <c r="G2573" s="87">
        <v>11.649569</v>
      </c>
    </row>
    <row r="2574" spans="1:7" x14ac:dyDescent="0.25">
      <c r="A2574" s="84" t="s">
        <v>1714</v>
      </c>
      <c r="B2574" s="84" t="s">
        <v>106</v>
      </c>
      <c r="C2574" s="84" t="s">
        <v>281</v>
      </c>
      <c r="D2574" s="85">
        <v>6477</v>
      </c>
      <c r="E2574" s="85">
        <v>909656</v>
      </c>
      <c r="F2574" s="86">
        <v>67678</v>
      </c>
      <c r="G2574" s="87">
        <v>7.4399553000000003</v>
      </c>
    </row>
    <row r="2575" spans="1:7" x14ac:dyDescent="0.25">
      <c r="A2575" s="84" t="s">
        <v>1715</v>
      </c>
      <c r="B2575" s="84" t="s">
        <v>106</v>
      </c>
      <c r="C2575" s="84" t="s">
        <v>281</v>
      </c>
      <c r="D2575" s="85">
        <v>57040</v>
      </c>
      <c r="E2575" s="85">
        <v>1042517</v>
      </c>
      <c r="F2575" s="86">
        <v>129344.4</v>
      </c>
      <c r="G2575" s="87">
        <v>12.406934</v>
      </c>
    </row>
    <row r="2576" spans="1:7" x14ac:dyDescent="0.25">
      <c r="A2576" s="84" t="s">
        <v>1716</v>
      </c>
      <c r="B2576" s="84" t="s">
        <v>106</v>
      </c>
      <c r="C2576" s="84" t="s">
        <v>281</v>
      </c>
      <c r="D2576" s="85">
        <v>13050</v>
      </c>
      <c r="E2576" s="85">
        <v>348510</v>
      </c>
      <c r="F2576" s="86">
        <v>37227</v>
      </c>
      <c r="G2576" s="87">
        <v>10.681759</v>
      </c>
    </row>
    <row r="2577" spans="1:7" x14ac:dyDescent="0.25">
      <c r="A2577" s="84" t="s">
        <v>1717</v>
      </c>
      <c r="B2577" s="84" t="s">
        <v>106</v>
      </c>
      <c r="C2577" s="84" t="s">
        <v>281</v>
      </c>
      <c r="D2577" s="85">
        <v>74071</v>
      </c>
      <c r="E2577" s="85">
        <v>1510043</v>
      </c>
      <c r="F2577" s="86">
        <v>171319</v>
      </c>
      <c r="G2577" s="87">
        <v>11.345306000000001</v>
      </c>
    </row>
    <row r="2578" spans="1:7" x14ac:dyDescent="0.25">
      <c r="A2578" s="84" t="s">
        <v>1718</v>
      </c>
      <c r="B2578" s="84" t="s">
        <v>106</v>
      </c>
      <c r="C2578" s="84" t="s">
        <v>281</v>
      </c>
      <c r="D2578" s="85">
        <v>30490</v>
      </c>
      <c r="E2578" s="85">
        <v>706695</v>
      </c>
      <c r="F2578" s="86">
        <v>83592</v>
      </c>
      <c r="G2578" s="87">
        <v>11.828582000000001</v>
      </c>
    </row>
    <row r="2579" spans="1:7" x14ac:dyDescent="0.25">
      <c r="A2579" s="84" t="s">
        <v>1719</v>
      </c>
      <c r="B2579" s="84" t="s">
        <v>106</v>
      </c>
      <c r="C2579" s="84" t="s">
        <v>281</v>
      </c>
      <c r="D2579" s="85">
        <v>43484</v>
      </c>
      <c r="E2579" s="85">
        <v>1243324</v>
      </c>
      <c r="F2579" s="86">
        <v>131153</v>
      </c>
      <c r="G2579" s="87">
        <v>10.548577999999999</v>
      </c>
    </row>
    <row r="2580" spans="1:7" x14ac:dyDescent="0.25">
      <c r="A2580" s="84" t="s">
        <v>1721</v>
      </c>
      <c r="B2580" s="84" t="s">
        <v>106</v>
      </c>
      <c r="C2580" s="84" t="s">
        <v>174</v>
      </c>
      <c r="D2580" s="85">
        <v>189205</v>
      </c>
      <c r="E2580" s="85">
        <v>8318204</v>
      </c>
      <c r="F2580" s="86">
        <v>632999</v>
      </c>
      <c r="G2580" s="87">
        <v>7.6098037999999999</v>
      </c>
    </row>
    <row r="2581" spans="1:7" x14ac:dyDescent="0.25">
      <c r="A2581" s="84" t="s">
        <v>415</v>
      </c>
      <c r="B2581" s="84" t="s">
        <v>106</v>
      </c>
      <c r="C2581" s="84" t="s">
        <v>392</v>
      </c>
      <c r="D2581" s="85">
        <v>6737</v>
      </c>
      <c r="E2581" s="85">
        <v>70707</v>
      </c>
      <c r="F2581" s="86">
        <v>10130</v>
      </c>
      <c r="G2581" s="87">
        <v>14.326729</v>
      </c>
    </row>
    <row r="2582" spans="1:7" x14ac:dyDescent="0.25">
      <c r="A2582" s="84" t="s">
        <v>2757</v>
      </c>
      <c r="B2582" s="84" t="s">
        <v>106</v>
      </c>
      <c r="C2582" s="84" t="s">
        <v>283</v>
      </c>
      <c r="D2582" s="85">
        <v>1090</v>
      </c>
      <c r="E2582" s="85">
        <v>17352</v>
      </c>
      <c r="F2582" s="86">
        <v>2358</v>
      </c>
      <c r="G2582" s="87">
        <v>13.589212</v>
      </c>
    </row>
    <row r="2583" spans="1:7" x14ac:dyDescent="0.25">
      <c r="A2583" s="84" t="s">
        <v>2758</v>
      </c>
      <c r="B2583" s="84" t="s">
        <v>106</v>
      </c>
      <c r="C2583" s="84" t="s">
        <v>283</v>
      </c>
      <c r="D2583" s="85">
        <v>817</v>
      </c>
      <c r="E2583" s="85">
        <v>10749</v>
      </c>
      <c r="F2583" s="86">
        <v>1494</v>
      </c>
      <c r="G2583" s="87">
        <v>13.898967000000001</v>
      </c>
    </row>
    <row r="2584" spans="1:7" x14ac:dyDescent="0.25">
      <c r="A2584" s="84" t="s">
        <v>2759</v>
      </c>
      <c r="B2584" s="84" t="s">
        <v>106</v>
      </c>
      <c r="C2584" s="84" t="s">
        <v>283</v>
      </c>
      <c r="D2584" s="85">
        <v>3163</v>
      </c>
      <c r="E2584" s="85">
        <v>52164</v>
      </c>
      <c r="F2584" s="86">
        <v>6612</v>
      </c>
      <c r="G2584" s="87">
        <v>12.675407999999999</v>
      </c>
    </row>
    <row r="2585" spans="1:7" x14ac:dyDescent="0.25">
      <c r="A2585" s="84" t="s">
        <v>2407</v>
      </c>
      <c r="B2585" s="84" t="s">
        <v>106</v>
      </c>
      <c r="C2585" s="84" t="s">
        <v>281</v>
      </c>
      <c r="D2585" s="85">
        <v>18085</v>
      </c>
      <c r="E2585" s="85">
        <v>305973</v>
      </c>
      <c r="F2585" s="86">
        <v>43931.9</v>
      </c>
      <c r="G2585" s="87">
        <v>14.358097000000001</v>
      </c>
    </row>
    <row r="2586" spans="1:7" x14ac:dyDescent="0.25">
      <c r="A2586" s="84" t="s">
        <v>421</v>
      </c>
      <c r="B2586" s="84" t="s">
        <v>106</v>
      </c>
      <c r="C2586" s="84" t="s">
        <v>392</v>
      </c>
      <c r="D2586" s="85">
        <v>902</v>
      </c>
      <c r="E2586" s="85">
        <v>8800</v>
      </c>
      <c r="F2586" s="86">
        <v>1240.3</v>
      </c>
      <c r="G2586" s="87">
        <v>14.094317999999999</v>
      </c>
    </row>
    <row r="2587" spans="1:7" x14ac:dyDescent="0.25">
      <c r="A2587" s="84" t="s">
        <v>1375</v>
      </c>
      <c r="B2587" s="84" t="s">
        <v>106</v>
      </c>
      <c r="C2587" s="84" t="s">
        <v>281</v>
      </c>
      <c r="D2587" s="85">
        <v>62320</v>
      </c>
      <c r="E2587" s="85">
        <v>1070398</v>
      </c>
      <c r="F2587" s="86">
        <v>126054</v>
      </c>
      <c r="G2587" s="87">
        <v>11.776367</v>
      </c>
    </row>
    <row r="2588" spans="1:7" x14ac:dyDescent="0.25">
      <c r="A2588" s="84" t="s">
        <v>1722</v>
      </c>
      <c r="B2588" s="84" t="s">
        <v>109</v>
      </c>
      <c r="C2588" s="84" t="s">
        <v>281</v>
      </c>
      <c r="D2588" s="85">
        <v>10265</v>
      </c>
      <c r="E2588" s="85">
        <v>153893</v>
      </c>
      <c r="F2588" s="86">
        <v>21270.799999999999</v>
      </c>
      <c r="G2588" s="87">
        <v>13.821811</v>
      </c>
    </row>
    <row r="2589" spans="1:7" x14ac:dyDescent="0.25">
      <c r="A2589" s="84" t="s">
        <v>1291</v>
      </c>
      <c r="B2589" s="84" t="s">
        <v>109</v>
      </c>
      <c r="C2589" s="84" t="s">
        <v>278</v>
      </c>
      <c r="D2589" s="85">
        <v>70358</v>
      </c>
      <c r="E2589" s="85">
        <v>1502916</v>
      </c>
      <c r="F2589" s="86">
        <v>177915.8</v>
      </c>
      <c r="G2589" s="87">
        <v>11.838039999999999</v>
      </c>
    </row>
    <row r="2590" spans="1:7" x14ac:dyDescent="0.25">
      <c r="A2590" s="84" t="s">
        <v>1723</v>
      </c>
      <c r="B2590" s="84" t="s">
        <v>109</v>
      </c>
      <c r="C2590" s="84" t="s">
        <v>281</v>
      </c>
      <c r="D2590" s="85">
        <v>3717</v>
      </c>
      <c r="E2590" s="85">
        <v>94330</v>
      </c>
      <c r="F2590" s="86">
        <v>10610.8</v>
      </c>
      <c r="G2590" s="87">
        <v>11.248595</v>
      </c>
    </row>
    <row r="2591" spans="1:7" x14ac:dyDescent="0.25">
      <c r="A2591" s="84" t="s">
        <v>1724</v>
      </c>
      <c r="B2591" s="84" t="s">
        <v>109</v>
      </c>
      <c r="C2591" s="84" t="s">
        <v>281</v>
      </c>
      <c r="D2591" s="85">
        <v>6249</v>
      </c>
      <c r="E2591" s="85">
        <v>105858</v>
      </c>
      <c r="F2591" s="86">
        <v>14399.9</v>
      </c>
      <c r="G2591" s="87">
        <v>13.603033999999999</v>
      </c>
    </row>
    <row r="2592" spans="1:7" x14ac:dyDescent="0.25">
      <c r="A2592" s="84" t="s">
        <v>1725</v>
      </c>
      <c r="B2592" s="84" t="s">
        <v>109</v>
      </c>
      <c r="C2592" s="84" t="s">
        <v>281</v>
      </c>
      <c r="D2592" s="85">
        <v>2474</v>
      </c>
      <c r="E2592" s="85">
        <v>60966</v>
      </c>
      <c r="F2592" s="86">
        <v>7308.5</v>
      </c>
      <c r="G2592" s="87">
        <v>11.987829</v>
      </c>
    </row>
    <row r="2593" spans="1:7" x14ac:dyDescent="0.25">
      <c r="A2593" s="84" t="s">
        <v>1726</v>
      </c>
      <c r="B2593" s="84" t="s">
        <v>109</v>
      </c>
      <c r="C2593" s="84" t="s">
        <v>281</v>
      </c>
      <c r="D2593" s="85">
        <v>7214</v>
      </c>
      <c r="E2593" s="85">
        <v>335910</v>
      </c>
      <c r="F2593" s="86">
        <v>34109.300000000003</v>
      </c>
      <c r="G2593" s="87">
        <v>10.154297</v>
      </c>
    </row>
    <row r="2594" spans="1:7" x14ac:dyDescent="0.25">
      <c r="A2594" s="84" t="s">
        <v>1727</v>
      </c>
      <c r="B2594" s="84" t="s">
        <v>109</v>
      </c>
      <c r="C2594" s="84" t="s">
        <v>281</v>
      </c>
      <c r="D2594" s="85">
        <v>2552</v>
      </c>
      <c r="E2594" s="85">
        <v>65653</v>
      </c>
      <c r="F2594" s="86">
        <v>8008</v>
      </c>
      <c r="G2594" s="87">
        <v>12.197462</v>
      </c>
    </row>
    <row r="2595" spans="1:7" x14ac:dyDescent="0.25">
      <c r="A2595" s="84" t="s">
        <v>1397</v>
      </c>
      <c r="B2595" s="84" t="s">
        <v>109</v>
      </c>
      <c r="C2595" s="84" t="s">
        <v>281</v>
      </c>
      <c r="D2595" s="85">
        <v>4884</v>
      </c>
      <c r="E2595" s="85">
        <v>110624</v>
      </c>
      <c r="F2595" s="86">
        <v>10631.9</v>
      </c>
      <c r="G2595" s="87">
        <v>9.6108439000000008</v>
      </c>
    </row>
    <row r="2596" spans="1:7" x14ac:dyDescent="0.25">
      <c r="A2596" s="84" t="s">
        <v>2760</v>
      </c>
      <c r="B2596" s="84" t="s">
        <v>109</v>
      </c>
      <c r="C2596" s="84" t="s">
        <v>283</v>
      </c>
      <c r="D2596" s="85">
        <v>589</v>
      </c>
      <c r="E2596" s="85">
        <v>10770</v>
      </c>
      <c r="F2596" s="86">
        <v>1514.3</v>
      </c>
      <c r="G2596" s="87">
        <v>14.060352999999999</v>
      </c>
    </row>
    <row r="2597" spans="1:7" x14ac:dyDescent="0.25">
      <c r="A2597" s="84" t="s">
        <v>2761</v>
      </c>
      <c r="B2597" s="84" t="s">
        <v>109</v>
      </c>
      <c r="C2597" s="84" t="s">
        <v>283</v>
      </c>
      <c r="D2597" s="85">
        <v>478</v>
      </c>
      <c r="E2597" s="85">
        <v>5997</v>
      </c>
      <c r="F2597" s="86">
        <v>644.4</v>
      </c>
      <c r="G2597" s="87">
        <v>10.745373000000001</v>
      </c>
    </row>
    <row r="2598" spans="1:7" x14ac:dyDescent="0.25">
      <c r="A2598" s="84" t="s">
        <v>2762</v>
      </c>
      <c r="B2598" s="84" t="s">
        <v>109</v>
      </c>
      <c r="C2598" s="84" t="s">
        <v>283</v>
      </c>
      <c r="D2598" s="85">
        <v>83</v>
      </c>
      <c r="E2598" s="85">
        <v>1692</v>
      </c>
      <c r="F2598" s="86">
        <v>188.6</v>
      </c>
      <c r="G2598" s="87">
        <v>11.146572000000001</v>
      </c>
    </row>
    <row r="2599" spans="1:7" x14ac:dyDescent="0.25">
      <c r="A2599" s="84" t="s">
        <v>1728</v>
      </c>
      <c r="B2599" s="84" t="s">
        <v>109</v>
      </c>
      <c r="C2599" s="84" t="s">
        <v>283</v>
      </c>
      <c r="D2599" s="85">
        <v>1206</v>
      </c>
      <c r="E2599" s="85">
        <v>32473</v>
      </c>
      <c r="F2599" s="86">
        <v>3782</v>
      </c>
      <c r="G2599" s="87">
        <v>11.646599</v>
      </c>
    </row>
    <row r="2600" spans="1:7" x14ac:dyDescent="0.25">
      <c r="A2600" s="84" t="s">
        <v>2763</v>
      </c>
      <c r="B2600" s="84" t="s">
        <v>109</v>
      </c>
      <c r="C2600" s="84" t="s">
        <v>283</v>
      </c>
      <c r="D2600" s="85">
        <v>402</v>
      </c>
      <c r="E2600" s="85">
        <v>12417</v>
      </c>
      <c r="F2600" s="86">
        <v>1132</v>
      </c>
      <c r="G2600" s="87">
        <v>9.1165337999999991</v>
      </c>
    </row>
    <row r="2601" spans="1:7" x14ac:dyDescent="0.25">
      <c r="A2601" s="84" t="s">
        <v>1729</v>
      </c>
      <c r="B2601" s="84" t="s">
        <v>109</v>
      </c>
      <c r="C2601" s="84" t="s">
        <v>283</v>
      </c>
      <c r="D2601" s="85">
        <v>11237</v>
      </c>
      <c r="E2601" s="85">
        <v>320884</v>
      </c>
      <c r="F2601" s="86">
        <v>29947</v>
      </c>
      <c r="G2601" s="87">
        <v>9.3326560000000001</v>
      </c>
    </row>
    <row r="2602" spans="1:7" x14ac:dyDescent="0.25">
      <c r="A2602" s="84" t="s">
        <v>2764</v>
      </c>
      <c r="B2602" s="84" t="s">
        <v>109</v>
      </c>
      <c r="C2602" s="84" t="s">
        <v>283</v>
      </c>
      <c r="D2602" s="85">
        <v>249</v>
      </c>
      <c r="E2602" s="85">
        <v>3790</v>
      </c>
      <c r="F2602" s="86">
        <v>526.6</v>
      </c>
      <c r="G2602" s="87">
        <v>13.894458999999999</v>
      </c>
    </row>
    <row r="2603" spans="1:7" x14ac:dyDescent="0.25">
      <c r="A2603" s="84" t="s">
        <v>2765</v>
      </c>
      <c r="B2603" s="84" t="s">
        <v>109</v>
      </c>
      <c r="C2603" s="84" t="s">
        <v>283</v>
      </c>
      <c r="D2603" s="85">
        <v>465</v>
      </c>
      <c r="E2603" s="85">
        <v>6904</v>
      </c>
      <c r="F2603" s="86">
        <v>635</v>
      </c>
      <c r="G2603" s="87">
        <v>9.1975666</v>
      </c>
    </row>
    <row r="2604" spans="1:7" x14ac:dyDescent="0.25">
      <c r="A2604" s="84" t="s">
        <v>2766</v>
      </c>
      <c r="B2604" s="84" t="s">
        <v>109</v>
      </c>
      <c r="C2604" s="84" t="s">
        <v>283</v>
      </c>
      <c r="D2604" s="85">
        <v>355</v>
      </c>
      <c r="E2604" s="85">
        <v>10061</v>
      </c>
      <c r="F2604" s="86">
        <v>1007.3</v>
      </c>
      <c r="G2604" s="87">
        <v>10.011927</v>
      </c>
    </row>
    <row r="2605" spans="1:7" x14ac:dyDescent="0.25">
      <c r="A2605" s="84" t="s">
        <v>2767</v>
      </c>
      <c r="B2605" s="84" t="s">
        <v>109</v>
      </c>
      <c r="C2605" s="84" t="s">
        <v>283</v>
      </c>
      <c r="D2605" s="85">
        <v>995</v>
      </c>
      <c r="E2605" s="85">
        <v>17975</v>
      </c>
      <c r="F2605" s="86">
        <v>2051</v>
      </c>
      <c r="G2605" s="87">
        <v>11.410292</v>
      </c>
    </row>
    <row r="2606" spans="1:7" x14ac:dyDescent="0.25">
      <c r="A2606" s="84" t="s">
        <v>2768</v>
      </c>
      <c r="B2606" s="84" t="s">
        <v>109</v>
      </c>
      <c r="C2606" s="84" t="s">
        <v>283</v>
      </c>
      <c r="D2606" s="85">
        <v>408</v>
      </c>
      <c r="E2606" s="85">
        <v>7373</v>
      </c>
      <c r="F2606" s="86">
        <v>683.2</v>
      </c>
      <c r="G2606" s="87">
        <v>9.2662417000000001</v>
      </c>
    </row>
    <row r="2607" spans="1:7" x14ac:dyDescent="0.25">
      <c r="A2607" s="84" t="s">
        <v>2769</v>
      </c>
      <c r="B2607" s="84" t="s">
        <v>109</v>
      </c>
      <c r="C2607" s="84" t="s">
        <v>283</v>
      </c>
      <c r="D2607" s="85">
        <v>269</v>
      </c>
      <c r="E2607" s="85">
        <v>5282</v>
      </c>
      <c r="F2607" s="86">
        <v>590</v>
      </c>
      <c r="G2607" s="87">
        <v>11.170011000000001</v>
      </c>
    </row>
    <row r="2608" spans="1:7" x14ac:dyDescent="0.25">
      <c r="A2608" s="84" t="s">
        <v>1730</v>
      </c>
      <c r="B2608" s="84" t="s">
        <v>109</v>
      </c>
      <c r="C2608" s="84" t="s">
        <v>283</v>
      </c>
      <c r="D2608" s="85">
        <v>1363</v>
      </c>
      <c r="E2608" s="85">
        <v>28186</v>
      </c>
      <c r="F2608" s="86">
        <v>2870.9</v>
      </c>
      <c r="G2608" s="87">
        <v>10.185553000000001</v>
      </c>
    </row>
    <row r="2609" spans="1:7" x14ac:dyDescent="0.25">
      <c r="A2609" s="84" t="s">
        <v>1731</v>
      </c>
      <c r="B2609" s="84" t="s">
        <v>109</v>
      </c>
      <c r="C2609" s="84" t="s">
        <v>283</v>
      </c>
      <c r="D2609" s="85">
        <v>1365</v>
      </c>
      <c r="E2609" s="85">
        <v>27682</v>
      </c>
      <c r="F2609" s="86">
        <v>2617</v>
      </c>
      <c r="G2609" s="87">
        <v>9.4537966999999998</v>
      </c>
    </row>
    <row r="2610" spans="1:7" x14ac:dyDescent="0.25">
      <c r="A2610" s="84" t="s">
        <v>2770</v>
      </c>
      <c r="B2610" s="84" t="s">
        <v>109</v>
      </c>
      <c r="C2610" s="84" t="s">
        <v>283</v>
      </c>
      <c r="D2610" s="85">
        <v>577</v>
      </c>
      <c r="E2610" s="85">
        <v>16882</v>
      </c>
      <c r="F2610" s="86">
        <v>1768.9</v>
      </c>
      <c r="G2610" s="87">
        <v>10.478024</v>
      </c>
    </row>
    <row r="2611" spans="1:7" x14ac:dyDescent="0.25">
      <c r="A2611" s="84" t="s">
        <v>2771</v>
      </c>
      <c r="B2611" s="84" t="s">
        <v>109</v>
      </c>
      <c r="C2611" s="84" t="s">
        <v>283</v>
      </c>
      <c r="D2611" s="85">
        <v>315</v>
      </c>
      <c r="E2611" s="85">
        <v>3657</v>
      </c>
      <c r="F2611" s="86">
        <v>356</v>
      </c>
      <c r="G2611" s="87">
        <v>9.7347552999999998</v>
      </c>
    </row>
    <row r="2612" spans="1:7" x14ac:dyDescent="0.25">
      <c r="A2612" s="84" t="s">
        <v>2772</v>
      </c>
      <c r="B2612" s="84" t="s">
        <v>109</v>
      </c>
      <c r="C2612" s="84" t="s">
        <v>283</v>
      </c>
      <c r="D2612" s="85">
        <v>630</v>
      </c>
      <c r="E2612" s="85">
        <v>13568</v>
      </c>
      <c r="F2612" s="86">
        <v>1336.7</v>
      </c>
      <c r="G2612" s="87">
        <v>9.8518573000000007</v>
      </c>
    </row>
    <row r="2613" spans="1:7" x14ac:dyDescent="0.25">
      <c r="A2613" s="84" t="s">
        <v>1732</v>
      </c>
      <c r="B2613" s="84" t="s">
        <v>109</v>
      </c>
      <c r="C2613" s="84" t="s">
        <v>283</v>
      </c>
      <c r="D2613" s="85">
        <v>3331</v>
      </c>
      <c r="E2613" s="85">
        <v>101133</v>
      </c>
      <c r="F2613" s="86">
        <v>10391</v>
      </c>
      <c r="G2613" s="87">
        <v>10.274589000000001</v>
      </c>
    </row>
    <row r="2614" spans="1:7" x14ac:dyDescent="0.25">
      <c r="A2614" s="84" t="s">
        <v>2773</v>
      </c>
      <c r="B2614" s="84" t="s">
        <v>109</v>
      </c>
      <c r="C2614" s="84" t="s">
        <v>283</v>
      </c>
      <c r="D2614" s="85">
        <v>365</v>
      </c>
      <c r="E2614" s="85">
        <v>6491</v>
      </c>
      <c r="F2614" s="86">
        <v>635</v>
      </c>
      <c r="G2614" s="87">
        <v>9.7827762000000007</v>
      </c>
    </row>
    <row r="2615" spans="1:7" x14ac:dyDescent="0.25">
      <c r="A2615" s="84" t="s">
        <v>1733</v>
      </c>
      <c r="B2615" s="84" t="s">
        <v>109</v>
      </c>
      <c r="C2615" s="84" t="s">
        <v>283</v>
      </c>
      <c r="D2615" s="85">
        <v>953</v>
      </c>
      <c r="E2615" s="85">
        <v>22318</v>
      </c>
      <c r="F2615" s="86">
        <v>2148</v>
      </c>
      <c r="G2615" s="87">
        <v>9.6245183000000001</v>
      </c>
    </row>
    <row r="2616" spans="1:7" x14ac:dyDescent="0.25">
      <c r="A2616" s="84" t="s">
        <v>2774</v>
      </c>
      <c r="B2616" s="84" t="s">
        <v>109</v>
      </c>
      <c r="C2616" s="84" t="s">
        <v>283</v>
      </c>
      <c r="D2616" s="85">
        <v>578</v>
      </c>
      <c r="E2616" s="85">
        <v>9250</v>
      </c>
      <c r="F2616" s="86">
        <v>913</v>
      </c>
      <c r="G2616" s="87">
        <v>9.8702702999999996</v>
      </c>
    </row>
    <row r="2617" spans="1:7" x14ac:dyDescent="0.25">
      <c r="A2617" s="84" t="s">
        <v>2775</v>
      </c>
      <c r="B2617" s="84" t="s">
        <v>109</v>
      </c>
      <c r="C2617" s="84" t="s">
        <v>283</v>
      </c>
      <c r="D2617" s="85">
        <v>597</v>
      </c>
      <c r="E2617" s="85">
        <v>10217</v>
      </c>
      <c r="F2617" s="86">
        <v>1123.2</v>
      </c>
      <c r="G2617" s="87">
        <v>10.993442</v>
      </c>
    </row>
    <row r="2618" spans="1:7" x14ac:dyDescent="0.25">
      <c r="A2618" s="84" t="s">
        <v>1734</v>
      </c>
      <c r="B2618" s="84" t="s">
        <v>109</v>
      </c>
      <c r="C2618" s="84" t="s">
        <v>283</v>
      </c>
      <c r="D2618" s="85">
        <v>7357</v>
      </c>
      <c r="E2618" s="85">
        <v>174896</v>
      </c>
      <c r="F2618" s="86">
        <v>15455</v>
      </c>
      <c r="G2618" s="87">
        <v>8.8366801000000006</v>
      </c>
    </row>
    <row r="2619" spans="1:7" x14ac:dyDescent="0.25">
      <c r="A2619" s="84" t="s">
        <v>2776</v>
      </c>
      <c r="B2619" s="84" t="s">
        <v>109</v>
      </c>
      <c r="C2619" s="84" t="s">
        <v>283</v>
      </c>
      <c r="D2619" s="85">
        <v>461</v>
      </c>
      <c r="E2619" s="85">
        <v>10272</v>
      </c>
      <c r="F2619" s="86">
        <v>1090.5</v>
      </c>
      <c r="G2619" s="87">
        <v>10.616237999999999</v>
      </c>
    </row>
    <row r="2620" spans="1:7" x14ac:dyDescent="0.25">
      <c r="A2620" s="84" t="s">
        <v>1735</v>
      </c>
      <c r="B2620" s="84" t="s">
        <v>109</v>
      </c>
      <c r="C2620" s="84" t="s">
        <v>283</v>
      </c>
      <c r="D2620" s="85">
        <v>2919</v>
      </c>
      <c r="E2620" s="85">
        <v>83669</v>
      </c>
      <c r="F2620" s="86">
        <v>8745</v>
      </c>
      <c r="G2620" s="87">
        <v>10.4519</v>
      </c>
    </row>
    <row r="2621" spans="1:7" x14ac:dyDescent="0.25">
      <c r="A2621" s="84" t="s">
        <v>2777</v>
      </c>
      <c r="B2621" s="84" t="s">
        <v>109</v>
      </c>
      <c r="C2621" s="84" t="s">
        <v>283</v>
      </c>
      <c r="D2621" s="85">
        <v>660</v>
      </c>
      <c r="E2621" s="85">
        <v>14194</v>
      </c>
      <c r="F2621" s="86">
        <v>1342.4</v>
      </c>
      <c r="G2621" s="87">
        <v>9.4575172999999992</v>
      </c>
    </row>
    <row r="2622" spans="1:7" x14ac:dyDescent="0.25">
      <c r="A2622" s="84" t="s">
        <v>1736</v>
      </c>
      <c r="B2622" s="84" t="s">
        <v>109</v>
      </c>
      <c r="C2622" s="84" t="s">
        <v>283</v>
      </c>
      <c r="D2622" s="85">
        <v>4835</v>
      </c>
      <c r="E2622" s="85">
        <v>68266</v>
      </c>
      <c r="F2622" s="86">
        <v>6716</v>
      </c>
      <c r="G2622" s="87">
        <v>9.8379867000000001</v>
      </c>
    </row>
    <row r="2623" spans="1:7" x14ac:dyDescent="0.25">
      <c r="A2623" s="84" t="s">
        <v>1737</v>
      </c>
      <c r="B2623" s="84" t="s">
        <v>109</v>
      </c>
      <c r="C2623" s="84" t="s">
        <v>283</v>
      </c>
      <c r="D2623" s="85">
        <v>1154</v>
      </c>
      <c r="E2623" s="85">
        <v>57957</v>
      </c>
      <c r="F2623" s="86">
        <v>5480.1</v>
      </c>
      <c r="G2623" s="87">
        <v>9.4554583999999995</v>
      </c>
    </row>
    <row r="2624" spans="1:7" x14ac:dyDescent="0.25">
      <c r="A2624" s="84" t="s">
        <v>2778</v>
      </c>
      <c r="B2624" s="84" t="s">
        <v>109</v>
      </c>
      <c r="C2624" s="84" t="s">
        <v>283</v>
      </c>
      <c r="D2624" s="85">
        <v>801</v>
      </c>
      <c r="E2624" s="85">
        <v>11514</v>
      </c>
      <c r="F2624" s="86">
        <v>1255.4000000000001</v>
      </c>
      <c r="G2624" s="87">
        <v>10.903248</v>
      </c>
    </row>
    <row r="2625" spans="1:7" x14ac:dyDescent="0.25">
      <c r="A2625" s="84" t="s">
        <v>2779</v>
      </c>
      <c r="B2625" s="84" t="s">
        <v>109</v>
      </c>
      <c r="C2625" s="84" t="s">
        <v>283</v>
      </c>
      <c r="D2625" s="85">
        <v>306</v>
      </c>
      <c r="E2625" s="85">
        <v>3897</v>
      </c>
      <c r="F2625" s="86">
        <v>468.4</v>
      </c>
      <c r="G2625" s="87">
        <v>12.019501999999999</v>
      </c>
    </row>
    <row r="2626" spans="1:7" x14ac:dyDescent="0.25">
      <c r="A2626" s="84" t="s">
        <v>1738</v>
      </c>
      <c r="B2626" s="84" t="s">
        <v>109</v>
      </c>
      <c r="C2626" s="84" t="s">
        <v>281</v>
      </c>
      <c r="D2626" s="85">
        <v>3800</v>
      </c>
      <c r="E2626" s="85">
        <v>77226</v>
      </c>
      <c r="F2626" s="86">
        <v>8592</v>
      </c>
      <c r="G2626" s="87">
        <v>11.125787000000001</v>
      </c>
    </row>
    <row r="2627" spans="1:7" x14ac:dyDescent="0.25">
      <c r="A2627" s="84" t="s">
        <v>1739</v>
      </c>
      <c r="B2627" s="84" t="s">
        <v>109</v>
      </c>
      <c r="C2627" s="84" t="s">
        <v>281</v>
      </c>
      <c r="D2627" s="85">
        <v>3345</v>
      </c>
      <c r="E2627" s="85">
        <v>131797</v>
      </c>
      <c r="F2627" s="86">
        <v>12409</v>
      </c>
      <c r="G2627" s="87">
        <v>9.4152371000000006</v>
      </c>
    </row>
    <row r="2628" spans="1:7" x14ac:dyDescent="0.25">
      <c r="A2628" s="84" t="s">
        <v>1740</v>
      </c>
      <c r="B2628" s="84" t="s">
        <v>109</v>
      </c>
      <c r="C2628" s="84" t="s">
        <v>281</v>
      </c>
      <c r="D2628" s="85">
        <v>3587</v>
      </c>
      <c r="E2628" s="85">
        <v>238339</v>
      </c>
      <c r="F2628" s="86">
        <v>24394.2</v>
      </c>
      <c r="G2628" s="87">
        <v>10.235085</v>
      </c>
    </row>
    <row r="2629" spans="1:7" x14ac:dyDescent="0.25">
      <c r="A2629" s="84" t="s">
        <v>1741</v>
      </c>
      <c r="B2629" s="84" t="s">
        <v>109</v>
      </c>
      <c r="C2629" s="84" t="s">
        <v>281</v>
      </c>
      <c r="D2629" s="85">
        <v>814</v>
      </c>
      <c r="E2629" s="85">
        <v>25545</v>
      </c>
      <c r="F2629" s="86">
        <v>3098.4</v>
      </c>
      <c r="G2629" s="87">
        <v>12.129184</v>
      </c>
    </row>
    <row r="2630" spans="1:7" x14ac:dyDescent="0.25">
      <c r="A2630" s="84" t="s">
        <v>1742</v>
      </c>
      <c r="B2630" s="84" t="s">
        <v>109</v>
      </c>
      <c r="C2630" s="84" t="s">
        <v>281</v>
      </c>
      <c r="D2630" s="85">
        <v>2099</v>
      </c>
      <c r="E2630" s="85">
        <v>172616</v>
      </c>
      <c r="F2630" s="86">
        <v>15674</v>
      </c>
      <c r="G2630" s="87">
        <v>9.0802706999999998</v>
      </c>
    </row>
    <row r="2631" spans="1:7" x14ac:dyDescent="0.25">
      <c r="A2631" s="84" t="s">
        <v>1295</v>
      </c>
      <c r="B2631" s="84" t="s">
        <v>109</v>
      </c>
      <c r="C2631" s="84" t="s">
        <v>281</v>
      </c>
      <c r="D2631" s="85">
        <v>5166</v>
      </c>
      <c r="E2631" s="85">
        <v>83942</v>
      </c>
      <c r="F2631" s="86">
        <v>11800.4</v>
      </c>
      <c r="G2631" s="87">
        <v>14.057802000000001</v>
      </c>
    </row>
    <row r="2632" spans="1:7" x14ac:dyDescent="0.25">
      <c r="A2632" s="84" t="s">
        <v>1131</v>
      </c>
      <c r="B2632" s="84" t="s">
        <v>109</v>
      </c>
      <c r="C2632" s="84" t="s">
        <v>281</v>
      </c>
      <c r="D2632" s="85">
        <v>3620</v>
      </c>
      <c r="E2632" s="85">
        <v>105665</v>
      </c>
      <c r="F2632" s="86">
        <v>11315</v>
      </c>
      <c r="G2632" s="87">
        <v>10.708371</v>
      </c>
    </row>
    <row r="2633" spans="1:7" x14ac:dyDescent="0.25">
      <c r="A2633" s="84" t="s">
        <v>2780</v>
      </c>
      <c r="B2633" s="84" t="s">
        <v>109</v>
      </c>
      <c r="C2633" s="84" t="s">
        <v>385</v>
      </c>
      <c r="D2633" s="85">
        <v>3</v>
      </c>
      <c r="E2633" s="85">
        <v>8374</v>
      </c>
      <c r="F2633" s="86">
        <v>821</v>
      </c>
      <c r="G2633" s="87">
        <v>9.8041557000000008</v>
      </c>
    </row>
    <row r="2634" spans="1:7" x14ac:dyDescent="0.25">
      <c r="A2634" s="84" t="s">
        <v>2781</v>
      </c>
      <c r="B2634" s="84" t="s">
        <v>109</v>
      </c>
      <c r="C2634" s="84" t="s">
        <v>281</v>
      </c>
      <c r="D2634" s="85">
        <v>1111</v>
      </c>
      <c r="E2634" s="85">
        <v>26383</v>
      </c>
      <c r="F2634" s="86">
        <v>3288.2</v>
      </c>
      <c r="G2634" s="87">
        <v>12.463329</v>
      </c>
    </row>
    <row r="2635" spans="1:7" x14ac:dyDescent="0.25">
      <c r="A2635" s="84" t="s">
        <v>1446</v>
      </c>
      <c r="B2635" s="84" t="s">
        <v>109</v>
      </c>
      <c r="C2635" s="84" t="s">
        <v>281</v>
      </c>
      <c r="D2635" s="85">
        <v>6406</v>
      </c>
      <c r="E2635" s="85">
        <v>121082</v>
      </c>
      <c r="F2635" s="86">
        <v>13575.6</v>
      </c>
      <c r="G2635" s="87">
        <v>11.211906000000001</v>
      </c>
    </row>
    <row r="2636" spans="1:7" x14ac:dyDescent="0.25">
      <c r="A2636" s="84" t="s">
        <v>1743</v>
      </c>
      <c r="B2636" s="84" t="s">
        <v>109</v>
      </c>
      <c r="C2636" s="84" t="s">
        <v>281</v>
      </c>
      <c r="D2636" s="85">
        <v>3471</v>
      </c>
      <c r="E2636" s="85">
        <v>191901</v>
      </c>
      <c r="F2636" s="86">
        <v>18239</v>
      </c>
      <c r="G2636" s="87">
        <v>9.5043799</v>
      </c>
    </row>
    <row r="2637" spans="1:7" x14ac:dyDescent="0.25">
      <c r="A2637" s="84" t="s">
        <v>723</v>
      </c>
      <c r="B2637" s="84" t="s">
        <v>109</v>
      </c>
      <c r="C2637" s="84" t="s">
        <v>278</v>
      </c>
      <c r="D2637" s="85">
        <v>5123</v>
      </c>
      <c r="E2637" s="85">
        <v>233937</v>
      </c>
      <c r="F2637" s="86">
        <v>14422.5</v>
      </c>
      <c r="G2637" s="87">
        <v>6.1651214000000003</v>
      </c>
    </row>
    <row r="2638" spans="1:7" x14ac:dyDescent="0.25">
      <c r="A2638" s="84" t="s">
        <v>1303</v>
      </c>
      <c r="B2638" s="84" t="s">
        <v>109</v>
      </c>
      <c r="C2638" s="84" t="s">
        <v>278</v>
      </c>
      <c r="D2638" s="85">
        <v>8474</v>
      </c>
      <c r="E2638" s="85">
        <v>149579</v>
      </c>
      <c r="F2638" s="86">
        <v>15785</v>
      </c>
      <c r="G2638" s="87">
        <v>10.552951999999999</v>
      </c>
    </row>
    <row r="2639" spans="1:7" x14ac:dyDescent="0.25">
      <c r="A2639" s="84" t="s">
        <v>1744</v>
      </c>
      <c r="B2639" s="84" t="s">
        <v>109</v>
      </c>
      <c r="C2639" s="84" t="s">
        <v>281</v>
      </c>
      <c r="D2639" s="85">
        <v>6976</v>
      </c>
      <c r="E2639" s="85">
        <v>103360</v>
      </c>
      <c r="F2639" s="86">
        <v>12348.3</v>
      </c>
      <c r="G2639" s="87">
        <v>11.946885</v>
      </c>
    </row>
    <row r="2640" spans="1:7" x14ac:dyDescent="0.25">
      <c r="A2640" s="84" t="s">
        <v>1452</v>
      </c>
      <c r="B2640" s="84" t="s">
        <v>109</v>
      </c>
      <c r="C2640" s="84" t="s">
        <v>385</v>
      </c>
      <c r="D2640" s="85">
        <v>1311</v>
      </c>
      <c r="E2640" s="85">
        <v>38933</v>
      </c>
      <c r="F2640" s="86">
        <v>3113</v>
      </c>
      <c r="G2640" s="87">
        <v>7.9957875999999999</v>
      </c>
    </row>
    <row r="2641" spans="1:7" x14ac:dyDescent="0.25">
      <c r="A2641" s="84" t="s">
        <v>2533</v>
      </c>
      <c r="B2641" s="84" t="s">
        <v>109</v>
      </c>
      <c r="C2641" s="84" t="s">
        <v>281</v>
      </c>
      <c r="D2641" s="85">
        <v>14</v>
      </c>
      <c r="E2641" s="85">
        <v>122</v>
      </c>
      <c r="F2641" s="86">
        <v>19</v>
      </c>
      <c r="G2641" s="87">
        <v>15.57377</v>
      </c>
    </row>
    <row r="2642" spans="1:7" x14ac:dyDescent="0.25">
      <c r="A2642" s="84" t="s">
        <v>1745</v>
      </c>
      <c r="B2642" s="84" t="s">
        <v>109</v>
      </c>
      <c r="C2642" s="84" t="s">
        <v>278</v>
      </c>
      <c r="D2642" s="85">
        <v>63853</v>
      </c>
      <c r="E2642" s="85">
        <v>1718831</v>
      </c>
      <c r="F2642" s="86">
        <v>162114</v>
      </c>
      <c r="G2642" s="87">
        <v>9.4316428000000005</v>
      </c>
    </row>
    <row r="2643" spans="1:7" x14ac:dyDescent="0.25">
      <c r="A2643" s="84" t="s">
        <v>1746</v>
      </c>
      <c r="B2643" s="84" t="s">
        <v>109</v>
      </c>
      <c r="C2643" s="84" t="s">
        <v>281</v>
      </c>
      <c r="D2643" s="85">
        <v>6502</v>
      </c>
      <c r="E2643" s="85">
        <v>308202</v>
      </c>
      <c r="F2643" s="86">
        <v>28092</v>
      </c>
      <c r="G2643" s="87">
        <v>9.1148012999999999</v>
      </c>
    </row>
    <row r="2644" spans="1:7" x14ac:dyDescent="0.25">
      <c r="A2644" s="84" t="s">
        <v>1153</v>
      </c>
      <c r="B2644" s="84" t="s">
        <v>109</v>
      </c>
      <c r="C2644" s="84" t="s">
        <v>278</v>
      </c>
      <c r="D2644" s="85">
        <v>95732</v>
      </c>
      <c r="E2644" s="85">
        <v>2167185</v>
      </c>
      <c r="F2644" s="86">
        <v>219855.9</v>
      </c>
      <c r="G2644" s="87">
        <v>10.144767999999999</v>
      </c>
    </row>
    <row r="2645" spans="1:7" x14ac:dyDescent="0.25">
      <c r="A2645" s="84" t="s">
        <v>1747</v>
      </c>
      <c r="B2645" s="84" t="s">
        <v>109</v>
      </c>
      <c r="C2645" s="84" t="s">
        <v>281</v>
      </c>
      <c r="D2645" s="85">
        <v>3179</v>
      </c>
      <c r="E2645" s="85">
        <v>116331</v>
      </c>
      <c r="F2645" s="86">
        <v>11380.7</v>
      </c>
      <c r="G2645" s="87">
        <v>9.7830329000000003</v>
      </c>
    </row>
    <row r="2646" spans="1:7" x14ac:dyDescent="0.25">
      <c r="A2646" s="84" t="s">
        <v>1155</v>
      </c>
      <c r="B2646" s="84" t="s">
        <v>109</v>
      </c>
      <c r="C2646" s="84" t="s">
        <v>278</v>
      </c>
      <c r="D2646" s="85">
        <v>11654</v>
      </c>
      <c r="E2646" s="85">
        <v>488954</v>
      </c>
      <c r="F2646" s="86">
        <v>40666.300000000003</v>
      </c>
      <c r="G2646" s="87">
        <v>8.3169991000000003</v>
      </c>
    </row>
    <row r="2647" spans="1:7" x14ac:dyDescent="0.25">
      <c r="A2647" s="84" t="s">
        <v>1748</v>
      </c>
      <c r="B2647" s="84" t="s">
        <v>109</v>
      </c>
      <c r="C2647" s="84" t="s">
        <v>281</v>
      </c>
      <c r="D2647" s="85">
        <v>5503</v>
      </c>
      <c r="E2647" s="85">
        <v>93341</v>
      </c>
      <c r="F2647" s="86">
        <v>8950</v>
      </c>
      <c r="G2647" s="87">
        <v>9.5884981000000007</v>
      </c>
    </row>
    <row r="2648" spans="1:7" x14ac:dyDescent="0.25">
      <c r="A2648" s="84" t="s">
        <v>1168</v>
      </c>
      <c r="B2648" s="84" t="s">
        <v>109</v>
      </c>
      <c r="C2648" s="84" t="s">
        <v>281</v>
      </c>
      <c r="D2648" s="85">
        <v>22179</v>
      </c>
      <c r="E2648" s="85">
        <v>710416</v>
      </c>
      <c r="F2648" s="86">
        <v>69165.899999999994</v>
      </c>
      <c r="G2648" s="87">
        <v>9.7359715999999992</v>
      </c>
    </row>
    <row r="2649" spans="1:7" x14ac:dyDescent="0.25">
      <c r="A2649" s="84" t="s">
        <v>2445</v>
      </c>
      <c r="B2649" s="84" t="s">
        <v>109</v>
      </c>
      <c r="C2649" s="84" t="s">
        <v>281</v>
      </c>
      <c r="D2649" s="85">
        <v>26</v>
      </c>
      <c r="E2649" s="85">
        <v>176</v>
      </c>
      <c r="F2649" s="86">
        <v>24</v>
      </c>
      <c r="G2649" s="87">
        <v>13.636364</v>
      </c>
    </row>
    <row r="2650" spans="1:7" x14ac:dyDescent="0.25">
      <c r="A2650" s="84" t="s">
        <v>1749</v>
      </c>
      <c r="B2650" s="84" t="s">
        <v>109</v>
      </c>
      <c r="C2650" s="84" t="s">
        <v>281</v>
      </c>
      <c r="D2650" s="85">
        <v>18547</v>
      </c>
      <c r="E2650" s="85">
        <v>646989</v>
      </c>
      <c r="F2650" s="86">
        <v>62759.199999999997</v>
      </c>
      <c r="G2650" s="87">
        <v>9.7001957999999995</v>
      </c>
    </row>
    <row r="2651" spans="1:7" x14ac:dyDescent="0.25">
      <c r="A2651" s="84" t="s">
        <v>2782</v>
      </c>
      <c r="B2651" s="84" t="s">
        <v>109</v>
      </c>
      <c r="C2651" s="84" t="s">
        <v>283</v>
      </c>
      <c r="D2651" s="85">
        <v>206</v>
      </c>
      <c r="E2651" s="85">
        <v>3102</v>
      </c>
      <c r="F2651" s="86">
        <v>407.1</v>
      </c>
      <c r="G2651" s="87">
        <v>13.123791000000001</v>
      </c>
    </row>
    <row r="2652" spans="1:7" x14ac:dyDescent="0.25">
      <c r="A2652" s="84" t="s">
        <v>1750</v>
      </c>
      <c r="B2652" s="84" t="s">
        <v>109</v>
      </c>
      <c r="C2652" s="84" t="s">
        <v>283</v>
      </c>
      <c r="D2652" s="85">
        <v>164</v>
      </c>
      <c r="E2652" s="85">
        <v>2920</v>
      </c>
      <c r="F2652" s="86">
        <v>287.8</v>
      </c>
      <c r="G2652" s="87">
        <v>9.8561644000000008</v>
      </c>
    </row>
    <row r="2653" spans="1:7" x14ac:dyDescent="0.25">
      <c r="A2653" s="84" t="s">
        <v>1174</v>
      </c>
      <c r="B2653" s="84" t="s">
        <v>109</v>
      </c>
      <c r="C2653" s="84" t="s">
        <v>281</v>
      </c>
      <c r="D2653" s="85">
        <v>1060</v>
      </c>
      <c r="E2653" s="85">
        <v>43482</v>
      </c>
      <c r="F2653" s="86">
        <v>4115</v>
      </c>
      <c r="G2653" s="87">
        <v>9.4636861000000003</v>
      </c>
    </row>
    <row r="2654" spans="1:7" x14ac:dyDescent="0.25">
      <c r="A2654" s="84" t="s">
        <v>1751</v>
      </c>
      <c r="B2654" s="84" t="s">
        <v>109</v>
      </c>
      <c r="C2654" s="84" t="s">
        <v>281</v>
      </c>
      <c r="D2654" s="85">
        <v>1645</v>
      </c>
      <c r="E2654" s="85">
        <v>32373</v>
      </c>
      <c r="F2654" s="86">
        <v>4288</v>
      </c>
      <c r="G2654" s="87">
        <v>13.245606</v>
      </c>
    </row>
    <row r="2655" spans="1:7" x14ac:dyDescent="0.25">
      <c r="A2655" s="84" t="s">
        <v>422</v>
      </c>
      <c r="B2655" s="84" t="s">
        <v>109</v>
      </c>
      <c r="C2655" s="84" t="s">
        <v>351</v>
      </c>
      <c r="D2655" s="85">
        <v>24</v>
      </c>
      <c r="E2655" s="85">
        <v>335952</v>
      </c>
      <c r="F2655" s="86">
        <v>7973.1</v>
      </c>
      <c r="G2655" s="87">
        <v>2.3732855000000002</v>
      </c>
    </row>
    <row r="2656" spans="1:7" x14ac:dyDescent="0.25">
      <c r="A2656" s="84" t="s">
        <v>1752</v>
      </c>
      <c r="B2656" s="84" t="s">
        <v>109</v>
      </c>
      <c r="C2656" s="84" t="s">
        <v>283</v>
      </c>
      <c r="D2656" s="85">
        <v>13206</v>
      </c>
      <c r="E2656" s="85">
        <v>378108</v>
      </c>
      <c r="F2656" s="86">
        <v>30154</v>
      </c>
      <c r="G2656" s="87">
        <v>7.9749701000000002</v>
      </c>
    </row>
    <row r="2657" spans="1:7" x14ac:dyDescent="0.25">
      <c r="A2657" s="84" t="s">
        <v>1753</v>
      </c>
      <c r="B2657" s="84" t="s">
        <v>109</v>
      </c>
      <c r="C2657" s="84" t="s">
        <v>281</v>
      </c>
      <c r="D2657" s="85">
        <v>6777</v>
      </c>
      <c r="E2657" s="85">
        <v>138500</v>
      </c>
      <c r="F2657" s="86">
        <v>17283</v>
      </c>
      <c r="G2657" s="87">
        <v>12.4787</v>
      </c>
    </row>
    <row r="2658" spans="1:7" x14ac:dyDescent="0.25">
      <c r="A2658" s="84" t="s">
        <v>1754</v>
      </c>
      <c r="B2658" s="84" t="s">
        <v>109</v>
      </c>
      <c r="C2658" s="84" t="s">
        <v>281</v>
      </c>
      <c r="D2658" s="85">
        <v>17465</v>
      </c>
      <c r="E2658" s="85">
        <v>302113</v>
      </c>
      <c r="F2658" s="86">
        <v>38356</v>
      </c>
      <c r="G2658" s="87">
        <v>12.695912</v>
      </c>
    </row>
    <row r="2659" spans="1:7" x14ac:dyDescent="0.25">
      <c r="A2659" s="84" t="s">
        <v>1755</v>
      </c>
      <c r="B2659" s="84" t="s">
        <v>109</v>
      </c>
      <c r="C2659" s="84" t="s">
        <v>281</v>
      </c>
      <c r="D2659" s="85">
        <v>3367</v>
      </c>
      <c r="E2659" s="85">
        <v>100170</v>
      </c>
      <c r="F2659" s="86">
        <v>10741.4</v>
      </c>
      <c r="G2659" s="87">
        <v>10.723171000000001</v>
      </c>
    </row>
    <row r="2660" spans="1:7" x14ac:dyDescent="0.25">
      <c r="A2660" s="84" t="s">
        <v>1756</v>
      </c>
      <c r="B2660" s="84" t="s">
        <v>109</v>
      </c>
      <c r="C2660" s="84" t="s">
        <v>283</v>
      </c>
      <c r="D2660" s="85">
        <v>1930</v>
      </c>
      <c r="E2660" s="85">
        <v>43168</v>
      </c>
      <c r="F2660" s="86">
        <v>4235.3999999999996</v>
      </c>
      <c r="G2660" s="87">
        <v>9.8114343999999996</v>
      </c>
    </row>
    <row r="2661" spans="1:7" x14ac:dyDescent="0.25">
      <c r="A2661" s="84" t="s">
        <v>1757</v>
      </c>
      <c r="B2661" s="84" t="s">
        <v>112</v>
      </c>
      <c r="C2661" s="84" t="s">
        <v>281</v>
      </c>
      <c r="D2661" s="85">
        <v>47175</v>
      </c>
      <c r="E2661" s="85">
        <v>941700</v>
      </c>
      <c r="F2661" s="86">
        <v>105267</v>
      </c>
      <c r="G2661" s="87">
        <v>11.178400999999999</v>
      </c>
    </row>
    <row r="2662" spans="1:7" x14ac:dyDescent="0.25">
      <c r="A2662" s="84" t="s">
        <v>1758</v>
      </c>
      <c r="B2662" s="84" t="s">
        <v>112</v>
      </c>
      <c r="C2662" s="84" t="s">
        <v>283</v>
      </c>
      <c r="D2662" s="85">
        <v>13379</v>
      </c>
      <c r="E2662" s="85">
        <v>657192</v>
      </c>
      <c r="F2662" s="86">
        <v>51429</v>
      </c>
      <c r="G2662" s="87">
        <v>7.8255670000000004</v>
      </c>
    </row>
    <row r="2663" spans="1:7" x14ac:dyDescent="0.25">
      <c r="A2663" s="84" t="s">
        <v>1759</v>
      </c>
      <c r="B2663" s="84" t="s">
        <v>112</v>
      </c>
      <c r="C2663" s="84" t="s">
        <v>283</v>
      </c>
      <c r="D2663" s="85">
        <v>10862</v>
      </c>
      <c r="E2663" s="85">
        <v>201891</v>
      </c>
      <c r="F2663" s="86">
        <v>25268</v>
      </c>
      <c r="G2663" s="87">
        <v>12.515663999999999</v>
      </c>
    </row>
    <row r="2664" spans="1:7" x14ac:dyDescent="0.25">
      <c r="A2664" s="84" t="s">
        <v>1760</v>
      </c>
      <c r="B2664" s="84" t="s">
        <v>112</v>
      </c>
      <c r="C2664" s="84" t="s">
        <v>283</v>
      </c>
      <c r="D2664" s="85">
        <v>11084</v>
      </c>
      <c r="E2664" s="85">
        <v>222219</v>
      </c>
      <c r="F2664" s="86">
        <v>27139</v>
      </c>
      <c r="G2664" s="87">
        <v>12.212726999999999</v>
      </c>
    </row>
    <row r="2665" spans="1:7" x14ac:dyDescent="0.25">
      <c r="A2665" s="84" t="s">
        <v>1761</v>
      </c>
      <c r="B2665" s="84" t="s">
        <v>112</v>
      </c>
      <c r="C2665" s="84" t="s">
        <v>281</v>
      </c>
      <c r="D2665" s="85">
        <v>32696</v>
      </c>
      <c r="E2665" s="85">
        <v>600068</v>
      </c>
      <c r="F2665" s="86">
        <v>67705</v>
      </c>
      <c r="G2665" s="87">
        <v>11.282888</v>
      </c>
    </row>
    <row r="2666" spans="1:7" x14ac:dyDescent="0.25">
      <c r="A2666" s="84" t="s">
        <v>1762</v>
      </c>
      <c r="B2666" s="84" t="s">
        <v>112</v>
      </c>
      <c r="C2666" s="84" t="s">
        <v>283</v>
      </c>
      <c r="D2666" s="85">
        <v>15531</v>
      </c>
      <c r="E2666" s="85">
        <v>434136</v>
      </c>
      <c r="F2666" s="86">
        <v>37733</v>
      </c>
      <c r="G2666" s="87">
        <v>8.691516</v>
      </c>
    </row>
    <row r="2667" spans="1:7" x14ac:dyDescent="0.25">
      <c r="A2667" s="84" t="s">
        <v>1763</v>
      </c>
      <c r="B2667" s="84" t="s">
        <v>112</v>
      </c>
      <c r="C2667" s="84" t="s">
        <v>281</v>
      </c>
      <c r="D2667" s="85">
        <v>20464</v>
      </c>
      <c r="E2667" s="85">
        <v>499965</v>
      </c>
      <c r="F2667" s="86">
        <v>47509</v>
      </c>
      <c r="G2667" s="87">
        <v>9.5024651999999996</v>
      </c>
    </row>
    <row r="2668" spans="1:7" x14ac:dyDescent="0.25">
      <c r="A2668" s="84" t="s">
        <v>1764</v>
      </c>
      <c r="B2668" s="84" t="s">
        <v>112</v>
      </c>
      <c r="C2668" s="84" t="s">
        <v>283</v>
      </c>
      <c r="D2668" s="85">
        <v>29716</v>
      </c>
      <c r="E2668" s="85">
        <v>622904</v>
      </c>
      <c r="F2668" s="86">
        <v>67401</v>
      </c>
      <c r="G2668" s="87">
        <v>10.820447</v>
      </c>
    </row>
    <row r="2669" spans="1:7" x14ac:dyDescent="0.25">
      <c r="A2669" s="84" t="s">
        <v>1765</v>
      </c>
      <c r="B2669" s="84" t="s">
        <v>112</v>
      </c>
      <c r="C2669" s="84" t="s">
        <v>283</v>
      </c>
      <c r="D2669" s="85">
        <v>33732</v>
      </c>
      <c r="E2669" s="85">
        <v>880581</v>
      </c>
      <c r="F2669" s="86">
        <v>86382</v>
      </c>
      <c r="G2669" s="87">
        <v>9.8096598000000004</v>
      </c>
    </row>
    <row r="2670" spans="1:7" x14ac:dyDescent="0.25">
      <c r="A2670" s="84" t="s">
        <v>1766</v>
      </c>
      <c r="B2670" s="84" t="s">
        <v>112</v>
      </c>
      <c r="C2670" s="84" t="s">
        <v>283</v>
      </c>
      <c r="D2670" s="85">
        <v>5338</v>
      </c>
      <c r="E2670" s="85">
        <v>207028</v>
      </c>
      <c r="F2670" s="86">
        <v>16964</v>
      </c>
      <c r="G2670" s="87">
        <v>8.1940606999999996</v>
      </c>
    </row>
    <row r="2671" spans="1:7" x14ac:dyDescent="0.25">
      <c r="A2671" s="84" t="s">
        <v>589</v>
      </c>
      <c r="B2671" s="84" t="s">
        <v>112</v>
      </c>
      <c r="C2671" s="84" t="s">
        <v>283</v>
      </c>
      <c r="D2671" s="85">
        <v>176336</v>
      </c>
      <c r="E2671" s="85">
        <v>5553948</v>
      </c>
      <c r="F2671" s="86">
        <v>548963</v>
      </c>
      <c r="G2671" s="87">
        <v>9.8841941000000002</v>
      </c>
    </row>
    <row r="2672" spans="1:7" x14ac:dyDescent="0.25">
      <c r="A2672" s="84" t="s">
        <v>1767</v>
      </c>
      <c r="B2672" s="84" t="s">
        <v>112</v>
      </c>
      <c r="C2672" s="84" t="s">
        <v>283</v>
      </c>
      <c r="D2672" s="85">
        <v>71681</v>
      </c>
      <c r="E2672" s="85">
        <v>1565079</v>
      </c>
      <c r="F2672" s="86">
        <v>171291</v>
      </c>
      <c r="G2672" s="87">
        <v>10.944559</v>
      </c>
    </row>
    <row r="2673" spans="1:7" x14ac:dyDescent="0.25">
      <c r="A2673" s="84" t="s">
        <v>1768</v>
      </c>
      <c r="B2673" s="84" t="s">
        <v>112</v>
      </c>
      <c r="C2673" s="84" t="s">
        <v>283</v>
      </c>
      <c r="D2673" s="85">
        <v>31810</v>
      </c>
      <c r="E2673" s="85">
        <v>1034560</v>
      </c>
      <c r="F2673" s="86">
        <v>101772</v>
      </c>
      <c r="G2673" s="87">
        <v>9.8372255000000006</v>
      </c>
    </row>
    <row r="2674" spans="1:7" x14ac:dyDescent="0.25">
      <c r="A2674" s="84" t="s">
        <v>1769</v>
      </c>
      <c r="B2674" s="84" t="s">
        <v>112</v>
      </c>
      <c r="C2674" s="84" t="s">
        <v>283</v>
      </c>
      <c r="D2674" s="85">
        <v>29986</v>
      </c>
      <c r="E2674" s="85">
        <v>793612</v>
      </c>
      <c r="F2674" s="86">
        <v>79881</v>
      </c>
      <c r="G2674" s="87">
        <v>10.065498</v>
      </c>
    </row>
    <row r="2675" spans="1:7" x14ac:dyDescent="0.25">
      <c r="A2675" s="84" t="s">
        <v>1770</v>
      </c>
      <c r="B2675" s="84" t="s">
        <v>112</v>
      </c>
      <c r="C2675" s="84" t="s">
        <v>283</v>
      </c>
      <c r="D2675" s="85">
        <v>18437</v>
      </c>
      <c r="E2675" s="85">
        <v>569313</v>
      </c>
      <c r="F2675" s="86">
        <v>54364</v>
      </c>
      <c r="G2675" s="87">
        <v>9.5490530000000007</v>
      </c>
    </row>
    <row r="2676" spans="1:7" x14ac:dyDescent="0.25">
      <c r="A2676" s="84" t="s">
        <v>1771</v>
      </c>
      <c r="B2676" s="84" t="s">
        <v>112</v>
      </c>
      <c r="C2676" s="84" t="s">
        <v>283</v>
      </c>
      <c r="D2676" s="85">
        <v>4689</v>
      </c>
      <c r="E2676" s="85">
        <v>239934</v>
      </c>
      <c r="F2676" s="86">
        <v>20581</v>
      </c>
      <c r="G2676" s="87">
        <v>8.5777756000000007</v>
      </c>
    </row>
    <row r="2677" spans="1:7" x14ac:dyDescent="0.25">
      <c r="A2677" s="84" t="s">
        <v>1772</v>
      </c>
      <c r="B2677" s="84" t="s">
        <v>112</v>
      </c>
      <c r="C2677" s="84" t="s">
        <v>283</v>
      </c>
      <c r="D2677" s="85">
        <v>10739</v>
      </c>
      <c r="E2677" s="85">
        <v>276088</v>
      </c>
      <c r="F2677" s="86">
        <v>27641</v>
      </c>
      <c r="G2677" s="87">
        <v>10.011663</v>
      </c>
    </row>
    <row r="2678" spans="1:7" x14ac:dyDescent="0.25">
      <c r="A2678" s="84" t="s">
        <v>1773</v>
      </c>
      <c r="B2678" s="84" t="s">
        <v>112</v>
      </c>
      <c r="C2678" s="84" t="s">
        <v>283</v>
      </c>
      <c r="D2678" s="85">
        <v>35594</v>
      </c>
      <c r="E2678" s="85">
        <v>869337</v>
      </c>
      <c r="F2678" s="86">
        <v>86429</v>
      </c>
      <c r="G2678" s="87">
        <v>9.9419442999999994</v>
      </c>
    </row>
    <row r="2679" spans="1:7" x14ac:dyDescent="0.25">
      <c r="A2679" s="84" t="s">
        <v>1774</v>
      </c>
      <c r="B2679" s="84" t="s">
        <v>112</v>
      </c>
      <c r="C2679" s="84" t="s">
        <v>283</v>
      </c>
      <c r="D2679" s="85">
        <v>11909</v>
      </c>
      <c r="E2679" s="85">
        <v>405582</v>
      </c>
      <c r="F2679" s="86">
        <v>38478</v>
      </c>
      <c r="G2679" s="87">
        <v>9.4871073999999993</v>
      </c>
    </row>
    <row r="2680" spans="1:7" x14ac:dyDescent="0.25">
      <c r="A2680" s="84" t="s">
        <v>1775</v>
      </c>
      <c r="B2680" s="84" t="s">
        <v>112</v>
      </c>
      <c r="C2680" s="84" t="s">
        <v>283</v>
      </c>
      <c r="D2680" s="85">
        <v>26411</v>
      </c>
      <c r="E2680" s="85">
        <v>516657</v>
      </c>
      <c r="F2680" s="86">
        <v>54712</v>
      </c>
      <c r="G2680" s="87">
        <v>10.589617000000001</v>
      </c>
    </row>
    <row r="2681" spans="1:7" x14ac:dyDescent="0.25">
      <c r="A2681" s="84" t="s">
        <v>1776</v>
      </c>
      <c r="B2681" s="84" t="s">
        <v>112</v>
      </c>
      <c r="C2681" s="84" t="s">
        <v>283</v>
      </c>
      <c r="D2681" s="85">
        <v>5115</v>
      </c>
      <c r="E2681" s="85">
        <v>261088</v>
      </c>
      <c r="F2681" s="86">
        <v>20880</v>
      </c>
      <c r="G2681" s="87">
        <v>7.9973036000000004</v>
      </c>
    </row>
    <row r="2682" spans="1:7" x14ac:dyDescent="0.25">
      <c r="A2682" s="84" t="s">
        <v>1777</v>
      </c>
      <c r="B2682" s="84" t="s">
        <v>112</v>
      </c>
      <c r="C2682" s="84" t="s">
        <v>283</v>
      </c>
      <c r="D2682" s="85">
        <v>18623</v>
      </c>
      <c r="E2682" s="85">
        <v>457884</v>
      </c>
      <c r="F2682" s="86">
        <v>47149</v>
      </c>
      <c r="G2682" s="87">
        <v>10.297148999999999</v>
      </c>
    </row>
    <row r="2683" spans="1:7" x14ac:dyDescent="0.25">
      <c r="A2683" s="84" t="s">
        <v>1778</v>
      </c>
      <c r="B2683" s="84" t="s">
        <v>112</v>
      </c>
      <c r="C2683" s="84" t="s">
        <v>283</v>
      </c>
      <c r="D2683" s="85">
        <v>21231</v>
      </c>
      <c r="E2683" s="85">
        <v>796176</v>
      </c>
      <c r="F2683" s="86">
        <v>71368</v>
      </c>
      <c r="G2683" s="87">
        <v>8.9638472</v>
      </c>
    </row>
    <row r="2684" spans="1:7" x14ac:dyDescent="0.25">
      <c r="A2684" s="84" t="s">
        <v>1779</v>
      </c>
      <c r="B2684" s="84" t="s">
        <v>112</v>
      </c>
      <c r="C2684" s="84" t="s">
        <v>283</v>
      </c>
      <c r="D2684" s="85">
        <v>38492</v>
      </c>
      <c r="E2684" s="85">
        <v>1169100</v>
      </c>
      <c r="F2684" s="86">
        <v>104035</v>
      </c>
      <c r="G2684" s="87">
        <v>8.8987254999999994</v>
      </c>
    </row>
    <row r="2685" spans="1:7" x14ac:dyDescent="0.25">
      <c r="A2685" s="84" t="s">
        <v>1780</v>
      </c>
      <c r="B2685" s="84" t="s">
        <v>112</v>
      </c>
      <c r="C2685" s="84" t="s">
        <v>283</v>
      </c>
      <c r="D2685" s="85">
        <v>10978</v>
      </c>
      <c r="E2685" s="85">
        <v>207670</v>
      </c>
      <c r="F2685" s="86">
        <v>24991</v>
      </c>
      <c r="G2685" s="87">
        <v>12.033996</v>
      </c>
    </row>
    <row r="2686" spans="1:7" x14ac:dyDescent="0.25">
      <c r="A2686" s="84" t="s">
        <v>1781</v>
      </c>
      <c r="B2686" s="84" t="s">
        <v>112</v>
      </c>
      <c r="C2686" s="84" t="s">
        <v>283</v>
      </c>
      <c r="D2686" s="85">
        <v>4409</v>
      </c>
      <c r="E2686" s="85">
        <v>153677</v>
      </c>
      <c r="F2686" s="86">
        <v>14080</v>
      </c>
      <c r="G2686" s="87">
        <v>9.1620737000000005</v>
      </c>
    </row>
    <row r="2687" spans="1:7" x14ac:dyDescent="0.25">
      <c r="A2687" s="84" t="s">
        <v>1782</v>
      </c>
      <c r="B2687" s="84" t="s">
        <v>112</v>
      </c>
      <c r="C2687" s="84" t="s">
        <v>283</v>
      </c>
      <c r="D2687" s="85">
        <v>36306</v>
      </c>
      <c r="E2687" s="85">
        <v>1682800</v>
      </c>
      <c r="F2687" s="86">
        <v>143158</v>
      </c>
      <c r="G2687" s="87">
        <v>8.5071309999999993</v>
      </c>
    </row>
    <row r="2688" spans="1:7" x14ac:dyDescent="0.25">
      <c r="A2688" s="84" t="s">
        <v>932</v>
      </c>
      <c r="B2688" s="84" t="s">
        <v>112</v>
      </c>
      <c r="C2688" s="84" t="s">
        <v>283</v>
      </c>
      <c r="D2688" s="85">
        <v>2334</v>
      </c>
      <c r="E2688" s="85">
        <v>42710</v>
      </c>
      <c r="F2688" s="86">
        <v>4636</v>
      </c>
      <c r="G2688" s="87">
        <v>10.854601000000001</v>
      </c>
    </row>
    <row r="2689" spans="1:7" x14ac:dyDescent="0.25">
      <c r="A2689" s="84" t="s">
        <v>1783</v>
      </c>
      <c r="B2689" s="84" t="s">
        <v>112</v>
      </c>
      <c r="C2689" s="84" t="s">
        <v>283</v>
      </c>
      <c r="D2689" s="85">
        <v>22208</v>
      </c>
      <c r="E2689" s="85">
        <v>393796</v>
      </c>
      <c r="F2689" s="86">
        <v>48322</v>
      </c>
      <c r="G2689" s="87">
        <v>12.270820000000001</v>
      </c>
    </row>
    <row r="2690" spans="1:7" x14ac:dyDescent="0.25">
      <c r="A2690" s="84" t="s">
        <v>1784</v>
      </c>
      <c r="B2690" s="84" t="s">
        <v>112</v>
      </c>
      <c r="C2690" s="84" t="s">
        <v>283</v>
      </c>
      <c r="D2690" s="85">
        <v>20551</v>
      </c>
      <c r="E2690" s="85">
        <v>490454</v>
      </c>
      <c r="F2690" s="86">
        <v>52864</v>
      </c>
      <c r="G2690" s="87">
        <v>10.778585</v>
      </c>
    </row>
    <row r="2691" spans="1:7" x14ac:dyDescent="0.25">
      <c r="A2691" s="84" t="s">
        <v>1785</v>
      </c>
      <c r="B2691" s="84" t="s">
        <v>112</v>
      </c>
      <c r="C2691" s="84" t="s">
        <v>283</v>
      </c>
      <c r="D2691" s="85">
        <v>67406</v>
      </c>
      <c r="E2691" s="85">
        <v>1666591</v>
      </c>
      <c r="F2691" s="86">
        <v>171692</v>
      </c>
      <c r="G2691" s="87">
        <v>10.301988</v>
      </c>
    </row>
    <row r="2692" spans="1:7" x14ac:dyDescent="0.25">
      <c r="A2692" s="84" t="s">
        <v>1786</v>
      </c>
      <c r="B2692" s="84" t="s">
        <v>112</v>
      </c>
      <c r="C2692" s="84" t="s">
        <v>283</v>
      </c>
      <c r="D2692" s="85">
        <v>6278</v>
      </c>
      <c r="E2692" s="85">
        <v>325395</v>
      </c>
      <c r="F2692" s="86">
        <v>26320</v>
      </c>
      <c r="G2692" s="87">
        <v>8.0886306999999995</v>
      </c>
    </row>
    <row r="2693" spans="1:7" x14ac:dyDescent="0.25">
      <c r="A2693" s="84" t="s">
        <v>1787</v>
      </c>
      <c r="B2693" s="84" t="s">
        <v>112</v>
      </c>
      <c r="C2693" s="84" t="s">
        <v>283</v>
      </c>
      <c r="D2693" s="85">
        <v>22497</v>
      </c>
      <c r="E2693" s="85">
        <v>428945</v>
      </c>
      <c r="F2693" s="86">
        <v>46515</v>
      </c>
      <c r="G2693" s="87">
        <v>10.844048000000001</v>
      </c>
    </row>
    <row r="2694" spans="1:7" x14ac:dyDescent="0.25">
      <c r="A2694" s="84" t="s">
        <v>1788</v>
      </c>
      <c r="B2694" s="84" t="s">
        <v>112</v>
      </c>
      <c r="C2694" s="84" t="s">
        <v>283</v>
      </c>
      <c r="D2694" s="85">
        <v>415429</v>
      </c>
      <c r="E2694" s="85">
        <v>13486943</v>
      </c>
      <c r="F2694" s="86">
        <v>1279925</v>
      </c>
      <c r="G2694" s="87">
        <v>9.4901046000000004</v>
      </c>
    </row>
    <row r="2695" spans="1:7" x14ac:dyDescent="0.25">
      <c r="A2695" s="84" t="s">
        <v>1789</v>
      </c>
      <c r="B2695" s="84" t="s">
        <v>112</v>
      </c>
      <c r="C2695" s="84" t="s">
        <v>283</v>
      </c>
      <c r="D2695" s="85">
        <v>8185</v>
      </c>
      <c r="E2695" s="85">
        <v>180844</v>
      </c>
      <c r="F2695" s="86">
        <v>18754</v>
      </c>
      <c r="G2695" s="87">
        <v>10.370264000000001</v>
      </c>
    </row>
    <row r="2696" spans="1:7" x14ac:dyDescent="0.25">
      <c r="A2696" s="84" t="s">
        <v>1790</v>
      </c>
      <c r="B2696" s="84" t="s">
        <v>112</v>
      </c>
      <c r="C2696" s="84" t="s">
        <v>283</v>
      </c>
      <c r="D2696" s="85">
        <v>15022</v>
      </c>
      <c r="E2696" s="85">
        <v>919153</v>
      </c>
      <c r="F2696" s="86">
        <v>78936</v>
      </c>
      <c r="G2696" s="87">
        <v>8.5879065000000008</v>
      </c>
    </row>
    <row r="2697" spans="1:7" x14ac:dyDescent="0.25">
      <c r="A2697" s="84" t="s">
        <v>1791</v>
      </c>
      <c r="B2697" s="84" t="s">
        <v>112</v>
      </c>
      <c r="C2697" s="84" t="s">
        <v>283</v>
      </c>
      <c r="D2697" s="85">
        <v>4049</v>
      </c>
      <c r="E2697" s="85">
        <v>131180</v>
      </c>
      <c r="F2697" s="86">
        <v>13762</v>
      </c>
      <c r="G2697" s="87">
        <v>10.490928</v>
      </c>
    </row>
    <row r="2698" spans="1:7" x14ac:dyDescent="0.25">
      <c r="A2698" s="84" t="s">
        <v>1792</v>
      </c>
      <c r="B2698" s="84" t="s">
        <v>112</v>
      </c>
      <c r="C2698" s="84" t="s">
        <v>283</v>
      </c>
      <c r="D2698" s="85">
        <v>66393</v>
      </c>
      <c r="E2698" s="85">
        <v>1834121</v>
      </c>
      <c r="F2698" s="86">
        <v>175028</v>
      </c>
      <c r="G2698" s="87">
        <v>9.5428818</v>
      </c>
    </row>
    <row r="2699" spans="1:7" x14ac:dyDescent="0.25">
      <c r="A2699" s="84" t="s">
        <v>1793</v>
      </c>
      <c r="B2699" s="84" t="s">
        <v>112</v>
      </c>
      <c r="C2699" s="84" t="s">
        <v>283</v>
      </c>
      <c r="D2699" s="85">
        <v>1808</v>
      </c>
      <c r="E2699" s="85">
        <v>105816</v>
      </c>
      <c r="F2699" s="86">
        <v>8497</v>
      </c>
      <c r="G2699" s="87">
        <v>8.0299765999999995</v>
      </c>
    </row>
    <row r="2700" spans="1:7" x14ac:dyDescent="0.25">
      <c r="A2700" s="84" t="s">
        <v>1794</v>
      </c>
      <c r="B2700" s="84" t="s">
        <v>112</v>
      </c>
      <c r="C2700" s="84" t="s">
        <v>283</v>
      </c>
      <c r="D2700" s="85">
        <v>21930</v>
      </c>
      <c r="E2700" s="85">
        <v>548903</v>
      </c>
      <c r="F2700" s="86">
        <v>52339</v>
      </c>
      <c r="G2700" s="87">
        <v>9.5352002000000002</v>
      </c>
    </row>
    <row r="2701" spans="1:7" x14ac:dyDescent="0.25">
      <c r="A2701" s="84" t="s">
        <v>1795</v>
      </c>
      <c r="B2701" s="84" t="s">
        <v>112</v>
      </c>
      <c r="C2701" s="84" t="s">
        <v>283</v>
      </c>
      <c r="D2701" s="85">
        <v>16322</v>
      </c>
      <c r="E2701" s="85">
        <v>493523</v>
      </c>
      <c r="F2701" s="86">
        <v>54320</v>
      </c>
      <c r="G2701" s="87">
        <v>11.006579</v>
      </c>
    </row>
    <row r="2702" spans="1:7" x14ac:dyDescent="0.25">
      <c r="A2702" s="84" t="s">
        <v>1796</v>
      </c>
      <c r="B2702" s="84" t="s">
        <v>112</v>
      </c>
      <c r="C2702" s="84" t="s">
        <v>283</v>
      </c>
      <c r="D2702" s="85">
        <v>21428</v>
      </c>
      <c r="E2702" s="85">
        <v>457593</v>
      </c>
      <c r="F2702" s="86">
        <v>46192</v>
      </c>
      <c r="G2702" s="87">
        <v>10.09456</v>
      </c>
    </row>
    <row r="2703" spans="1:7" x14ac:dyDescent="0.25">
      <c r="A2703" s="84" t="s">
        <v>1797</v>
      </c>
      <c r="B2703" s="84" t="s">
        <v>112</v>
      </c>
      <c r="C2703" s="84" t="s">
        <v>283</v>
      </c>
      <c r="D2703" s="85">
        <v>14601</v>
      </c>
      <c r="E2703" s="85">
        <v>423128</v>
      </c>
      <c r="F2703" s="86">
        <v>44878</v>
      </c>
      <c r="G2703" s="87">
        <v>10.606247</v>
      </c>
    </row>
    <row r="2704" spans="1:7" x14ac:dyDescent="0.25">
      <c r="A2704" s="84" t="s">
        <v>1798</v>
      </c>
      <c r="B2704" s="84" t="s">
        <v>112</v>
      </c>
      <c r="C2704" s="84" t="s">
        <v>283</v>
      </c>
      <c r="D2704" s="85">
        <v>6630</v>
      </c>
      <c r="E2704" s="85">
        <v>191490</v>
      </c>
      <c r="F2704" s="86">
        <v>19204</v>
      </c>
      <c r="G2704" s="87">
        <v>10.028722</v>
      </c>
    </row>
    <row r="2705" spans="1:7" x14ac:dyDescent="0.25">
      <c r="A2705" s="84" t="s">
        <v>1799</v>
      </c>
      <c r="B2705" s="84" t="s">
        <v>112</v>
      </c>
      <c r="C2705" s="84" t="s">
        <v>283</v>
      </c>
      <c r="D2705" s="85">
        <v>14709</v>
      </c>
      <c r="E2705" s="85">
        <v>307620</v>
      </c>
      <c r="F2705" s="86">
        <v>33367</v>
      </c>
      <c r="G2705" s="87">
        <v>10.846824</v>
      </c>
    </row>
    <row r="2706" spans="1:7" x14ac:dyDescent="0.25">
      <c r="A2706" s="84" t="s">
        <v>1800</v>
      </c>
      <c r="B2706" s="84" t="s">
        <v>112</v>
      </c>
      <c r="C2706" s="84" t="s">
        <v>283</v>
      </c>
      <c r="D2706" s="85">
        <v>10455</v>
      </c>
      <c r="E2706" s="85">
        <v>367193</v>
      </c>
      <c r="F2706" s="86">
        <v>33928</v>
      </c>
      <c r="G2706" s="87">
        <v>9.2398275999999999</v>
      </c>
    </row>
    <row r="2707" spans="1:7" x14ac:dyDescent="0.25">
      <c r="A2707" s="84" t="s">
        <v>1801</v>
      </c>
      <c r="B2707" s="84" t="s">
        <v>112</v>
      </c>
      <c r="C2707" s="84" t="s">
        <v>283</v>
      </c>
      <c r="D2707" s="85">
        <v>2784</v>
      </c>
      <c r="E2707" s="85">
        <v>127295</v>
      </c>
      <c r="F2707" s="86">
        <v>11313</v>
      </c>
      <c r="G2707" s="87">
        <v>8.8872304</v>
      </c>
    </row>
    <row r="2708" spans="1:7" x14ac:dyDescent="0.25">
      <c r="A2708" s="84" t="s">
        <v>1802</v>
      </c>
      <c r="B2708" s="84" t="s">
        <v>112</v>
      </c>
      <c r="C2708" s="84" t="s">
        <v>283</v>
      </c>
      <c r="D2708" s="85">
        <v>2989</v>
      </c>
      <c r="E2708" s="85">
        <v>124020</v>
      </c>
      <c r="F2708" s="86">
        <v>11668</v>
      </c>
      <c r="G2708" s="87">
        <v>9.4081600000000005</v>
      </c>
    </row>
    <row r="2709" spans="1:7" x14ac:dyDescent="0.25">
      <c r="A2709" s="84" t="s">
        <v>1803</v>
      </c>
      <c r="B2709" s="84" t="s">
        <v>112</v>
      </c>
      <c r="C2709" s="84" t="s">
        <v>283</v>
      </c>
      <c r="D2709" s="85">
        <v>8432</v>
      </c>
      <c r="E2709" s="85">
        <v>290472</v>
      </c>
      <c r="F2709" s="86">
        <v>27408</v>
      </c>
      <c r="G2709" s="87">
        <v>9.4356770999999995</v>
      </c>
    </row>
    <row r="2710" spans="1:7" x14ac:dyDescent="0.25">
      <c r="A2710" s="84" t="s">
        <v>1804</v>
      </c>
      <c r="B2710" s="84" t="s">
        <v>112</v>
      </c>
      <c r="C2710" s="84" t="s">
        <v>283</v>
      </c>
      <c r="D2710" s="85">
        <v>9104</v>
      </c>
      <c r="E2710" s="85">
        <v>245939</v>
      </c>
      <c r="F2710" s="86">
        <v>24580</v>
      </c>
      <c r="G2710" s="87">
        <v>9.9943481999999992</v>
      </c>
    </row>
    <row r="2711" spans="1:7" x14ac:dyDescent="0.25">
      <c r="A2711" s="84" t="s">
        <v>1805</v>
      </c>
      <c r="B2711" s="84" t="s">
        <v>112</v>
      </c>
      <c r="C2711" s="84" t="s">
        <v>283</v>
      </c>
      <c r="D2711" s="85">
        <v>2414</v>
      </c>
      <c r="E2711" s="85">
        <v>66158</v>
      </c>
      <c r="F2711" s="86">
        <v>7040</v>
      </c>
      <c r="G2711" s="87">
        <v>10.641192</v>
      </c>
    </row>
    <row r="2712" spans="1:7" x14ac:dyDescent="0.25">
      <c r="A2712" s="84" t="s">
        <v>1806</v>
      </c>
      <c r="B2712" s="84" t="s">
        <v>112</v>
      </c>
      <c r="C2712" s="84" t="s">
        <v>283</v>
      </c>
      <c r="D2712" s="85">
        <v>6423</v>
      </c>
      <c r="E2712" s="85">
        <v>297556</v>
      </c>
      <c r="F2712" s="86">
        <v>25727</v>
      </c>
      <c r="G2712" s="87">
        <v>8.6461036</v>
      </c>
    </row>
    <row r="2713" spans="1:7" x14ac:dyDescent="0.25">
      <c r="A2713" s="84" t="s">
        <v>1807</v>
      </c>
      <c r="B2713" s="84" t="s">
        <v>112</v>
      </c>
      <c r="C2713" s="84" t="s">
        <v>283</v>
      </c>
      <c r="D2713" s="85">
        <v>6160</v>
      </c>
      <c r="E2713" s="85">
        <v>181001</v>
      </c>
      <c r="F2713" s="86">
        <v>18409</v>
      </c>
      <c r="G2713" s="87">
        <v>10.170662</v>
      </c>
    </row>
    <row r="2714" spans="1:7" x14ac:dyDescent="0.25">
      <c r="A2714" s="84" t="s">
        <v>1808</v>
      </c>
      <c r="B2714" s="84" t="s">
        <v>112</v>
      </c>
      <c r="C2714" s="84" t="s">
        <v>283</v>
      </c>
      <c r="D2714" s="85">
        <v>29810</v>
      </c>
      <c r="E2714" s="85">
        <v>666361</v>
      </c>
      <c r="F2714" s="86">
        <v>70751</v>
      </c>
      <c r="G2714" s="87">
        <v>10.617518</v>
      </c>
    </row>
    <row r="2715" spans="1:7" x14ac:dyDescent="0.25">
      <c r="A2715" s="84" t="s">
        <v>1809</v>
      </c>
      <c r="B2715" s="84" t="s">
        <v>112</v>
      </c>
      <c r="C2715" s="84" t="s">
        <v>281</v>
      </c>
      <c r="D2715" s="85">
        <v>98386</v>
      </c>
      <c r="E2715" s="85">
        <v>2778375</v>
      </c>
      <c r="F2715" s="86">
        <v>283862</v>
      </c>
      <c r="G2715" s="87">
        <v>10.216835</v>
      </c>
    </row>
    <row r="2716" spans="1:7" x14ac:dyDescent="0.25">
      <c r="A2716" s="84" t="s">
        <v>941</v>
      </c>
      <c r="B2716" s="84" t="s">
        <v>112</v>
      </c>
      <c r="C2716" s="84" t="s">
        <v>281</v>
      </c>
      <c r="D2716" s="85">
        <v>70</v>
      </c>
      <c r="E2716" s="85">
        <v>717</v>
      </c>
      <c r="F2716" s="86">
        <v>82</v>
      </c>
      <c r="G2716" s="87">
        <v>11.436541</v>
      </c>
    </row>
    <row r="2717" spans="1:7" x14ac:dyDescent="0.25">
      <c r="A2717" s="84" t="s">
        <v>1810</v>
      </c>
      <c r="B2717" s="84" t="s">
        <v>112</v>
      </c>
      <c r="C2717" s="84" t="s">
        <v>281</v>
      </c>
      <c r="D2717" s="85">
        <v>76672</v>
      </c>
      <c r="E2717" s="85">
        <v>1887233</v>
      </c>
      <c r="F2717" s="86">
        <v>197476</v>
      </c>
      <c r="G2717" s="87">
        <v>10.463785</v>
      </c>
    </row>
    <row r="2718" spans="1:7" x14ac:dyDescent="0.25">
      <c r="A2718" s="84" t="s">
        <v>2363</v>
      </c>
      <c r="B2718" s="84" t="s">
        <v>112</v>
      </c>
      <c r="C2718" s="84" t="s">
        <v>278</v>
      </c>
      <c r="D2718" s="85">
        <v>8</v>
      </c>
      <c r="E2718" s="85">
        <v>49</v>
      </c>
      <c r="F2718" s="86">
        <v>7</v>
      </c>
      <c r="G2718" s="87">
        <v>14.285714</v>
      </c>
    </row>
    <row r="2719" spans="1:7" x14ac:dyDescent="0.25">
      <c r="A2719" s="84" t="s">
        <v>1811</v>
      </c>
      <c r="B2719" s="84" t="s">
        <v>112</v>
      </c>
      <c r="C2719" s="84" t="s">
        <v>281</v>
      </c>
      <c r="D2719" s="85">
        <v>9957</v>
      </c>
      <c r="E2719" s="85">
        <v>201093</v>
      </c>
      <c r="F2719" s="86">
        <v>23229</v>
      </c>
      <c r="G2719" s="87">
        <v>11.551372000000001</v>
      </c>
    </row>
    <row r="2720" spans="1:7" x14ac:dyDescent="0.25">
      <c r="A2720" s="84" t="s">
        <v>1812</v>
      </c>
      <c r="B2720" s="84" t="s">
        <v>112</v>
      </c>
      <c r="C2720" s="84" t="s">
        <v>281</v>
      </c>
      <c r="D2720" s="85">
        <v>32971</v>
      </c>
      <c r="E2720" s="85">
        <v>625457</v>
      </c>
      <c r="F2720" s="86">
        <v>69306</v>
      </c>
      <c r="G2720" s="87">
        <v>11.080857999999999</v>
      </c>
    </row>
    <row r="2721" spans="1:7" x14ac:dyDescent="0.25">
      <c r="A2721" s="84" t="s">
        <v>1344</v>
      </c>
      <c r="B2721" s="84" t="s">
        <v>112</v>
      </c>
      <c r="C2721" s="84" t="s">
        <v>281</v>
      </c>
      <c r="D2721" s="85">
        <v>1022</v>
      </c>
      <c r="E2721" s="85">
        <v>8673</v>
      </c>
      <c r="F2721" s="86">
        <v>1190.7</v>
      </c>
      <c r="G2721" s="87">
        <v>13.728814</v>
      </c>
    </row>
    <row r="2722" spans="1:7" x14ac:dyDescent="0.25">
      <c r="A2722" s="84" t="s">
        <v>1813</v>
      </c>
      <c r="B2722" s="84" t="s">
        <v>112</v>
      </c>
      <c r="C2722" s="84" t="s">
        <v>281</v>
      </c>
      <c r="D2722" s="85">
        <v>34832</v>
      </c>
      <c r="E2722" s="85">
        <v>815877</v>
      </c>
      <c r="F2722" s="86">
        <v>85394</v>
      </c>
      <c r="G2722" s="87">
        <v>10.466529</v>
      </c>
    </row>
    <row r="2723" spans="1:7" x14ac:dyDescent="0.25">
      <c r="A2723" s="84" t="s">
        <v>1814</v>
      </c>
      <c r="B2723" s="84" t="s">
        <v>112</v>
      </c>
      <c r="C2723" s="84" t="s">
        <v>281</v>
      </c>
      <c r="D2723" s="85">
        <v>30595</v>
      </c>
      <c r="E2723" s="85">
        <v>790158</v>
      </c>
      <c r="F2723" s="86">
        <v>76403</v>
      </c>
      <c r="G2723" s="87">
        <v>9.6693320000000007</v>
      </c>
    </row>
    <row r="2724" spans="1:7" x14ac:dyDescent="0.25">
      <c r="A2724" s="84" t="s">
        <v>1815</v>
      </c>
      <c r="B2724" s="84" t="s">
        <v>112</v>
      </c>
      <c r="C2724" s="84" t="s">
        <v>283</v>
      </c>
      <c r="D2724" s="85">
        <v>79118</v>
      </c>
      <c r="E2724" s="85">
        <v>1846061</v>
      </c>
      <c r="F2724" s="86">
        <v>199912</v>
      </c>
      <c r="G2724" s="87">
        <v>10.829110999999999</v>
      </c>
    </row>
    <row r="2725" spans="1:7" x14ac:dyDescent="0.25">
      <c r="A2725" s="84" t="s">
        <v>953</v>
      </c>
      <c r="B2725" s="84" t="s">
        <v>112</v>
      </c>
      <c r="C2725" s="84" t="s">
        <v>278</v>
      </c>
      <c r="D2725" s="85">
        <v>3</v>
      </c>
      <c r="E2725" s="85">
        <v>16</v>
      </c>
      <c r="F2725" s="86">
        <v>1.2</v>
      </c>
      <c r="G2725" s="87">
        <v>7.5</v>
      </c>
    </row>
    <row r="2726" spans="1:7" x14ac:dyDescent="0.25">
      <c r="A2726" s="84" t="s">
        <v>1816</v>
      </c>
      <c r="B2726" s="84" t="s">
        <v>112</v>
      </c>
      <c r="C2726" s="84" t="s">
        <v>278</v>
      </c>
      <c r="D2726" s="85">
        <v>48290</v>
      </c>
      <c r="E2726" s="85">
        <v>1944080</v>
      </c>
      <c r="F2726" s="86">
        <v>153721</v>
      </c>
      <c r="G2726" s="87">
        <v>7.9071334999999996</v>
      </c>
    </row>
    <row r="2727" spans="1:7" x14ac:dyDescent="0.25">
      <c r="A2727" s="84" t="s">
        <v>1817</v>
      </c>
      <c r="B2727" s="84" t="s">
        <v>112</v>
      </c>
      <c r="C2727" s="84" t="s">
        <v>283</v>
      </c>
      <c r="D2727" s="85">
        <v>205454</v>
      </c>
      <c r="E2727" s="85">
        <v>5362343</v>
      </c>
      <c r="F2727" s="86">
        <v>545218</v>
      </c>
      <c r="G2727" s="87">
        <v>10.167533000000001</v>
      </c>
    </row>
    <row r="2728" spans="1:7" x14ac:dyDescent="0.25">
      <c r="A2728" s="84" t="s">
        <v>1818</v>
      </c>
      <c r="B2728" s="84" t="s">
        <v>112</v>
      </c>
      <c r="C2728" s="84" t="s">
        <v>283</v>
      </c>
      <c r="D2728" s="85">
        <v>12410</v>
      </c>
      <c r="E2728" s="85">
        <v>610309</v>
      </c>
      <c r="F2728" s="86">
        <v>48956</v>
      </c>
      <c r="G2728" s="87">
        <v>8.0215104000000004</v>
      </c>
    </row>
    <row r="2729" spans="1:7" x14ac:dyDescent="0.25">
      <c r="A2729" s="84" t="s">
        <v>1819</v>
      </c>
      <c r="B2729" s="84" t="s">
        <v>112</v>
      </c>
      <c r="C2729" s="84" t="s">
        <v>283</v>
      </c>
      <c r="D2729" s="85">
        <v>21816</v>
      </c>
      <c r="E2729" s="85">
        <v>801100</v>
      </c>
      <c r="F2729" s="86">
        <v>68205</v>
      </c>
      <c r="G2729" s="87">
        <v>8.5139183999999997</v>
      </c>
    </row>
    <row r="2730" spans="1:7" x14ac:dyDescent="0.25">
      <c r="A2730" s="84" t="s">
        <v>1820</v>
      </c>
      <c r="B2730" s="84" t="s">
        <v>112</v>
      </c>
      <c r="C2730" s="84" t="s">
        <v>283</v>
      </c>
      <c r="D2730" s="85">
        <v>8082</v>
      </c>
      <c r="E2730" s="85">
        <v>189161</v>
      </c>
      <c r="F2730" s="86">
        <v>19851</v>
      </c>
      <c r="G2730" s="87">
        <v>10.494235</v>
      </c>
    </row>
    <row r="2731" spans="1:7" x14ac:dyDescent="0.25">
      <c r="A2731" s="84" t="s">
        <v>1821</v>
      </c>
      <c r="B2731" s="84" t="s">
        <v>112</v>
      </c>
      <c r="C2731" s="84" t="s">
        <v>281</v>
      </c>
      <c r="D2731" s="85">
        <v>34509</v>
      </c>
      <c r="E2731" s="85">
        <v>1082931</v>
      </c>
      <c r="F2731" s="86">
        <v>101740</v>
      </c>
      <c r="G2731" s="87">
        <v>9.3948736999999998</v>
      </c>
    </row>
    <row r="2732" spans="1:7" x14ac:dyDescent="0.25">
      <c r="A2732" s="84" t="s">
        <v>1822</v>
      </c>
      <c r="B2732" s="84" t="s">
        <v>112</v>
      </c>
      <c r="C2732" s="84" t="s">
        <v>281</v>
      </c>
      <c r="D2732" s="85">
        <v>232159</v>
      </c>
      <c r="E2732" s="85">
        <v>6263667</v>
      </c>
      <c r="F2732" s="86">
        <v>606573</v>
      </c>
      <c r="G2732" s="87">
        <v>9.6839917999999994</v>
      </c>
    </row>
    <row r="2733" spans="1:7" x14ac:dyDescent="0.25">
      <c r="A2733" s="84" t="s">
        <v>1350</v>
      </c>
      <c r="B2733" s="84" t="s">
        <v>112</v>
      </c>
      <c r="C2733" s="84" t="s">
        <v>281</v>
      </c>
      <c r="D2733" s="85">
        <v>15392</v>
      </c>
      <c r="E2733" s="85">
        <v>369448</v>
      </c>
      <c r="F2733" s="86">
        <v>30636</v>
      </c>
      <c r="G2733" s="87">
        <v>8.2923712999999992</v>
      </c>
    </row>
    <row r="2734" spans="1:7" x14ac:dyDescent="0.25">
      <c r="A2734" s="84" t="s">
        <v>1823</v>
      </c>
      <c r="B2734" s="84" t="s">
        <v>112</v>
      </c>
      <c r="C2734" s="84" t="s">
        <v>283</v>
      </c>
      <c r="D2734" s="85">
        <v>409190</v>
      </c>
      <c r="E2734" s="85">
        <v>12075656</v>
      </c>
      <c r="F2734" s="86">
        <v>1313818</v>
      </c>
      <c r="G2734" s="87">
        <v>10.879889</v>
      </c>
    </row>
    <row r="2735" spans="1:7" x14ac:dyDescent="0.25">
      <c r="A2735" s="84" t="s">
        <v>1824</v>
      </c>
      <c r="B2735" s="84" t="s">
        <v>112</v>
      </c>
      <c r="C2735" s="84" t="s">
        <v>281</v>
      </c>
      <c r="D2735" s="85">
        <v>20679</v>
      </c>
      <c r="E2735" s="85">
        <v>371927</v>
      </c>
      <c r="F2735" s="86">
        <v>44425</v>
      </c>
      <c r="G2735" s="87">
        <v>11.944547999999999</v>
      </c>
    </row>
    <row r="2736" spans="1:7" x14ac:dyDescent="0.25">
      <c r="A2736" s="84" t="s">
        <v>1825</v>
      </c>
      <c r="B2736" s="84" t="s">
        <v>112</v>
      </c>
      <c r="C2736" s="84" t="s">
        <v>281</v>
      </c>
      <c r="D2736" s="85">
        <v>17088</v>
      </c>
      <c r="E2736" s="85">
        <v>302429</v>
      </c>
      <c r="F2736" s="86">
        <v>36043</v>
      </c>
      <c r="G2736" s="87">
        <v>11.917839000000001</v>
      </c>
    </row>
    <row r="2737" spans="1:7" x14ac:dyDescent="0.25">
      <c r="A2737" s="84" t="s">
        <v>1826</v>
      </c>
      <c r="B2737" s="84" t="s">
        <v>112</v>
      </c>
      <c r="C2737" s="84" t="s">
        <v>281</v>
      </c>
      <c r="D2737" s="85">
        <v>24152</v>
      </c>
      <c r="E2737" s="85">
        <v>413789</v>
      </c>
      <c r="F2737" s="86">
        <v>44201</v>
      </c>
      <c r="G2737" s="87">
        <v>10.682014000000001</v>
      </c>
    </row>
    <row r="2738" spans="1:7" x14ac:dyDescent="0.25">
      <c r="A2738" s="84" t="s">
        <v>1827</v>
      </c>
      <c r="B2738" s="84" t="s">
        <v>112</v>
      </c>
      <c r="C2738" s="84" t="s">
        <v>281</v>
      </c>
      <c r="D2738" s="85">
        <v>35803</v>
      </c>
      <c r="E2738" s="85">
        <v>819809</v>
      </c>
      <c r="F2738" s="86">
        <v>88670</v>
      </c>
      <c r="G2738" s="87">
        <v>10.815934</v>
      </c>
    </row>
    <row r="2739" spans="1:7" x14ac:dyDescent="0.25">
      <c r="A2739" s="84" t="s">
        <v>1828</v>
      </c>
      <c r="B2739" s="84" t="s">
        <v>112</v>
      </c>
      <c r="C2739" s="84" t="s">
        <v>283</v>
      </c>
      <c r="D2739" s="85">
        <v>55865</v>
      </c>
      <c r="E2739" s="85">
        <v>1493228</v>
      </c>
      <c r="F2739" s="86">
        <v>153683</v>
      </c>
      <c r="G2739" s="87">
        <v>10.291998</v>
      </c>
    </row>
    <row r="2740" spans="1:7" x14ac:dyDescent="0.25">
      <c r="A2740" s="84" t="s">
        <v>2384</v>
      </c>
      <c r="B2740" s="84" t="s">
        <v>112</v>
      </c>
      <c r="C2740" s="84" t="s">
        <v>281</v>
      </c>
      <c r="D2740" s="85">
        <v>184</v>
      </c>
      <c r="E2740" s="85">
        <v>2544</v>
      </c>
      <c r="F2740" s="86">
        <v>290.60000000000002</v>
      </c>
      <c r="G2740" s="87">
        <v>11.422955999999999</v>
      </c>
    </row>
    <row r="2741" spans="1:7" x14ac:dyDescent="0.25">
      <c r="A2741" s="84" t="s">
        <v>1829</v>
      </c>
      <c r="B2741" s="84" t="s">
        <v>112</v>
      </c>
      <c r="C2741" s="84" t="s">
        <v>281</v>
      </c>
      <c r="D2741" s="85">
        <v>50319</v>
      </c>
      <c r="E2741" s="85">
        <v>934973</v>
      </c>
      <c r="F2741" s="86">
        <v>109050</v>
      </c>
      <c r="G2741" s="87">
        <v>11.663437999999999</v>
      </c>
    </row>
    <row r="2742" spans="1:7" x14ac:dyDescent="0.25">
      <c r="A2742" s="84" t="s">
        <v>350</v>
      </c>
      <c r="B2742" s="84" t="s">
        <v>112</v>
      </c>
      <c r="C2742" s="84" t="s">
        <v>351</v>
      </c>
      <c r="D2742" s="85">
        <v>23</v>
      </c>
      <c r="E2742" s="85">
        <v>5868900</v>
      </c>
      <c r="F2742" s="86">
        <v>260943</v>
      </c>
      <c r="G2742" s="87">
        <v>4.4461994999999996</v>
      </c>
    </row>
    <row r="2743" spans="1:7" x14ac:dyDescent="0.25">
      <c r="A2743" s="84" t="s">
        <v>1830</v>
      </c>
      <c r="B2743" s="84" t="s">
        <v>112</v>
      </c>
      <c r="C2743" s="84" t="s">
        <v>281</v>
      </c>
      <c r="D2743" s="85">
        <v>19618</v>
      </c>
      <c r="E2743" s="85">
        <v>384756</v>
      </c>
      <c r="F2743" s="86">
        <v>44340</v>
      </c>
      <c r="G2743" s="87">
        <v>11.524187</v>
      </c>
    </row>
    <row r="2744" spans="1:7" x14ac:dyDescent="0.25">
      <c r="A2744" s="84" t="s">
        <v>1831</v>
      </c>
      <c r="B2744" s="84" t="s">
        <v>112</v>
      </c>
      <c r="C2744" s="84" t="s">
        <v>283</v>
      </c>
      <c r="D2744" s="85">
        <v>8930</v>
      </c>
      <c r="E2744" s="85">
        <v>211883</v>
      </c>
      <c r="F2744" s="86">
        <v>21795</v>
      </c>
      <c r="G2744" s="87">
        <v>10.286337</v>
      </c>
    </row>
    <row r="2745" spans="1:7" x14ac:dyDescent="0.25">
      <c r="A2745" s="84" t="s">
        <v>2385</v>
      </c>
      <c r="B2745" s="84" t="s">
        <v>112</v>
      </c>
      <c r="C2745" s="84" t="s">
        <v>281</v>
      </c>
      <c r="D2745" s="85">
        <v>27930</v>
      </c>
      <c r="E2745" s="85">
        <v>526657</v>
      </c>
      <c r="F2745" s="86">
        <v>59816</v>
      </c>
      <c r="G2745" s="87">
        <v>11.357677000000001</v>
      </c>
    </row>
    <row r="2746" spans="1:7" x14ac:dyDescent="0.25">
      <c r="A2746" s="84" t="s">
        <v>643</v>
      </c>
      <c r="B2746" s="84" t="s">
        <v>112</v>
      </c>
      <c r="C2746" s="84" t="s">
        <v>281</v>
      </c>
      <c r="D2746" s="85">
        <v>3200</v>
      </c>
      <c r="E2746" s="85">
        <v>46852</v>
      </c>
      <c r="F2746" s="86">
        <v>6029</v>
      </c>
      <c r="G2746" s="87">
        <v>12.868181</v>
      </c>
    </row>
    <row r="2747" spans="1:7" x14ac:dyDescent="0.25">
      <c r="A2747" s="84" t="s">
        <v>1832</v>
      </c>
      <c r="B2747" s="84" t="s">
        <v>112</v>
      </c>
      <c r="C2747" s="84" t="s">
        <v>283</v>
      </c>
      <c r="D2747" s="85">
        <v>10897</v>
      </c>
      <c r="E2747" s="85">
        <v>282696</v>
      </c>
      <c r="F2747" s="86">
        <v>26405</v>
      </c>
      <c r="G2747" s="87">
        <v>9.3404222000000008</v>
      </c>
    </row>
    <row r="2748" spans="1:7" x14ac:dyDescent="0.25">
      <c r="A2748" s="84" t="s">
        <v>1833</v>
      </c>
      <c r="B2748" s="84" t="s">
        <v>112</v>
      </c>
      <c r="C2748" s="84" t="s">
        <v>281</v>
      </c>
      <c r="D2748" s="85">
        <v>50488</v>
      </c>
      <c r="E2748" s="85">
        <v>1056255</v>
      </c>
      <c r="F2748" s="86">
        <v>114706</v>
      </c>
      <c r="G2748" s="87">
        <v>10.859688</v>
      </c>
    </row>
    <row r="2749" spans="1:7" x14ac:dyDescent="0.25">
      <c r="A2749" s="84" t="s">
        <v>1834</v>
      </c>
      <c r="B2749" s="84" t="s">
        <v>112</v>
      </c>
      <c r="C2749" s="84" t="s">
        <v>281</v>
      </c>
      <c r="D2749" s="85">
        <v>117793</v>
      </c>
      <c r="E2749" s="85">
        <v>2339331</v>
      </c>
      <c r="F2749" s="86">
        <v>243366</v>
      </c>
      <c r="G2749" s="87">
        <v>10.403231</v>
      </c>
    </row>
    <row r="2750" spans="1:7" x14ac:dyDescent="0.25">
      <c r="A2750" s="84" t="s">
        <v>1835</v>
      </c>
      <c r="B2750" s="84" t="s">
        <v>112</v>
      </c>
      <c r="C2750" s="84" t="s">
        <v>283</v>
      </c>
      <c r="D2750" s="85">
        <v>20448</v>
      </c>
      <c r="E2750" s="85">
        <v>462758</v>
      </c>
      <c r="F2750" s="86">
        <v>46682</v>
      </c>
      <c r="G2750" s="87">
        <v>10.087778</v>
      </c>
    </row>
    <row r="2751" spans="1:7" x14ac:dyDescent="0.25">
      <c r="A2751" s="84" t="s">
        <v>2408</v>
      </c>
      <c r="B2751" s="84" t="s">
        <v>115</v>
      </c>
      <c r="C2751" s="84" t="s">
        <v>1837</v>
      </c>
      <c r="D2751" s="85">
        <v>2985</v>
      </c>
      <c r="E2751" s="85">
        <v>34587</v>
      </c>
      <c r="F2751" s="86">
        <v>4624.5</v>
      </c>
      <c r="G2751" s="87">
        <v>13.370630999999999</v>
      </c>
    </row>
    <row r="2752" spans="1:7" x14ac:dyDescent="0.25">
      <c r="A2752" s="84" t="s">
        <v>1838</v>
      </c>
      <c r="B2752" s="84" t="s">
        <v>115</v>
      </c>
      <c r="C2752" s="84" t="s">
        <v>1837</v>
      </c>
      <c r="D2752" s="85">
        <v>23564</v>
      </c>
      <c r="E2752" s="85">
        <v>1012247</v>
      </c>
      <c r="F2752" s="86">
        <v>57344</v>
      </c>
      <c r="G2752" s="87">
        <v>5.6650204999999998</v>
      </c>
    </row>
    <row r="2753" spans="1:7" x14ac:dyDescent="0.25">
      <c r="A2753" s="84" t="s">
        <v>2410</v>
      </c>
      <c r="B2753" s="84" t="s">
        <v>115</v>
      </c>
      <c r="C2753" s="84" t="s">
        <v>1837</v>
      </c>
      <c r="D2753" s="85">
        <v>6055</v>
      </c>
      <c r="E2753" s="85">
        <v>47578</v>
      </c>
      <c r="F2753" s="86">
        <v>2161.5</v>
      </c>
      <c r="G2753" s="87">
        <v>4.5430660999999999</v>
      </c>
    </row>
    <row r="2754" spans="1:7" x14ac:dyDescent="0.25">
      <c r="A2754" s="84" t="s">
        <v>1840</v>
      </c>
      <c r="B2754" s="84" t="s">
        <v>115</v>
      </c>
      <c r="C2754" s="84" t="s">
        <v>1837</v>
      </c>
      <c r="D2754" s="85">
        <v>8052</v>
      </c>
      <c r="E2754" s="85">
        <v>129171</v>
      </c>
      <c r="F2754" s="86">
        <v>14697</v>
      </c>
      <c r="G2754" s="87">
        <v>11.377941</v>
      </c>
    </row>
    <row r="2755" spans="1:7" x14ac:dyDescent="0.25">
      <c r="A2755" s="84" t="s">
        <v>1841</v>
      </c>
      <c r="B2755" s="84" t="s">
        <v>115</v>
      </c>
      <c r="C2755" s="84" t="s">
        <v>1837</v>
      </c>
      <c r="D2755" s="85">
        <v>4652</v>
      </c>
      <c r="E2755" s="85">
        <v>297396</v>
      </c>
      <c r="F2755" s="86">
        <v>28057</v>
      </c>
      <c r="G2755" s="87">
        <v>9.4342223999999995</v>
      </c>
    </row>
    <row r="2756" spans="1:7" x14ac:dyDescent="0.25">
      <c r="A2756" s="84" t="s">
        <v>2411</v>
      </c>
      <c r="B2756" s="84" t="s">
        <v>115</v>
      </c>
      <c r="C2756" s="84" t="s">
        <v>1837</v>
      </c>
      <c r="D2756" s="85">
        <v>7360</v>
      </c>
      <c r="E2756" s="85">
        <v>208325</v>
      </c>
      <c r="F2756" s="86">
        <v>12396.6</v>
      </c>
      <c r="G2756" s="87">
        <v>5.9506059999999996</v>
      </c>
    </row>
    <row r="2757" spans="1:7" x14ac:dyDescent="0.25">
      <c r="A2757" s="84" t="s">
        <v>1843</v>
      </c>
      <c r="B2757" s="84" t="s">
        <v>115</v>
      </c>
      <c r="C2757" s="84" t="s">
        <v>1837</v>
      </c>
      <c r="D2757" s="85">
        <v>443055</v>
      </c>
      <c r="E2757" s="85">
        <v>6443797</v>
      </c>
      <c r="F2757" s="86">
        <v>784143.7</v>
      </c>
      <c r="G2757" s="87">
        <v>12.16897</v>
      </c>
    </row>
    <row r="2758" spans="1:7" x14ac:dyDescent="0.25">
      <c r="A2758" s="84" t="s">
        <v>1844</v>
      </c>
      <c r="B2758" s="84" t="s">
        <v>115</v>
      </c>
      <c r="C2758" s="84" t="s">
        <v>1837</v>
      </c>
      <c r="D2758" s="85">
        <v>14431</v>
      </c>
      <c r="E2758" s="85">
        <v>789264</v>
      </c>
      <c r="F2758" s="86">
        <v>69534.3</v>
      </c>
      <c r="G2758" s="87">
        <v>8.8100179000000001</v>
      </c>
    </row>
    <row r="2759" spans="1:7" x14ac:dyDescent="0.25">
      <c r="A2759" s="84" t="s">
        <v>1845</v>
      </c>
      <c r="B2759" s="84" t="s">
        <v>115</v>
      </c>
      <c r="C2759" s="84" t="s">
        <v>1837</v>
      </c>
      <c r="D2759" s="85">
        <v>7403</v>
      </c>
      <c r="E2759" s="85">
        <v>193415</v>
      </c>
      <c r="F2759" s="86">
        <v>17297.7</v>
      </c>
      <c r="G2759" s="87">
        <v>8.9433083999999994</v>
      </c>
    </row>
    <row r="2760" spans="1:7" x14ac:dyDescent="0.25">
      <c r="A2760" s="84" t="s">
        <v>1846</v>
      </c>
      <c r="B2760" s="84" t="s">
        <v>115</v>
      </c>
      <c r="C2760" s="84" t="s">
        <v>1837</v>
      </c>
      <c r="D2760" s="85">
        <v>1</v>
      </c>
      <c r="E2760" s="85">
        <v>167135</v>
      </c>
      <c r="F2760" s="86">
        <v>7756</v>
      </c>
      <c r="G2760" s="87">
        <v>4.6405599999999998</v>
      </c>
    </row>
    <row r="2761" spans="1:7" x14ac:dyDescent="0.25">
      <c r="A2761" s="84" t="s">
        <v>1847</v>
      </c>
      <c r="B2761" s="84" t="s">
        <v>115</v>
      </c>
      <c r="C2761" s="84" t="s">
        <v>1837</v>
      </c>
      <c r="D2761" s="85">
        <v>132623</v>
      </c>
      <c r="E2761" s="85">
        <v>1953158</v>
      </c>
      <c r="F2761" s="86">
        <v>249821.2</v>
      </c>
      <c r="G2761" s="87">
        <v>12.790628999999999</v>
      </c>
    </row>
    <row r="2762" spans="1:7" x14ac:dyDescent="0.25">
      <c r="A2762" s="84" t="s">
        <v>1848</v>
      </c>
      <c r="B2762" s="84" t="s">
        <v>115</v>
      </c>
      <c r="C2762" s="84" t="s">
        <v>283</v>
      </c>
      <c r="D2762" s="85">
        <v>499542</v>
      </c>
      <c r="E2762" s="85">
        <v>13695862</v>
      </c>
      <c r="F2762" s="86">
        <v>1258700.1000000001</v>
      </c>
      <c r="G2762" s="87">
        <v>9.1903679</v>
      </c>
    </row>
    <row r="2763" spans="1:7" x14ac:dyDescent="0.25">
      <c r="A2763" s="84" t="s">
        <v>1849</v>
      </c>
      <c r="B2763" s="84" t="s">
        <v>115</v>
      </c>
      <c r="C2763" s="84" t="s">
        <v>1837</v>
      </c>
      <c r="D2763" s="85">
        <v>1797</v>
      </c>
      <c r="E2763" s="85">
        <v>35569</v>
      </c>
      <c r="F2763" s="86">
        <v>2090.1999999999998</v>
      </c>
      <c r="G2763" s="87">
        <v>5.8764655000000001</v>
      </c>
    </row>
    <row r="2764" spans="1:7" x14ac:dyDescent="0.25">
      <c r="A2764" s="84" t="s">
        <v>1850</v>
      </c>
      <c r="B2764" s="84" t="s">
        <v>115</v>
      </c>
      <c r="C2764" s="84" t="s">
        <v>1837</v>
      </c>
      <c r="D2764" s="85">
        <v>3</v>
      </c>
      <c r="E2764" s="85">
        <v>60957</v>
      </c>
      <c r="F2764" s="86">
        <v>4329</v>
      </c>
      <c r="G2764" s="87">
        <v>7.1017273999999997</v>
      </c>
    </row>
    <row r="2765" spans="1:7" x14ac:dyDescent="0.25">
      <c r="A2765" s="84" t="s">
        <v>1851</v>
      </c>
      <c r="B2765" s="84" t="s">
        <v>115</v>
      </c>
      <c r="C2765" s="84" t="s">
        <v>281</v>
      </c>
      <c r="D2765" s="85">
        <v>8988</v>
      </c>
      <c r="E2765" s="85">
        <v>312645</v>
      </c>
      <c r="F2765" s="86">
        <v>28779.599999999999</v>
      </c>
      <c r="G2765" s="87">
        <v>9.2052008000000001</v>
      </c>
    </row>
    <row r="2766" spans="1:7" x14ac:dyDescent="0.25">
      <c r="A2766" s="84" t="s">
        <v>1852</v>
      </c>
      <c r="B2766" s="84" t="s">
        <v>115</v>
      </c>
      <c r="C2766" s="84" t="s">
        <v>281</v>
      </c>
      <c r="D2766" s="85">
        <v>37131</v>
      </c>
      <c r="E2766" s="85">
        <v>641687</v>
      </c>
      <c r="F2766" s="86">
        <v>69527</v>
      </c>
      <c r="G2766" s="87">
        <v>10.835032999999999</v>
      </c>
    </row>
    <row r="2767" spans="1:7" x14ac:dyDescent="0.25">
      <c r="A2767" s="84" t="s">
        <v>1853</v>
      </c>
      <c r="B2767" s="84" t="s">
        <v>115</v>
      </c>
      <c r="C2767" s="84" t="s">
        <v>281</v>
      </c>
      <c r="D2767" s="85">
        <v>12169</v>
      </c>
      <c r="E2767" s="85">
        <v>213033</v>
      </c>
      <c r="F2767" s="86">
        <v>23416.400000000001</v>
      </c>
      <c r="G2767" s="87">
        <v>10.991911999999999</v>
      </c>
    </row>
    <row r="2768" spans="1:7" x14ac:dyDescent="0.25">
      <c r="A2768" s="84" t="s">
        <v>1854</v>
      </c>
      <c r="B2768" s="84" t="s">
        <v>115</v>
      </c>
      <c r="C2768" s="84" t="s">
        <v>281</v>
      </c>
      <c r="D2768" s="85">
        <v>13049</v>
      </c>
      <c r="E2768" s="85">
        <v>265798</v>
      </c>
      <c r="F2768" s="86">
        <v>26682</v>
      </c>
      <c r="G2768" s="87">
        <v>10.038449999999999</v>
      </c>
    </row>
    <row r="2769" spans="1:7" x14ac:dyDescent="0.25">
      <c r="A2769" s="84" t="s">
        <v>1855</v>
      </c>
      <c r="B2769" s="84" t="s">
        <v>115</v>
      </c>
      <c r="C2769" s="84" t="s">
        <v>281</v>
      </c>
      <c r="D2769" s="85">
        <v>101157</v>
      </c>
      <c r="E2769" s="85">
        <v>2325557</v>
      </c>
      <c r="F2769" s="86">
        <v>214816</v>
      </c>
      <c r="G2769" s="87">
        <v>9.2371849000000008</v>
      </c>
    </row>
    <row r="2770" spans="1:7" x14ac:dyDescent="0.25">
      <c r="A2770" s="84" t="s">
        <v>1856</v>
      </c>
      <c r="B2770" s="84" t="s">
        <v>115</v>
      </c>
      <c r="C2770" s="84" t="s">
        <v>1837</v>
      </c>
      <c r="D2770" s="85">
        <v>33907</v>
      </c>
      <c r="E2770" s="85">
        <v>243189</v>
      </c>
      <c r="F2770" s="86">
        <v>30679.5</v>
      </c>
      <c r="G2770" s="87">
        <v>12.615497</v>
      </c>
    </row>
    <row r="2771" spans="1:7" x14ac:dyDescent="0.25">
      <c r="A2771" s="84" t="s">
        <v>1857</v>
      </c>
      <c r="B2771" s="84" t="s">
        <v>115</v>
      </c>
      <c r="C2771" s="84" t="s">
        <v>281</v>
      </c>
      <c r="D2771" s="85">
        <v>37907</v>
      </c>
      <c r="E2771" s="85">
        <v>642083</v>
      </c>
      <c r="F2771" s="86">
        <v>70556.2</v>
      </c>
      <c r="G2771" s="87">
        <v>10.988642</v>
      </c>
    </row>
    <row r="2772" spans="1:7" x14ac:dyDescent="0.25">
      <c r="A2772" s="84" t="s">
        <v>1859</v>
      </c>
      <c r="B2772" s="84" t="s">
        <v>115</v>
      </c>
      <c r="C2772" s="84" t="s">
        <v>1837</v>
      </c>
      <c r="D2772" s="85">
        <v>15786</v>
      </c>
      <c r="E2772" s="85">
        <v>789343</v>
      </c>
      <c r="F2772" s="86">
        <v>73057.5</v>
      </c>
      <c r="G2772" s="87">
        <v>9.2554821</v>
      </c>
    </row>
    <row r="2773" spans="1:7" x14ac:dyDescent="0.25">
      <c r="A2773" s="84" t="s">
        <v>1860</v>
      </c>
      <c r="B2773" s="84" t="s">
        <v>115</v>
      </c>
      <c r="C2773" s="84" t="s">
        <v>1837</v>
      </c>
      <c r="D2773" s="85">
        <v>8389</v>
      </c>
      <c r="E2773" s="85">
        <v>91495</v>
      </c>
      <c r="F2773" s="86">
        <v>8722</v>
      </c>
      <c r="G2773" s="87">
        <v>9.5327614000000001</v>
      </c>
    </row>
    <row r="2774" spans="1:7" x14ac:dyDescent="0.25">
      <c r="A2774" s="84" t="s">
        <v>1861</v>
      </c>
      <c r="B2774" s="84" t="s">
        <v>115</v>
      </c>
      <c r="C2774" s="84" t="s">
        <v>283</v>
      </c>
      <c r="D2774" s="85">
        <v>50413</v>
      </c>
      <c r="E2774" s="85">
        <v>1268887</v>
      </c>
      <c r="F2774" s="86">
        <v>121909</v>
      </c>
      <c r="G2774" s="87">
        <v>9.6075537000000004</v>
      </c>
    </row>
    <row r="2775" spans="1:7" x14ac:dyDescent="0.25">
      <c r="A2775" s="84" t="s">
        <v>2412</v>
      </c>
      <c r="B2775" s="84" t="s">
        <v>115</v>
      </c>
      <c r="C2775" s="84" t="s">
        <v>1837</v>
      </c>
      <c r="D2775" s="85">
        <v>4</v>
      </c>
      <c r="E2775" s="85">
        <v>22</v>
      </c>
      <c r="F2775" s="86">
        <v>1.2</v>
      </c>
      <c r="G2775" s="87">
        <v>5.4545455</v>
      </c>
    </row>
    <row r="2776" spans="1:7" x14ac:dyDescent="0.25">
      <c r="A2776" s="84" t="s">
        <v>1862</v>
      </c>
      <c r="B2776" s="84" t="s">
        <v>115</v>
      </c>
      <c r="C2776" s="84" t="s">
        <v>1837</v>
      </c>
      <c r="D2776" s="85">
        <v>125</v>
      </c>
      <c r="E2776" s="85">
        <v>9909846</v>
      </c>
      <c r="F2776" s="86">
        <v>535169.9</v>
      </c>
      <c r="G2776" s="87">
        <v>5.4003855999999999</v>
      </c>
    </row>
    <row r="2777" spans="1:7" x14ac:dyDescent="0.25">
      <c r="A2777" s="84" t="s">
        <v>1863</v>
      </c>
      <c r="B2777" s="84" t="s">
        <v>115</v>
      </c>
      <c r="C2777" s="84" t="s">
        <v>1837</v>
      </c>
      <c r="D2777" s="85">
        <v>1</v>
      </c>
      <c r="E2777" s="85">
        <v>217365</v>
      </c>
      <c r="F2777" s="86">
        <v>9892</v>
      </c>
      <c r="G2777" s="87">
        <v>4.5508706999999999</v>
      </c>
    </row>
    <row r="2778" spans="1:7" x14ac:dyDescent="0.25">
      <c r="A2778" s="84" t="s">
        <v>1864</v>
      </c>
      <c r="B2778" s="84" t="s">
        <v>115</v>
      </c>
      <c r="C2778" s="84" t="s">
        <v>281</v>
      </c>
      <c r="D2778" s="85">
        <v>41905</v>
      </c>
      <c r="E2778" s="85">
        <v>665644</v>
      </c>
      <c r="F2778" s="86">
        <v>70354</v>
      </c>
      <c r="G2778" s="87">
        <v>10.569312999999999</v>
      </c>
    </row>
    <row r="2779" spans="1:7" x14ac:dyDescent="0.25">
      <c r="A2779" s="84" t="s">
        <v>1865</v>
      </c>
      <c r="B2779" s="84" t="s">
        <v>115</v>
      </c>
      <c r="C2779" s="84" t="s">
        <v>1837</v>
      </c>
      <c r="D2779" s="85">
        <v>157181</v>
      </c>
      <c r="E2779" s="85">
        <v>5740798</v>
      </c>
      <c r="F2779" s="86">
        <v>516354</v>
      </c>
      <c r="G2779" s="87">
        <v>8.9944638000000001</v>
      </c>
    </row>
    <row r="2780" spans="1:7" x14ac:dyDescent="0.25">
      <c r="A2780" s="84" t="s">
        <v>2413</v>
      </c>
      <c r="B2780" s="84" t="s">
        <v>115</v>
      </c>
      <c r="C2780" s="84" t="s">
        <v>1837</v>
      </c>
      <c r="D2780" s="85">
        <v>18093</v>
      </c>
      <c r="E2780" s="85">
        <v>103176</v>
      </c>
      <c r="F2780" s="86">
        <v>9829</v>
      </c>
      <c r="G2780" s="87">
        <v>9.5264403000000009</v>
      </c>
    </row>
    <row r="2781" spans="1:7" x14ac:dyDescent="0.25">
      <c r="A2781" s="84" t="s">
        <v>1866</v>
      </c>
      <c r="B2781" s="84" t="s">
        <v>115</v>
      </c>
      <c r="C2781" s="84" t="s">
        <v>281</v>
      </c>
      <c r="D2781" s="85">
        <v>21018</v>
      </c>
      <c r="E2781" s="85">
        <v>409324</v>
      </c>
      <c r="F2781" s="86">
        <v>42130</v>
      </c>
      <c r="G2781" s="87">
        <v>10.292579999999999</v>
      </c>
    </row>
    <row r="2782" spans="1:7" x14ac:dyDescent="0.25">
      <c r="A2782" s="84" t="s">
        <v>2783</v>
      </c>
      <c r="B2782" s="84" t="s">
        <v>115</v>
      </c>
      <c r="C2782" s="84" t="s">
        <v>283</v>
      </c>
      <c r="D2782" s="85">
        <v>2761</v>
      </c>
      <c r="E2782" s="85">
        <v>71340</v>
      </c>
      <c r="F2782" s="86">
        <v>6863.6</v>
      </c>
      <c r="G2782" s="87">
        <v>9.6209699999999998</v>
      </c>
    </row>
    <row r="2783" spans="1:7" x14ac:dyDescent="0.25">
      <c r="A2783" s="84" t="s">
        <v>2784</v>
      </c>
      <c r="B2783" s="84" t="s">
        <v>115</v>
      </c>
      <c r="C2783" s="84" t="s">
        <v>283</v>
      </c>
      <c r="D2783" s="85">
        <v>2568</v>
      </c>
      <c r="E2783" s="85">
        <v>52600</v>
      </c>
      <c r="F2783" s="86">
        <v>5580</v>
      </c>
      <c r="G2783" s="87">
        <v>10.608364999999999</v>
      </c>
    </row>
    <row r="2784" spans="1:7" x14ac:dyDescent="0.25">
      <c r="A2784" s="84" t="s">
        <v>1867</v>
      </c>
      <c r="B2784" s="84" t="s">
        <v>115</v>
      </c>
      <c r="C2784" s="84" t="s">
        <v>283</v>
      </c>
      <c r="D2784" s="85">
        <v>5638</v>
      </c>
      <c r="E2784" s="85">
        <v>139193</v>
      </c>
      <c r="F2784" s="86">
        <v>15151</v>
      </c>
      <c r="G2784" s="87">
        <v>10.884886</v>
      </c>
    </row>
    <row r="2785" spans="1:7" x14ac:dyDescent="0.25">
      <c r="A2785" s="84" t="s">
        <v>2785</v>
      </c>
      <c r="B2785" s="84" t="s">
        <v>115</v>
      </c>
      <c r="C2785" s="84" t="s">
        <v>283</v>
      </c>
      <c r="D2785" s="85">
        <v>3077</v>
      </c>
      <c r="E2785" s="85">
        <v>66130</v>
      </c>
      <c r="F2785" s="86">
        <v>7388</v>
      </c>
      <c r="G2785" s="87">
        <v>11.171934</v>
      </c>
    </row>
    <row r="2786" spans="1:7" x14ac:dyDescent="0.25">
      <c r="A2786" s="84" t="s">
        <v>2786</v>
      </c>
      <c r="B2786" s="84" t="s">
        <v>115</v>
      </c>
      <c r="C2786" s="84" t="s">
        <v>283</v>
      </c>
      <c r="D2786" s="85">
        <v>3004</v>
      </c>
      <c r="E2786" s="85">
        <v>57064</v>
      </c>
      <c r="F2786" s="86">
        <v>7212</v>
      </c>
      <c r="G2786" s="87">
        <v>12.638441</v>
      </c>
    </row>
    <row r="2787" spans="1:7" x14ac:dyDescent="0.25">
      <c r="A2787" s="84" t="s">
        <v>1868</v>
      </c>
      <c r="B2787" s="84" t="s">
        <v>115</v>
      </c>
      <c r="C2787" s="84" t="s">
        <v>283</v>
      </c>
      <c r="D2787" s="85">
        <v>8514</v>
      </c>
      <c r="E2787" s="85">
        <v>273784</v>
      </c>
      <c r="F2787" s="86">
        <v>21031.1</v>
      </c>
      <c r="G2787" s="87">
        <v>7.6816395000000002</v>
      </c>
    </row>
    <row r="2788" spans="1:7" x14ac:dyDescent="0.25">
      <c r="A2788" s="84" t="s">
        <v>2787</v>
      </c>
      <c r="B2788" s="84" t="s">
        <v>115</v>
      </c>
      <c r="C2788" s="84" t="s">
        <v>283</v>
      </c>
      <c r="D2788" s="85">
        <v>2338</v>
      </c>
      <c r="E2788" s="85">
        <v>53282</v>
      </c>
      <c r="F2788" s="86">
        <v>5549.6</v>
      </c>
      <c r="G2788" s="87">
        <v>10.415525000000001</v>
      </c>
    </row>
    <row r="2789" spans="1:7" x14ac:dyDescent="0.25">
      <c r="A2789" s="84" t="s">
        <v>1869</v>
      </c>
      <c r="B2789" s="84" t="s">
        <v>115</v>
      </c>
      <c r="C2789" s="84" t="s">
        <v>283</v>
      </c>
      <c r="D2789" s="85">
        <v>60942</v>
      </c>
      <c r="E2789" s="85">
        <v>1507428</v>
      </c>
      <c r="F2789" s="86">
        <v>140862.6</v>
      </c>
      <c r="G2789" s="87">
        <v>9.3445657000000004</v>
      </c>
    </row>
    <row r="2790" spans="1:7" x14ac:dyDescent="0.25">
      <c r="A2790" s="84" t="s">
        <v>2788</v>
      </c>
      <c r="B2790" s="84" t="s">
        <v>115</v>
      </c>
      <c r="C2790" s="84" t="s">
        <v>283</v>
      </c>
      <c r="D2790" s="85">
        <v>3060</v>
      </c>
      <c r="E2790" s="85">
        <v>83390</v>
      </c>
      <c r="F2790" s="86">
        <v>8927</v>
      </c>
      <c r="G2790" s="87">
        <v>10.705121</v>
      </c>
    </row>
    <row r="2791" spans="1:7" x14ac:dyDescent="0.25">
      <c r="A2791" s="84" t="s">
        <v>2789</v>
      </c>
      <c r="B2791" s="84" t="s">
        <v>115</v>
      </c>
      <c r="C2791" s="84" t="s">
        <v>283</v>
      </c>
      <c r="D2791" s="85">
        <v>2077</v>
      </c>
      <c r="E2791" s="85">
        <v>60289</v>
      </c>
      <c r="F2791" s="86">
        <v>6565.2</v>
      </c>
      <c r="G2791" s="87">
        <v>10.889549000000001</v>
      </c>
    </row>
    <row r="2792" spans="1:7" x14ac:dyDescent="0.25">
      <c r="A2792" s="84" t="s">
        <v>2790</v>
      </c>
      <c r="B2792" s="84" t="s">
        <v>115</v>
      </c>
      <c r="C2792" s="84" t="s">
        <v>283</v>
      </c>
      <c r="D2792" s="85">
        <v>1546</v>
      </c>
      <c r="E2792" s="85">
        <v>27506</v>
      </c>
      <c r="F2792" s="86">
        <v>3677.2</v>
      </c>
      <c r="G2792" s="87">
        <v>13.36872</v>
      </c>
    </row>
    <row r="2793" spans="1:7" x14ac:dyDescent="0.25">
      <c r="A2793" s="84" t="s">
        <v>2791</v>
      </c>
      <c r="B2793" s="84" t="s">
        <v>115</v>
      </c>
      <c r="C2793" s="84" t="s">
        <v>283</v>
      </c>
      <c r="D2793" s="85">
        <v>2374</v>
      </c>
      <c r="E2793" s="85">
        <v>34203</v>
      </c>
      <c r="F2793" s="86">
        <v>4184</v>
      </c>
      <c r="G2793" s="87">
        <v>12.232844999999999</v>
      </c>
    </row>
    <row r="2794" spans="1:7" x14ac:dyDescent="0.25">
      <c r="A2794" s="84" t="s">
        <v>1870</v>
      </c>
      <c r="B2794" s="84" t="s">
        <v>115</v>
      </c>
      <c r="C2794" s="84" t="s">
        <v>283</v>
      </c>
      <c r="D2794" s="85">
        <v>42633</v>
      </c>
      <c r="E2794" s="85">
        <v>864590</v>
      </c>
      <c r="F2794" s="86">
        <v>103875</v>
      </c>
      <c r="G2794" s="87">
        <v>12.014365</v>
      </c>
    </row>
    <row r="2795" spans="1:7" x14ac:dyDescent="0.25">
      <c r="A2795" s="84" t="s">
        <v>1871</v>
      </c>
      <c r="B2795" s="84" t="s">
        <v>115</v>
      </c>
      <c r="C2795" s="84" t="s">
        <v>283</v>
      </c>
      <c r="D2795" s="85">
        <v>3722</v>
      </c>
      <c r="E2795" s="85">
        <v>91529</v>
      </c>
      <c r="F2795" s="86">
        <v>9575.4</v>
      </c>
      <c r="G2795" s="87">
        <v>10.461601999999999</v>
      </c>
    </row>
    <row r="2796" spans="1:7" x14ac:dyDescent="0.25">
      <c r="A2796" s="84" t="s">
        <v>1872</v>
      </c>
      <c r="B2796" s="84" t="s">
        <v>115</v>
      </c>
      <c r="C2796" s="84" t="s">
        <v>283</v>
      </c>
      <c r="D2796" s="85">
        <v>56091</v>
      </c>
      <c r="E2796" s="85">
        <v>1533871</v>
      </c>
      <c r="F2796" s="86">
        <v>146493.4</v>
      </c>
      <c r="G2796" s="87">
        <v>9.5505685000000007</v>
      </c>
    </row>
    <row r="2797" spans="1:7" x14ac:dyDescent="0.25">
      <c r="A2797" s="84" t="s">
        <v>2792</v>
      </c>
      <c r="B2797" s="84" t="s">
        <v>115</v>
      </c>
      <c r="C2797" s="84" t="s">
        <v>283</v>
      </c>
      <c r="D2797" s="85">
        <v>1394</v>
      </c>
      <c r="E2797" s="85">
        <v>19254</v>
      </c>
      <c r="F2797" s="86">
        <v>2567</v>
      </c>
      <c r="G2797" s="87">
        <v>13.332295</v>
      </c>
    </row>
    <row r="2798" spans="1:7" x14ac:dyDescent="0.25">
      <c r="A2798" s="84" t="s">
        <v>2793</v>
      </c>
      <c r="B2798" s="84" t="s">
        <v>115</v>
      </c>
      <c r="C2798" s="84" t="s">
        <v>283</v>
      </c>
      <c r="D2798" s="85">
        <v>1616</v>
      </c>
      <c r="E2798" s="85">
        <v>28982</v>
      </c>
      <c r="F2798" s="86">
        <v>3615</v>
      </c>
      <c r="G2798" s="87">
        <v>12.473259000000001</v>
      </c>
    </row>
    <row r="2799" spans="1:7" x14ac:dyDescent="0.25">
      <c r="A2799" s="84" t="s">
        <v>2794</v>
      </c>
      <c r="B2799" s="84" t="s">
        <v>115</v>
      </c>
      <c r="C2799" s="84" t="s">
        <v>283</v>
      </c>
      <c r="D2799" s="85">
        <v>1097</v>
      </c>
      <c r="E2799" s="85">
        <v>29019</v>
      </c>
      <c r="F2799" s="86">
        <v>4083</v>
      </c>
      <c r="G2799" s="87">
        <v>14.070092000000001</v>
      </c>
    </row>
    <row r="2800" spans="1:7" x14ac:dyDescent="0.25">
      <c r="A2800" s="84" t="s">
        <v>1873</v>
      </c>
      <c r="B2800" s="84" t="s">
        <v>115</v>
      </c>
      <c r="C2800" s="84" t="s">
        <v>283</v>
      </c>
      <c r="D2800" s="85">
        <v>16201</v>
      </c>
      <c r="E2800" s="85">
        <v>351121</v>
      </c>
      <c r="F2800" s="86">
        <v>38198.199999999997</v>
      </c>
      <c r="G2800" s="87">
        <v>10.878928</v>
      </c>
    </row>
    <row r="2801" spans="1:7" x14ac:dyDescent="0.25">
      <c r="A2801" s="84" t="s">
        <v>2795</v>
      </c>
      <c r="B2801" s="84" t="s">
        <v>115</v>
      </c>
      <c r="C2801" s="84" t="s">
        <v>283</v>
      </c>
      <c r="D2801" s="85">
        <v>1267</v>
      </c>
      <c r="E2801" s="85">
        <v>17593</v>
      </c>
      <c r="F2801" s="86">
        <v>2136.9</v>
      </c>
      <c r="G2801" s="87">
        <v>12.146307999999999</v>
      </c>
    </row>
    <row r="2802" spans="1:7" x14ac:dyDescent="0.25">
      <c r="A2802" s="84" t="s">
        <v>1874</v>
      </c>
      <c r="B2802" s="84" t="s">
        <v>115</v>
      </c>
      <c r="C2802" s="84" t="s">
        <v>283</v>
      </c>
      <c r="D2802" s="85">
        <v>5712</v>
      </c>
      <c r="E2802" s="85">
        <v>138308</v>
      </c>
      <c r="F2802" s="86">
        <v>11154</v>
      </c>
      <c r="G2802" s="87">
        <v>8.0646094000000002</v>
      </c>
    </row>
    <row r="2803" spans="1:7" x14ac:dyDescent="0.25">
      <c r="A2803" s="84" t="s">
        <v>1875</v>
      </c>
      <c r="B2803" s="84" t="s">
        <v>115</v>
      </c>
      <c r="C2803" s="84" t="s">
        <v>283</v>
      </c>
      <c r="D2803" s="85">
        <v>71647</v>
      </c>
      <c r="E2803" s="85">
        <v>1953691</v>
      </c>
      <c r="F2803" s="86">
        <v>180034</v>
      </c>
      <c r="G2803" s="87">
        <v>9.2150703000000007</v>
      </c>
    </row>
    <row r="2804" spans="1:7" x14ac:dyDescent="0.25">
      <c r="A2804" s="84" t="s">
        <v>1876</v>
      </c>
      <c r="B2804" s="84" t="s">
        <v>115</v>
      </c>
      <c r="C2804" s="84" t="s">
        <v>283</v>
      </c>
      <c r="D2804" s="85">
        <v>26842</v>
      </c>
      <c r="E2804" s="85">
        <v>645511</v>
      </c>
      <c r="F2804" s="86">
        <v>80256</v>
      </c>
      <c r="G2804" s="87">
        <v>12.432941</v>
      </c>
    </row>
    <row r="2805" spans="1:7" x14ac:dyDescent="0.25">
      <c r="A2805" s="84" t="s">
        <v>2796</v>
      </c>
      <c r="B2805" s="84" t="s">
        <v>115</v>
      </c>
      <c r="C2805" s="84" t="s">
        <v>283</v>
      </c>
      <c r="D2805" s="85">
        <v>2702</v>
      </c>
      <c r="E2805" s="85">
        <v>52723</v>
      </c>
      <c r="F2805" s="86">
        <v>5239</v>
      </c>
      <c r="G2805" s="87">
        <v>9.9368397000000002</v>
      </c>
    </row>
    <row r="2806" spans="1:7" x14ac:dyDescent="0.25">
      <c r="A2806" s="84" t="s">
        <v>2797</v>
      </c>
      <c r="B2806" s="84" t="s">
        <v>115</v>
      </c>
      <c r="C2806" s="84" t="s">
        <v>283</v>
      </c>
      <c r="D2806" s="85">
        <v>269</v>
      </c>
      <c r="E2806" s="85">
        <v>6400</v>
      </c>
      <c r="F2806" s="86">
        <v>767</v>
      </c>
      <c r="G2806" s="87">
        <v>11.984375</v>
      </c>
    </row>
    <row r="2807" spans="1:7" x14ac:dyDescent="0.25">
      <c r="A2807" s="84" t="s">
        <v>2798</v>
      </c>
      <c r="B2807" s="84" t="s">
        <v>115</v>
      </c>
      <c r="C2807" s="84" t="s">
        <v>283</v>
      </c>
      <c r="D2807" s="85">
        <v>1236</v>
      </c>
      <c r="E2807" s="85">
        <v>19826</v>
      </c>
      <c r="F2807" s="86">
        <v>2504</v>
      </c>
      <c r="G2807" s="87">
        <v>12.62988</v>
      </c>
    </row>
    <row r="2808" spans="1:7" x14ac:dyDescent="0.25">
      <c r="A2808" s="84" t="s">
        <v>2799</v>
      </c>
      <c r="B2808" s="84" t="s">
        <v>115</v>
      </c>
      <c r="C2808" s="84" t="s">
        <v>283</v>
      </c>
      <c r="D2808" s="85">
        <v>2981</v>
      </c>
      <c r="E2808" s="85">
        <v>85690</v>
      </c>
      <c r="F2808" s="86">
        <v>8911.7000000000007</v>
      </c>
      <c r="G2808" s="87">
        <v>10.399929999999999</v>
      </c>
    </row>
    <row r="2809" spans="1:7" x14ac:dyDescent="0.25">
      <c r="A2809" s="84" t="s">
        <v>2800</v>
      </c>
      <c r="B2809" s="84" t="s">
        <v>115</v>
      </c>
      <c r="C2809" s="84" t="s">
        <v>283</v>
      </c>
      <c r="D2809" s="85">
        <v>3364</v>
      </c>
      <c r="E2809" s="85">
        <v>90565</v>
      </c>
      <c r="F2809" s="86">
        <v>10624</v>
      </c>
      <c r="G2809" s="87">
        <v>11.730801</v>
      </c>
    </row>
    <row r="2810" spans="1:7" x14ac:dyDescent="0.25">
      <c r="A2810" s="84" t="s">
        <v>1877</v>
      </c>
      <c r="B2810" s="84" t="s">
        <v>115</v>
      </c>
      <c r="C2810" s="84" t="s">
        <v>283</v>
      </c>
      <c r="D2810" s="85">
        <v>15038</v>
      </c>
      <c r="E2810" s="85">
        <v>523756</v>
      </c>
      <c r="F2810" s="86">
        <v>52872</v>
      </c>
      <c r="G2810" s="87">
        <v>10.094777000000001</v>
      </c>
    </row>
    <row r="2811" spans="1:7" x14ac:dyDescent="0.25">
      <c r="A2811" s="84" t="s">
        <v>2801</v>
      </c>
      <c r="B2811" s="84" t="s">
        <v>115</v>
      </c>
      <c r="C2811" s="84" t="s">
        <v>283</v>
      </c>
      <c r="D2811" s="85">
        <v>1657</v>
      </c>
      <c r="E2811" s="85">
        <v>38996</v>
      </c>
      <c r="F2811" s="86">
        <v>4059</v>
      </c>
      <c r="G2811" s="87">
        <v>10.408759999999999</v>
      </c>
    </row>
    <row r="2812" spans="1:7" x14ac:dyDescent="0.25">
      <c r="A2812" s="84" t="s">
        <v>2802</v>
      </c>
      <c r="B2812" s="84" t="s">
        <v>115</v>
      </c>
      <c r="C2812" s="84" t="s">
        <v>283</v>
      </c>
      <c r="D2812" s="85">
        <v>2778</v>
      </c>
      <c r="E2812" s="85">
        <v>45236</v>
      </c>
      <c r="F2812" s="86">
        <v>5982</v>
      </c>
      <c r="G2812" s="87">
        <v>13.223981</v>
      </c>
    </row>
    <row r="2813" spans="1:7" x14ac:dyDescent="0.25">
      <c r="A2813" s="84" t="s">
        <v>2803</v>
      </c>
      <c r="B2813" s="84" t="s">
        <v>115</v>
      </c>
      <c r="C2813" s="84" t="s">
        <v>283</v>
      </c>
      <c r="D2813" s="85">
        <v>1271</v>
      </c>
      <c r="E2813" s="85">
        <v>17539</v>
      </c>
      <c r="F2813" s="86">
        <v>2295.3000000000002</v>
      </c>
      <c r="G2813" s="87">
        <v>13.086835000000001</v>
      </c>
    </row>
    <row r="2814" spans="1:7" x14ac:dyDescent="0.25">
      <c r="A2814" s="84" t="s">
        <v>2804</v>
      </c>
      <c r="B2814" s="84" t="s">
        <v>115</v>
      </c>
      <c r="C2814" s="84" t="s">
        <v>283</v>
      </c>
      <c r="D2814" s="85">
        <v>3225</v>
      </c>
      <c r="E2814" s="85">
        <v>85242</v>
      </c>
      <c r="F2814" s="86">
        <v>9210</v>
      </c>
      <c r="G2814" s="87">
        <v>10.804532999999999</v>
      </c>
    </row>
    <row r="2815" spans="1:7" x14ac:dyDescent="0.25">
      <c r="A2815" s="84" t="s">
        <v>1878</v>
      </c>
      <c r="B2815" s="84" t="s">
        <v>115</v>
      </c>
      <c r="C2815" s="84" t="s">
        <v>283</v>
      </c>
      <c r="D2815" s="85">
        <v>4397</v>
      </c>
      <c r="E2815" s="85">
        <v>93232</v>
      </c>
      <c r="F2815" s="86">
        <v>12081</v>
      </c>
      <c r="G2815" s="87">
        <v>12.957997000000001</v>
      </c>
    </row>
    <row r="2816" spans="1:7" x14ac:dyDescent="0.25">
      <c r="A2816" s="84" t="s">
        <v>2805</v>
      </c>
      <c r="B2816" s="84" t="s">
        <v>115</v>
      </c>
      <c r="C2816" s="84" t="s">
        <v>283</v>
      </c>
      <c r="D2816" s="85">
        <v>3028</v>
      </c>
      <c r="E2816" s="85">
        <v>57605</v>
      </c>
      <c r="F2816" s="86">
        <v>5350.5</v>
      </c>
      <c r="G2816" s="87">
        <v>9.2882561999999993</v>
      </c>
    </row>
    <row r="2817" spans="1:7" x14ac:dyDescent="0.25">
      <c r="A2817" s="84" t="s">
        <v>1879</v>
      </c>
      <c r="B2817" s="84" t="s">
        <v>115</v>
      </c>
      <c r="C2817" s="84" t="s">
        <v>283</v>
      </c>
      <c r="D2817" s="85">
        <v>4499</v>
      </c>
      <c r="E2817" s="85">
        <v>106331</v>
      </c>
      <c r="F2817" s="86">
        <v>10881</v>
      </c>
      <c r="G2817" s="87">
        <v>10.233140000000001</v>
      </c>
    </row>
    <row r="2818" spans="1:7" x14ac:dyDescent="0.25">
      <c r="A2818" s="84" t="s">
        <v>2806</v>
      </c>
      <c r="B2818" s="84" t="s">
        <v>115</v>
      </c>
      <c r="C2818" s="84" t="s">
        <v>283</v>
      </c>
      <c r="D2818" s="85">
        <v>612</v>
      </c>
      <c r="E2818" s="85">
        <v>10975</v>
      </c>
      <c r="F2818" s="86">
        <v>1193</v>
      </c>
      <c r="G2818" s="87">
        <v>10.870158999999999</v>
      </c>
    </row>
    <row r="2819" spans="1:7" x14ac:dyDescent="0.25">
      <c r="A2819" s="84" t="s">
        <v>1880</v>
      </c>
      <c r="B2819" s="84" t="s">
        <v>115</v>
      </c>
      <c r="C2819" s="84" t="s">
        <v>283</v>
      </c>
      <c r="D2819" s="85">
        <v>3670</v>
      </c>
      <c r="E2819" s="85">
        <v>173357</v>
      </c>
      <c r="F2819" s="86">
        <v>15804.5</v>
      </c>
      <c r="G2819" s="87">
        <v>9.1167359999999995</v>
      </c>
    </row>
    <row r="2820" spans="1:7" x14ac:dyDescent="0.25">
      <c r="A2820" s="84" t="s">
        <v>2807</v>
      </c>
      <c r="B2820" s="84" t="s">
        <v>115</v>
      </c>
      <c r="C2820" s="84" t="s">
        <v>283</v>
      </c>
      <c r="D2820" s="85">
        <v>3299</v>
      </c>
      <c r="E2820" s="85">
        <v>80106</v>
      </c>
      <c r="F2820" s="86">
        <v>9280.6</v>
      </c>
      <c r="G2820" s="87">
        <v>11.585399000000001</v>
      </c>
    </row>
    <row r="2821" spans="1:7" x14ac:dyDescent="0.25">
      <c r="A2821" s="84" t="s">
        <v>2808</v>
      </c>
      <c r="B2821" s="84" t="s">
        <v>115</v>
      </c>
      <c r="C2821" s="84" t="s">
        <v>283</v>
      </c>
      <c r="D2821" s="85">
        <v>2030</v>
      </c>
      <c r="E2821" s="85">
        <v>42231</v>
      </c>
      <c r="F2821" s="86">
        <v>4298</v>
      </c>
      <c r="G2821" s="87">
        <v>10.177358</v>
      </c>
    </row>
    <row r="2822" spans="1:7" x14ac:dyDescent="0.25">
      <c r="A2822" s="84" t="s">
        <v>1881</v>
      </c>
      <c r="B2822" s="84" t="s">
        <v>115</v>
      </c>
      <c r="C2822" s="84" t="s">
        <v>283</v>
      </c>
      <c r="D2822" s="85">
        <v>5473</v>
      </c>
      <c r="E2822" s="85">
        <v>108521</v>
      </c>
      <c r="F2822" s="86">
        <v>11200</v>
      </c>
      <c r="G2822" s="87">
        <v>10.320582999999999</v>
      </c>
    </row>
    <row r="2823" spans="1:7" x14ac:dyDescent="0.25">
      <c r="A2823" s="84" t="s">
        <v>1882</v>
      </c>
      <c r="B2823" s="84" t="s">
        <v>115</v>
      </c>
      <c r="C2823" s="84" t="s">
        <v>283</v>
      </c>
      <c r="D2823" s="85">
        <v>106789</v>
      </c>
      <c r="E2823" s="85">
        <v>2586988</v>
      </c>
      <c r="F2823" s="86">
        <v>224236.5</v>
      </c>
      <c r="G2823" s="87">
        <v>8.6678601000000004</v>
      </c>
    </row>
    <row r="2824" spans="1:7" x14ac:dyDescent="0.25">
      <c r="A2824" s="84" t="s">
        <v>2809</v>
      </c>
      <c r="B2824" s="84" t="s">
        <v>115</v>
      </c>
      <c r="C2824" s="84" t="s">
        <v>283</v>
      </c>
      <c r="D2824" s="85">
        <v>2788</v>
      </c>
      <c r="E2824" s="85">
        <v>54101</v>
      </c>
      <c r="F2824" s="86">
        <v>6385.6</v>
      </c>
      <c r="G2824" s="87">
        <v>11.803108999999999</v>
      </c>
    </row>
    <row r="2825" spans="1:7" x14ac:dyDescent="0.25">
      <c r="A2825" s="84" t="s">
        <v>2810</v>
      </c>
      <c r="B2825" s="84" t="s">
        <v>115</v>
      </c>
      <c r="C2825" s="84" t="s">
        <v>283</v>
      </c>
      <c r="D2825" s="85">
        <v>1515</v>
      </c>
      <c r="E2825" s="85">
        <v>22995</v>
      </c>
      <c r="F2825" s="86">
        <v>2750</v>
      </c>
      <c r="G2825" s="87">
        <v>11.959122000000001</v>
      </c>
    </row>
    <row r="2826" spans="1:7" x14ac:dyDescent="0.25">
      <c r="A2826" s="84" t="s">
        <v>2811</v>
      </c>
      <c r="B2826" s="84" t="s">
        <v>115</v>
      </c>
      <c r="C2826" s="84" t="s">
        <v>283</v>
      </c>
      <c r="D2826" s="85">
        <v>661</v>
      </c>
      <c r="E2826" s="85">
        <v>8772</v>
      </c>
      <c r="F2826" s="86">
        <v>983.4</v>
      </c>
      <c r="G2826" s="87">
        <v>11.21067</v>
      </c>
    </row>
    <row r="2827" spans="1:7" x14ac:dyDescent="0.25">
      <c r="A2827" s="84" t="s">
        <v>1883</v>
      </c>
      <c r="B2827" s="84" t="s">
        <v>115</v>
      </c>
      <c r="C2827" s="84" t="s">
        <v>283</v>
      </c>
      <c r="D2827" s="85">
        <v>44382</v>
      </c>
      <c r="E2827" s="85">
        <v>1679325</v>
      </c>
      <c r="F2827" s="86">
        <v>122755.6</v>
      </c>
      <c r="G2827" s="87">
        <v>7.3098178999999996</v>
      </c>
    </row>
    <row r="2828" spans="1:7" x14ac:dyDescent="0.25">
      <c r="A2828" s="84" t="s">
        <v>2812</v>
      </c>
      <c r="B2828" s="84" t="s">
        <v>115</v>
      </c>
      <c r="C2828" s="84" t="s">
        <v>283</v>
      </c>
      <c r="D2828" s="85">
        <v>1020</v>
      </c>
      <c r="E2828" s="85">
        <v>19948</v>
      </c>
      <c r="F2828" s="86">
        <v>2426.8000000000002</v>
      </c>
      <c r="G2828" s="87">
        <v>12.165630999999999</v>
      </c>
    </row>
    <row r="2829" spans="1:7" x14ac:dyDescent="0.25">
      <c r="A2829" s="84" t="s">
        <v>1884</v>
      </c>
      <c r="B2829" s="84" t="s">
        <v>115</v>
      </c>
      <c r="C2829" s="84" t="s">
        <v>283</v>
      </c>
      <c r="D2829" s="85">
        <v>850161</v>
      </c>
      <c r="E2829" s="85">
        <v>22664813</v>
      </c>
      <c r="F2829" s="86">
        <v>2178620</v>
      </c>
      <c r="G2829" s="87">
        <v>9.6123449000000001</v>
      </c>
    </row>
    <row r="2830" spans="1:7" x14ac:dyDescent="0.25">
      <c r="A2830" s="84" t="s">
        <v>1885</v>
      </c>
      <c r="B2830" s="84" t="s">
        <v>115</v>
      </c>
      <c r="C2830" s="84" t="s">
        <v>283</v>
      </c>
      <c r="D2830" s="85">
        <v>24551</v>
      </c>
      <c r="E2830" s="85">
        <v>637568</v>
      </c>
      <c r="F2830" s="86">
        <v>68223</v>
      </c>
      <c r="G2830" s="87">
        <v>10.700506000000001</v>
      </c>
    </row>
    <row r="2831" spans="1:7" x14ac:dyDescent="0.25">
      <c r="A2831" s="84" t="s">
        <v>2813</v>
      </c>
      <c r="B2831" s="84" t="s">
        <v>115</v>
      </c>
      <c r="C2831" s="84" t="s">
        <v>283</v>
      </c>
      <c r="D2831" s="85">
        <v>1845</v>
      </c>
      <c r="E2831" s="85">
        <v>37687</v>
      </c>
      <c r="F2831" s="86">
        <v>1725.8</v>
      </c>
      <c r="G2831" s="87">
        <v>4.5792979000000003</v>
      </c>
    </row>
    <row r="2832" spans="1:7" x14ac:dyDescent="0.25">
      <c r="A2832" s="84" t="s">
        <v>2814</v>
      </c>
      <c r="B2832" s="84" t="s">
        <v>115</v>
      </c>
      <c r="C2832" s="84" t="s">
        <v>283</v>
      </c>
      <c r="D2832" s="85">
        <v>2551</v>
      </c>
      <c r="E2832" s="85">
        <v>61329</v>
      </c>
      <c r="F2832" s="86">
        <v>7486.7</v>
      </c>
      <c r="G2832" s="87">
        <v>12.207439000000001</v>
      </c>
    </row>
    <row r="2833" spans="1:7" x14ac:dyDescent="0.25">
      <c r="A2833" s="84" t="s">
        <v>2815</v>
      </c>
      <c r="B2833" s="84" t="s">
        <v>115</v>
      </c>
      <c r="C2833" s="84" t="s">
        <v>283</v>
      </c>
      <c r="D2833" s="85">
        <v>1835</v>
      </c>
      <c r="E2833" s="85">
        <v>63585</v>
      </c>
      <c r="F2833" s="86">
        <v>6789</v>
      </c>
      <c r="G2833" s="87">
        <v>10.677046000000001</v>
      </c>
    </row>
    <row r="2834" spans="1:7" x14ac:dyDescent="0.25">
      <c r="A2834" s="84" t="s">
        <v>1886</v>
      </c>
      <c r="B2834" s="84" t="s">
        <v>115</v>
      </c>
      <c r="C2834" s="84" t="s">
        <v>283</v>
      </c>
      <c r="D2834" s="85">
        <v>8545</v>
      </c>
      <c r="E2834" s="85">
        <v>320804</v>
      </c>
      <c r="F2834" s="86">
        <v>30346</v>
      </c>
      <c r="G2834" s="87">
        <v>9.4593583999999993</v>
      </c>
    </row>
    <row r="2835" spans="1:7" x14ac:dyDescent="0.25">
      <c r="A2835" s="84" t="s">
        <v>2816</v>
      </c>
      <c r="B2835" s="84" t="s">
        <v>115</v>
      </c>
      <c r="C2835" s="84" t="s">
        <v>283</v>
      </c>
      <c r="D2835" s="85">
        <v>1586</v>
      </c>
      <c r="E2835" s="85">
        <v>25615</v>
      </c>
      <c r="F2835" s="86">
        <v>3417.4</v>
      </c>
      <c r="G2835" s="87">
        <v>13.341402</v>
      </c>
    </row>
    <row r="2836" spans="1:7" x14ac:dyDescent="0.25">
      <c r="A2836" s="84" t="s">
        <v>2817</v>
      </c>
      <c r="B2836" s="84" t="s">
        <v>115</v>
      </c>
      <c r="C2836" s="84" t="s">
        <v>283</v>
      </c>
      <c r="D2836" s="85">
        <v>1371</v>
      </c>
      <c r="E2836" s="85">
        <v>41626</v>
      </c>
      <c r="F2836" s="86">
        <v>4232</v>
      </c>
      <c r="G2836" s="87">
        <v>10.166722999999999</v>
      </c>
    </row>
    <row r="2837" spans="1:7" x14ac:dyDescent="0.25">
      <c r="A2837" s="84" t="s">
        <v>2818</v>
      </c>
      <c r="B2837" s="84" t="s">
        <v>115</v>
      </c>
      <c r="C2837" s="84" t="s">
        <v>283</v>
      </c>
      <c r="D2837" s="85">
        <v>2221</v>
      </c>
      <c r="E2837" s="85">
        <v>38299</v>
      </c>
      <c r="F2837" s="86">
        <v>4959</v>
      </c>
      <c r="G2837" s="87">
        <v>12.948119</v>
      </c>
    </row>
    <row r="2838" spans="1:7" x14ac:dyDescent="0.25">
      <c r="A2838" s="84" t="s">
        <v>2819</v>
      </c>
      <c r="B2838" s="84" t="s">
        <v>115</v>
      </c>
      <c r="C2838" s="84" t="s">
        <v>283</v>
      </c>
      <c r="D2838" s="85">
        <v>2082</v>
      </c>
      <c r="E2838" s="85">
        <v>31959</v>
      </c>
      <c r="F2838" s="86">
        <v>3247.1</v>
      </c>
      <c r="G2838" s="87">
        <v>10.160204999999999</v>
      </c>
    </row>
    <row r="2839" spans="1:7" x14ac:dyDescent="0.25">
      <c r="A2839" s="84" t="s">
        <v>2820</v>
      </c>
      <c r="B2839" s="84" t="s">
        <v>115</v>
      </c>
      <c r="C2839" s="84" t="s">
        <v>283</v>
      </c>
      <c r="D2839" s="85">
        <v>1237</v>
      </c>
      <c r="E2839" s="85">
        <v>34746</v>
      </c>
      <c r="F2839" s="86">
        <v>3706.8</v>
      </c>
      <c r="G2839" s="87">
        <v>10.668278000000001</v>
      </c>
    </row>
    <row r="2840" spans="1:7" x14ac:dyDescent="0.25">
      <c r="A2840" s="84" t="s">
        <v>2821</v>
      </c>
      <c r="B2840" s="84" t="s">
        <v>115</v>
      </c>
      <c r="C2840" s="84" t="s">
        <v>283</v>
      </c>
      <c r="D2840" s="85">
        <v>2061</v>
      </c>
      <c r="E2840" s="85">
        <v>32230</v>
      </c>
      <c r="F2840" s="86">
        <v>3921</v>
      </c>
      <c r="G2840" s="87">
        <v>12.165684000000001</v>
      </c>
    </row>
    <row r="2841" spans="1:7" x14ac:dyDescent="0.25">
      <c r="A2841" s="84" t="s">
        <v>2822</v>
      </c>
      <c r="B2841" s="84" t="s">
        <v>115</v>
      </c>
      <c r="C2841" s="84" t="s">
        <v>283</v>
      </c>
      <c r="D2841" s="85">
        <v>2984</v>
      </c>
      <c r="E2841" s="85">
        <v>77123</v>
      </c>
      <c r="F2841" s="86">
        <v>8340</v>
      </c>
      <c r="G2841" s="87">
        <v>10.813895</v>
      </c>
    </row>
    <row r="2842" spans="1:7" x14ac:dyDescent="0.25">
      <c r="A2842" s="84" t="s">
        <v>1887</v>
      </c>
      <c r="B2842" s="84" t="s">
        <v>115</v>
      </c>
      <c r="C2842" s="84" t="s">
        <v>1837</v>
      </c>
      <c r="D2842" s="85">
        <v>2774</v>
      </c>
      <c r="E2842" s="85">
        <v>29683</v>
      </c>
      <c r="F2842" s="86">
        <v>3463</v>
      </c>
      <c r="G2842" s="87">
        <v>11.666611</v>
      </c>
    </row>
    <row r="2843" spans="1:7" x14ac:dyDescent="0.25">
      <c r="A2843" s="84" t="s">
        <v>1888</v>
      </c>
      <c r="B2843" s="84" t="s">
        <v>115</v>
      </c>
      <c r="C2843" s="84" t="s">
        <v>281</v>
      </c>
      <c r="D2843" s="85">
        <v>8780</v>
      </c>
      <c r="E2843" s="85">
        <v>165029</v>
      </c>
      <c r="F2843" s="86">
        <v>13411.8</v>
      </c>
      <c r="G2843" s="87">
        <v>8.1269352999999995</v>
      </c>
    </row>
    <row r="2844" spans="1:7" x14ac:dyDescent="0.25">
      <c r="A2844" s="84" t="s">
        <v>1889</v>
      </c>
      <c r="B2844" s="84" t="s">
        <v>115</v>
      </c>
      <c r="C2844" s="84" t="s">
        <v>281</v>
      </c>
      <c r="D2844" s="85">
        <v>17232</v>
      </c>
      <c r="E2844" s="85">
        <v>306899</v>
      </c>
      <c r="F2844" s="86">
        <v>29689</v>
      </c>
      <c r="G2844" s="87">
        <v>9.6738666000000002</v>
      </c>
    </row>
    <row r="2845" spans="1:7" x14ac:dyDescent="0.25">
      <c r="A2845" s="84" t="s">
        <v>1890</v>
      </c>
      <c r="B2845" s="84" t="s">
        <v>115</v>
      </c>
      <c r="C2845" s="84" t="s">
        <v>281</v>
      </c>
      <c r="D2845" s="85">
        <v>15030</v>
      </c>
      <c r="E2845" s="85">
        <v>443646</v>
      </c>
      <c r="F2845" s="86">
        <v>38581.300000000003</v>
      </c>
      <c r="G2845" s="87">
        <v>8.6964155999999999</v>
      </c>
    </row>
    <row r="2846" spans="1:7" x14ac:dyDescent="0.25">
      <c r="A2846" s="84" t="s">
        <v>1891</v>
      </c>
      <c r="B2846" s="84" t="s">
        <v>115</v>
      </c>
      <c r="C2846" s="84" t="s">
        <v>1837</v>
      </c>
      <c r="D2846" s="85">
        <v>3</v>
      </c>
      <c r="E2846" s="85">
        <v>215672</v>
      </c>
      <c r="F2846" s="86">
        <v>11953.6</v>
      </c>
      <c r="G2846" s="87">
        <v>5.5424904000000002</v>
      </c>
    </row>
    <row r="2847" spans="1:7" x14ac:dyDescent="0.25">
      <c r="A2847" s="84" t="s">
        <v>1892</v>
      </c>
      <c r="B2847" s="84" t="s">
        <v>115</v>
      </c>
      <c r="C2847" s="84" t="s">
        <v>1837</v>
      </c>
      <c r="D2847" s="85">
        <v>42080</v>
      </c>
      <c r="E2847" s="85">
        <v>419523</v>
      </c>
      <c r="F2847" s="86">
        <v>44823</v>
      </c>
      <c r="G2847" s="87">
        <v>10.684277</v>
      </c>
    </row>
    <row r="2848" spans="1:7" x14ac:dyDescent="0.25">
      <c r="A2848" s="84" t="s">
        <v>1894</v>
      </c>
      <c r="B2848" s="84" t="s">
        <v>115</v>
      </c>
      <c r="C2848" s="84" t="s">
        <v>1837</v>
      </c>
      <c r="D2848" s="85">
        <v>193316</v>
      </c>
      <c r="E2848" s="85">
        <v>13004147</v>
      </c>
      <c r="F2848" s="86">
        <v>982492.1</v>
      </c>
      <c r="G2848" s="87">
        <v>7.5552213999999998</v>
      </c>
    </row>
    <row r="2849" spans="1:7" x14ac:dyDescent="0.25">
      <c r="A2849" s="84" t="s">
        <v>1895</v>
      </c>
      <c r="B2849" s="84" t="s">
        <v>115</v>
      </c>
      <c r="C2849" s="84" t="s">
        <v>281</v>
      </c>
      <c r="D2849" s="85">
        <v>16589</v>
      </c>
      <c r="E2849" s="85">
        <v>483327</v>
      </c>
      <c r="F2849" s="86">
        <v>43330.2</v>
      </c>
      <c r="G2849" s="87">
        <v>8.9649864000000008</v>
      </c>
    </row>
    <row r="2850" spans="1:7" x14ac:dyDescent="0.25">
      <c r="A2850" s="84" t="s">
        <v>1897</v>
      </c>
      <c r="B2850" s="84" t="s">
        <v>115</v>
      </c>
      <c r="C2850" s="84" t="s">
        <v>281</v>
      </c>
      <c r="D2850" s="85">
        <v>14632</v>
      </c>
      <c r="E2850" s="85">
        <v>691813</v>
      </c>
      <c r="F2850" s="86">
        <v>47781.1</v>
      </c>
      <c r="G2850" s="87">
        <v>6.9066495999999997</v>
      </c>
    </row>
    <row r="2851" spans="1:7" x14ac:dyDescent="0.25">
      <c r="A2851" s="84" t="s">
        <v>1898</v>
      </c>
      <c r="B2851" s="84" t="s">
        <v>115</v>
      </c>
      <c r="C2851" s="84" t="s">
        <v>281</v>
      </c>
      <c r="D2851" s="85">
        <v>42918</v>
      </c>
      <c r="E2851" s="85">
        <v>796745</v>
      </c>
      <c r="F2851" s="86">
        <v>77827</v>
      </c>
      <c r="G2851" s="87">
        <v>9.7681190000000004</v>
      </c>
    </row>
    <row r="2852" spans="1:7" x14ac:dyDescent="0.25">
      <c r="A2852" s="84" t="s">
        <v>1899</v>
      </c>
      <c r="B2852" s="84" t="s">
        <v>115</v>
      </c>
      <c r="C2852" s="84" t="s">
        <v>281</v>
      </c>
      <c r="D2852" s="85">
        <v>249175</v>
      </c>
      <c r="E2852" s="85">
        <v>5467725</v>
      </c>
      <c r="F2852" s="86">
        <v>537342.5</v>
      </c>
      <c r="G2852" s="87">
        <v>9.8275334000000001</v>
      </c>
    </row>
    <row r="2853" spans="1:7" x14ac:dyDescent="0.25">
      <c r="A2853" s="84" t="s">
        <v>2414</v>
      </c>
      <c r="B2853" s="84" t="s">
        <v>115</v>
      </c>
      <c r="C2853" s="84" t="s">
        <v>1837</v>
      </c>
      <c r="D2853" s="85">
        <v>71069</v>
      </c>
      <c r="E2853" s="85">
        <v>12241571</v>
      </c>
      <c r="F2853" s="86">
        <v>855992.9</v>
      </c>
      <c r="G2853" s="87">
        <v>6.9925085999999999</v>
      </c>
    </row>
    <row r="2854" spans="1:7" x14ac:dyDescent="0.25">
      <c r="A2854" s="84" t="s">
        <v>1900</v>
      </c>
      <c r="B2854" s="84" t="s">
        <v>115</v>
      </c>
      <c r="C2854" s="84" t="s">
        <v>1837</v>
      </c>
      <c r="D2854" s="85">
        <v>622102</v>
      </c>
      <c r="E2854" s="85">
        <v>8119152</v>
      </c>
      <c r="F2854" s="86">
        <v>1041293.8</v>
      </c>
      <c r="G2854" s="87">
        <v>12.825155000000001</v>
      </c>
    </row>
    <row r="2855" spans="1:7" x14ac:dyDescent="0.25">
      <c r="A2855" s="84" t="s">
        <v>1901</v>
      </c>
      <c r="B2855" s="84" t="s">
        <v>115</v>
      </c>
      <c r="C2855" s="84" t="s">
        <v>1837</v>
      </c>
      <c r="D2855" s="85">
        <v>4</v>
      </c>
      <c r="E2855" s="85">
        <v>116</v>
      </c>
      <c r="F2855" s="86">
        <v>5.8</v>
      </c>
      <c r="G2855" s="87">
        <v>5</v>
      </c>
    </row>
    <row r="2856" spans="1:7" x14ac:dyDescent="0.25">
      <c r="A2856" s="84" t="s">
        <v>1902</v>
      </c>
      <c r="B2856" s="84" t="s">
        <v>115</v>
      </c>
      <c r="C2856" s="84" t="s">
        <v>1837</v>
      </c>
      <c r="D2856" s="85">
        <v>100</v>
      </c>
      <c r="E2856" s="85">
        <v>20562714</v>
      </c>
      <c r="F2856" s="86">
        <v>938087.2</v>
      </c>
      <c r="G2856" s="87">
        <v>4.5620786999999998</v>
      </c>
    </row>
    <row r="2857" spans="1:7" x14ac:dyDescent="0.25">
      <c r="A2857" s="84" t="s">
        <v>1903</v>
      </c>
      <c r="B2857" s="84" t="s">
        <v>115</v>
      </c>
      <c r="C2857" s="84" t="s">
        <v>1837</v>
      </c>
      <c r="D2857" s="85">
        <v>11704</v>
      </c>
      <c r="E2857" s="85">
        <v>11734904</v>
      </c>
      <c r="F2857" s="86">
        <v>797637.1</v>
      </c>
      <c r="G2857" s="87">
        <v>6.7971336000000004</v>
      </c>
    </row>
    <row r="2858" spans="1:7" x14ac:dyDescent="0.25">
      <c r="A2858" s="84" t="s">
        <v>1904</v>
      </c>
      <c r="B2858" s="84" t="s">
        <v>115</v>
      </c>
      <c r="C2858" s="84" t="s">
        <v>1837</v>
      </c>
      <c r="D2858" s="85">
        <v>29594</v>
      </c>
      <c r="E2858" s="85">
        <v>618505</v>
      </c>
      <c r="F2858" s="86">
        <v>59360</v>
      </c>
      <c r="G2858" s="87">
        <v>9.5973354999999998</v>
      </c>
    </row>
    <row r="2859" spans="1:7" x14ac:dyDescent="0.25">
      <c r="A2859" s="84" t="s">
        <v>1488</v>
      </c>
      <c r="B2859" s="84" t="s">
        <v>115</v>
      </c>
      <c r="C2859" s="84" t="s">
        <v>278</v>
      </c>
      <c r="D2859" s="85">
        <v>328756</v>
      </c>
      <c r="E2859" s="85">
        <v>6330716</v>
      </c>
      <c r="F2859" s="86">
        <v>591100</v>
      </c>
      <c r="G2859" s="87">
        <v>9.3370165000000007</v>
      </c>
    </row>
    <row r="2860" spans="1:7" x14ac:dyDescent="0.25">
      <c r="A2860" s="84" t="s">
        <v>1905</v>
      </c>
      <c r="B2860" s="84" t="s">
        <v>115</v>
      </c>
      <c r="C2860" s="84" t="s">
        <v>1837</v>
      </c>
      <c r="D2860" s="85">
        <v>29</v>
      </c>
      <c r="E2860" s="85">
        <v>3910</v>
      </c>
      <c r="F2860" s="86">
        <v>124.4</v>
      </c>
      <c r="G2860" s="87">
        <v>3.1815856999999999</v>
      </c>
    </row>
    <row r="2861" spans="1:7" x14ac:dyDescent="0.25">
      <c r="A2861" s="84" t="s">
        <v>1907</v>
      </c>
      <c r="B2861" s="84" t="s">
        <v>115</v>
      </c>
      <c r="C2861" s="84" t="s">
        <v>278</v>
      </c>
      <c r="D2861" s="85">
        <v>459190</v>
      </c>
      <c r="E2861" s="85">
        <v>19008103</v>
      </c>
      <c r="F2861" s="86">
        <v>1306691.3999999999</v>
      </c>
      <c r="G2861" s="87">
        <v>6.8743914000000004</v>
      </c>
    </row>
    <row r="2862" spans="1:7" x14ac:dyDescent="0.25">
      <c r="A2862" s="84" t="s">
        <v>1908</v>
      </c>
      <c r="B2862" s="84" t="s">
        <v>115</v>
      </c>
      <c r="C2862" s="84" t="s">
        <v>1837</v>
      </c>
      <c r="D2862" s="85">
        <v>84876</v>
      </c>
      <c r="E2862" s="85">
        <v>2214435</v>
      </c>
      <c r="F2862" s="86">
        <v>239832</v>
      </c>
      <c r="G2862" s="87">
        <v>10.830392</v>
      </c>
    </row>
    <row r="2863" spans="1:7" x14ac:dyDescent="0.25">
      <c r="A2863" s="84" t="s">
        <v>2415</v>
      </c>
      <c r="B2863" s="84" t="s">
        <v>115</v>
      </c>
      <c r="C2863" s="84" t="s">
        <v>1837</v>
      </c>
      <c r="D2863" s="85">
        <v>24</v>
      </c>
      <c r="E2863" s="85">
        <v>122</v>
      </c>
      <c r="F2863" s="86">
        <v>9.9</v>
      </c>
      <c r="G2863" s="87">
        <v>8.1147541000000007</v>
      </c>
    </row>
    <row r="2864" spans="1:7" x14ac:dyDescent="0.25">
      <c r="A2864" s="84" t="s">
        <v>1910</v>
      </c>
      <c r="B2864" s="84" t="s">
        <v>115</v>
      </c>
      <c r="C2864" s="84" t="s">
        <v>281</v>
      </c>
      <c r="D2864" s="85">
        <v>10474</v>
      </c>
      <c r="E2864" s="85">
        <v>162408</v>
      </c>
      <c r="F2864" s="86">
        <v>21597</v>
      </c>
      <c r="G2864" s="87">
        <v>13.29799</v>
      </c>
    </row>
    <row r="2865" spans="1:7" x14ac:dyDescent="0.25">
      <c r="A2865" s="84" t="s">
        <v>1911</v>
      </c>
      <c r="B2865" s="84" t="s">
        <v>115</v>
      </c>
      <c r="C2865" s="84" t="s">
        <v>281</v>
      </c>
      <c r="D2865" s="85">
        <v>68331</v>
      </c>
      <c r="E2865" s="85">
        <v>1317307</v>
      </c>
      <c r="F2865" s="86">
        <v>141535</v>
      </c>
      <c r="G2865" s="87">
        <v>10.744268</v>
      </c>
    </row>
    <row r="2866" spans="1:7" x14ac:dyDescent="0.25">
      <c r="A2866" s="84" t="s">
        <v>1912</v>
      </c>
      <c r="B2866" s="84" t="s">
        <v>115</v>
      </c>
      <c r="C2866" s="84" t="s">
        <v>281</v>
      </c>
      <c r="D2866" s="85">
        <v>14993</v>
      </c>
      <c r="E2866" s="85">
        <v>312921</v>
      </c>
      <c r="F2866" s="86">
        <v>36142</v>
      </c>
      <c r="G2866" s="87">
        <v>11.54988</v>
      </c>
    </row>
    <row r="2867" spans="1:7" x14ac:dyDescent="0.25">
      <c r="A2867" s="84" t="s">
        <v>1913</v>
      </c>
      <c r="B2867" s="84" t="s">
        <v>115</v>
      </c>
      <c r="C2867" s="84" t="s">
        <v>281</v>
      </c>
      <c r="D2867" s="85">
        <v>6116</v>
      </c>
      <c r="E2867" s="85">
        <v>117721</v>
      </c>
      <c r="F2867" s="86">
        <v>11898</v>
      </c>
      <c r="G2867" s="87">
        <v>10.106947999999999</v>
      </c>
    </row>
    <row r="2868" spans="1:7" x14ac:dyDescent="0.25">
      <c r="A2868" s="84" t="s">
        <v>2416</v>
      </c>
      <c r="B2868" s="84" t="s">
        <v>115</v>
      </c>
      <c r="C2868" s="84" t="s">
        <v>1837</v>
      </c>
      <c r="D2868" s="85">
        <v>255</v>
      </c>
      <c r="E2868" s="85">
        <v>136418</v>
      </c>
      <c r="F2868" s="86">
        <v>10621</v>
      </c>
      <c r="G2868" s="87">
        <v>7.7856294999999998</v>
      </c>
    </row>
    <row r="2869" spans="1:7" x14ac:dyDescent="0.25">
      <c r="A2869" s="84" t="s">
        <v>1914</v>
      </c>
      <c r="B2869" s="84" t="s">
        <v>115</v>
      </c>
      <c r="C2869" s="84" t="s">
        <v>1837</v>
      </c>
      <c r="D2869" s="85">
        <v>72931</v>
      </c>
      <c r="E2869" s="85">
        <v>1222260</v>
      </c>
      <c r="F2869" s="86">
        <v>140043.20000000001</v>
      </c>
      <c r="G2869" s="87">
        <v>11.457725999999999</v>
      </c>
    </row>
    <row r="2870" spans="1:7" x14ac:dyDescent="0.25">
      <c r="A2870" s="84" t="s">
        <v>1915</v>
      </c>
      <c r="B2870" s="84" t="s">
        <v>115</v>
      </c>
      <c r="C2870" s="84" t="s">
        <v>281</v>
      </c>
      <c r="D2870" s="85">
        <v>57815</v>
      </c>
      <c r="E2870" s="85">
        <v>1068408</v>
      </c>
      <c r="F2870" s="86">
        <v>133795</v>
      </c>
      <c r="G2870" s="87">
        <v>12.522838</v>
      </c>
    </row>
    <row r="2871" spans="1:7" x14ac:dyDescent="0.25">
      <c r="A2871" s="84" t="s">
        <v>1916</v>
      </c>
      <c r="B2871" s="84" t="s">
        <v>115</v>
      </c>
      <c r="C2871" s="84" t="s">
        <v>1837</v>
      </c>
      <c r="D2871" s="85">
        <v>375779</v>
      </c>
      <c r="E2871" s="85">
        <v>6450721</v>
      </c>
      <c r="F2871" s="86">
        <v>739619.1</v>
      </c>
      <c r="G2871" s="87">
        <v>11.465681</v>
      </c>
    </row>
    <row r="2872" spans="1:7" x14ac:dyDescent="0.25">
      <c r="A2872" s="84" t="s">
        <v>1917</v>
      </c>
      <c r="B2872" s="84" t="s">
        <v>115</v>
      </c>
      <c r="C2872" s="84" t="s">
        <v>281</v>
      </c>
      <c r="D2872" s="85">
        <v>5418</v>
      </c>
      <c r="E2872" s="85">
        <v>214440</v>
      </c>
      <c r="F2872" s="86">
        <v>19675</v>
      </c>
      <c r="G2872" s="87">
        <v>9.1750606000000001</v>
      </c>
    </row>
    <row r="2873" spans="1:7" x14ac:dyDescent="0.25">
      <c r="A2873" s="84" t="s">
        <v>2417</v>
      </c>
      <c r="B2873" s="84" t="s">
        <v>115</v>
      </c>
      <c r="C2873" s="84" t="s">
        <v>1837</v>
      </c>
      <c r="D2873" s="85">
        <v>915</v>
      </c>
      <c r="E2873" s="85">
        <v>16716</v>
      </c>
      <c r="F2873" s="86">
        <v>1502.8</v>
      </c>
      <c r="G2873" s="87">
        <v>8.9901890000000009</v>
      </c>
    </row>
    <row r="2874" spans="1:7" x14ac:dyDescent="0.25">
      <c r="A2874" s="84" t="s">
        <v>1918</v>
      </c>
      <c r="B2874" s="84" t="s">
        <v>115</v>
      </c>
      <c r="C2874" s="84" t="s">
        <v>1837</v>
      </c>
      <c r="D2874" s="85">
        <v>23297</v>
      </c>
      <c r="E2874" s="85">
        <v>347484</v>
      </c>
      <c r="F2874" s="86">
        <v>41698</v>
      </c>
      <c r="G2874" s="87">
        <v>11.999976999999999</v>
      </c>
    </row>
    <row r="2875" spans="1:7" x14ac:dyDescent="0.25">
      <c r="A2875" s="84" t="s">
        <v>1919</v>
      </c>
      <c r="B2875" s="84" t="s">
        <v>115</v>
      </c>
      <c r="C2875" s="84" t="s">
        <v>281</v>
      </c>
      <c r="D2875" s="85">
        <v>86393</v>
      </c>
      <c r="E2875" s="85">
        <v>2666252</v>
      </c>
      <c r="F2875" s="86">
        <v>206259.9</v>
      </c>
      <c r="G2875" s="87">
        <v>7.7359492000000003</v>
      </c>
    </row>
    <row r="2876" spans="1:7" x14ac:dyDescent="0.25">
      <c r="A2876" s="84" t="s">
        <v>1920</v>
      </c>
      <c r="B2876" s="84" t="s">
        <v>115</v>
      </c>
      <c r="C2876" s="84" t="s">
        <v>281</v>
      </c>
      <c r="D2876" s="85">
        <v>29380</v>
      </c>
      <c r="E2876" s="85">
        <v>591343</v>
      </c>
      <c r="F2876" s="86">
        <v>61498</v>
      </c>
      <c r="G2876" s="87">
        <v>10.399717000000001</v>
      </c>
    </row>
    <row r="2877" spans="1:7" x14ac:dyDescent="0.25">
      <c r="A2877" s="84" t="s">
        <v>1921</v>
      </c>
      <c r="B2877" s="84" t="s">
        <v>115</v>
      </c>
      <c r="C2877" s="84" t="s">
        <v>281</v>
      </c>
      <c r="D2877" s="85">
        <v>18376</v>
      </c>
      <c r="E2877" s="85">
        <v>243058</v>
      </c>
      <c r="F2877" s="86">
        <v>26435.8</v>
      </c>
      <c r="G2877" s="87">
        <v>10.876334</v>
      </c>
    </row>
    <row r="2878" spans="1:7" x14ac:dyDescent="0.25">
      <c r="A2878" s="84" t="s">
        <v>1922</v>
      </c>
      <c r="B2878" s="84" t="s">
        <v>115</v>
      </c>
      <c r="C2878" s="84" t="s">
        <v>281</v>
      </c>
      <c r="D2878" s="85">
        <v>22155</v>
      </c>
      <c r="E2878" s="85">
        <v>474367</v>
      </c>
      <c r="F2878" s="86">
        <v>42418</v>
      </c>
      <c r="G2878" s="87">
        <v>8.9420216999999997</v>
      </c>
    </row>
    <row r="2879" spans="1:7" x14ac:dyDescent="0.25">
      <c r="A2879" s="84" t="s">
        <v>1923</v>
      </c>
      <c r="B2879" s="84" t="s">
        <v>115</v>
      </c>
      <c r="C2879" s="84" t="s">
        <v>1837</v>
      </c>
      <c r="D2879" s="85">
        <v>3225</v>
      </c>
      <c r="E2879" s="85">
        <v>74019</v>
      </c>
      <c r="F2879" s="86">
        <v>4488.7</v>
      </c>
      <c r="G2879" s="87">
        <v>6.0642538000000004</v>
      </c>
    </row>
    <row r="2880" spans="1:7" x14ac:dyDescent="0.25">
      <c r="A2880" s="84" t="s">
        <v>1925</v>
      </c>
      <c r="B2880" s="84" t="s">
        <v>115</v>
      </c>
      <c r="C2880" s="84" t="s">
        <v>281</v>
      </c>
      <c r="D2880" s="85">
        <v>21733</v>
      </c>
      <c r="E2880" s="85">
        <v>421792</v>
      </c>
      <c r="F2880" s="86">
        <v>40403</v>
      </c>
      <c r="G2880" s="87">
        <v>9.5788919999999997</v>
      </c>
    </row>
    <row r="2881" spans="1:7" x14ac:dyDescent="0.25">
      <c r="A2881" s="84" t="s">
        <v>1926</v>
      </c>
      <c r="B2881" s="84" t="s">
        <v>115</v>
      </c>
      <c r="C2881" s="84" t="s">
        <v>1837</v>
      </c>
      <c r="D2881" s="85">
        <v>41179</v>
      </c>
      <c r="E2881" s="85">
        <v>4228073</v>
      </c>
      <c r="F2881" s="86">
        <v>353408.3</v>
      </c>
      <c r="G2881" s="87">
        <v>8.3586139999999993</v>
      </c>
    </row>
    <row r="2882" spans="1:7" x14ac:dyDescent="0.25">
      <c r="A2882" s="84" t="s">
        <v>2418</v>
      </c>
      <c r="B2882" s="84" t="s">
        <v>115</v>
      </c>
      <c r="C2882" s="84" t="s">
        <v>1837</v>
      </c>
      <c r="D2882" s="85">
        <v>14</v>
      </c>
      <c r="E2882" s="85">
        <v>4</v>
      </c>
      <c r="F2882" s="86">
        <v>0.4</v>
      </c>
      <c r="G2882" s="87">
        <v>10</v>
      </c>
    </row>
    <row r="2883" spans="1:7" x14ac:dyDescent="0.25">
      <c r="A2883" s="84" t="s">
        <v>1927</v>
      </c>
      <c r="B2883" s="84" t="s">
        <v>115</v>
      </c>
      <c r="C2883" s="84" t="s">
        <v>1837</v>
      </c>
      <c r="D2883" s="85">
        <v>30395</v>
      </c>
      <c r="E2883" s="85">
        <v>385165</v>
      </c>
      <c r="F2883" s="86">
        <v>40900.699999999997</v>
      </c>
      <c r="G2883" s="87">
        <v>10.619007</v>
      </c>
    </row>
    <row r="2884" spans="1:7" x14ac:dyDescent="0.25">
      <c r="A2884" s="84" t="s">
        <v>1928</v>
      </c>
      <c r="B2884" s="84" t="s">
        <v>115</v>
      </c>
      <c r="C2884" s="84" t="s">
        <v>1837</v>
      </c>
      <c r="D2884" s="85">
        <v>37224</v>
      </c>
      <c r="E2884" s="85">
        <v>486473</v>
      </c>
      <c r="F2884" s="86">
        <v>48981.4</v>
      </c>
      <c r="G2884" s="87">
        <v>10.068678</v>
      </c>
    </row>
    <row r="2885" spans="1:7" x14ac:dyDescent="0.25">
      <c r="A2885" s="84" t="s">
        <v>2823</v>
      </c>
      <c r="B2885" s="84" t="s">
        <v>115</v>
      </c>
      <c r="C2885" s="84" t="s">
        <v>281</v>
      </c>
      <c r="D2885" s="85">
        <v>5922</v>
      </c>
      <c r="E2885" s="85">
        <v>92631</v>
      </c>
      <c r="F2885" s="86">
        <v>9601</v>
      </c>
      <c r="G2885" s="87">
        <v>10.364781000000001</v>
      </c>
    </row>
    <row r="2886" spans="1:7" x14ac:dyDescent="0.25">
      <c r="A2886" s="84" t="s">
        <v>1929</v>
      </c>
      <c r="B2886" s="84" t="s">
        <v>115</v>
      </c>
      <c r="C2886" s="84" t="s">
        <v>281</v>
      </c>
      <c r="D2886" s="85">
        <v>16322</v>
      </c>
      <c r="E2886" s="85">
        <v>755306</v>
      </c>
      <c r="F2886" s="86">
        <v>53296</v>
      </c>
      <c r="G2886" s="87">
        <v>7.0562129999999996</v>
      </c>
    </row>
    <row r="2887" spans="1:7" x14ac:dyDescent="0.25">
      <c r="A2887" s="84" t="s">
        <v>1930</v>
      </c>
      <c r="B2887" s="84" t="s">
        <v>115</v>
      </c>
      <c r="C2887" s="84" t="s">
        <v>281</v>
      </c>
      <c r="D2887" s="85">
        <v>22888</v>
      </c>
      <c r="E2887" s="85">
        <v>477531</v>
      </c>
      <c r="F2887" s="86">
        <v>49690</v>
      </c>
      <c r="G2887" s="87">
        <v>10.405607</v>
      </c>
    </row>
    <row r="2888" spans="1:7" x14ac:dyDescent="0.25">
      <c r="A2888" s="84" t="s">
        <v>1931</v>
      </c>
      <c r="B2888" s="84" t="s">
        <v>115</v>
      </c>
      <c r="C2888" s="84" t="s">
        <v>1837</v>
      </c>
      <c r="D2888" s="85">
        <v>236375</v>
      </c>
      <c r="E2888" s="85">
        <v>3604323</v>
      </c>
      <c r="F2888" s="86">
        <v>457872.1</v>
      </c>
      <c r="G2888" s="87">
        <v>12.703415</v>
      </c>
    </row>
    <row r="2889" spans="1:7" x14ac:dyDescent="0.25">
      <c r="A2889" s="84" t="s">
        <v>1932</v>
      </c>
      <c r="B2889" s="84" t="s">
        <v>115</v>
      </c>
      <c r="C2889" s="84" t="s">
        <v>281</v>
      </c>
      <c r="D2889" s="85">
        <v>20749</v>
      </c>
      <c r="E2889" s="85">
        <v>1192270</v>
      </c>
      <c r="F2889" s="86">
        <v>96739</v>
      </c>
      <c r="G2889" s="87">
        <v>8.1138501000000005</v>
      </c>
    </row>
    <row r="2890" spans="1:7" x14ac:dyDescent="0.25">
      <c r="A2890" s="84" t="s">
        <v>1933</v>
      </c>
      <c r="B2890" s="84" t="s">
        <v>115</v>
      </c>
      <c r="C2890" s="84" t="s">
        <v>283</v>
      </c>
      <c r="D2890" s="85">
        <v>22994</v>
      </c>
      <c r="E2890" s="85">
        <v>504939</v>
      </c>
      <c r="F2890" s="86">
        <v>41016.6</v>
      </c>
      <c r="G2890" s="87">
        <v>8.1230802000000004</v>
      </c>
    </row>
    <row r="2891" spans="1:7" x14ac:dyDescent="0.25">
      <c r="A2891" s="84" t="s">
        <v>2824</v>
      </c>
      <c r="B2891" s="84" t="s">
        <v>115</v>
      </c>
      <c r="C2891" s="84" t="s">
        <v>283</v>
      </c>
      <c r="D2891" s="85">
        <v>1073</v>
      </c>
      <c r="E2891" s="85">
        <v>20582</v>
      </c>
      <c r="F2891" s="86">
        <v>2265.5</v>
      </c>
      <c r="G2891" s="87">
        <v>11.007191000000001</v>
      </c>
    </row>
    <row r="2892" spans="1:7" x14ac:dyDescent="0.25">
      <c r="A2892" s="84" t="s">
        <v>1935</v>
      </c>
      <c r="B2892" s="84" t="s">
        <v>115</v>
      </c>
      <c r="C2892" s="84" t="s">
        <v>281</v>
      </c>
      <c r="D2892" s="85">
        <v>12685</v>
      </c>
      <c r="E2892" s="85">
        <v>229523</v>
      </c>
      <c r="F2892" s="86">
        <v>23910</v>
      </c>
      <c r="G2892" s="87">
        <v>10.417256999999999</v>
      </c>
    </row>
    <row r="2893" spans="1:7" x14ac:dyDescent="0.25">
      <c r="A2893" s="84" t="s">
        <v>1936</v>
      </c>
      <c r="B2893" s="84" t="s">
        <v>115</v>
      </c>
      <c r="C2893" s="84" t="s">
        <v>281</v>
      </c>
      <c r="D2893" s="85">
        <v>11367</v>
      </c>
      <c r="E2893" s="85">
        <v>316302</v>
      </c>
      <c r="F2893" s="86">
        <v>27940</v>
      </c>
      <c r="G2893" s="87">
        <v>8.8333302000000007</v>
      </c>
    </row>
    <row r="2894" spans="1:7" x14ac:dyDescent="0.25">
      <c r="A2894" s="84" t="s">
        <v>1492</v>
      </c>
      <c r="B2894" s="84" t="s">
        <v>115</v>
      </c>
      <c r="C2894" s="84" t="s">
        <v>281</v>
      </c>
      <c r="D2894" s="85">
        <v>5147</v>
      </c>
      <c r="E2894" s="85">
        <v>644496</v>
      </c>
      <c r="F2894" s="86">
        <v>44705</v>
      </c>
      <c r="G2894" s="87">
        <v>6.9364277999999997</v>
      </c>
    </row>
    <row r="2895" spans="1:7" x14ac:dyDescent="0.25">
      <c r="A2895" s="84" t="s">
        <v>1937</v>
      </c>
      <c r="B2895" s="84" t="s">
        <v>115</v>
      </c>
      <c r="C2895" s="84" t="s">
        <v>1837</v>
      </c>
      <c r="D2895" s="85">
        <v>14175</v>
      </c>
      <c r="E2895" s="85">
        <v>503317</v>
      </c>
      <c r="F2895" s="86">
        <v>50271</v>
      </c>
      <c r="G2895" s="87">
        <v>9.98794</v>
      </c>
    </row>
    <row r="2896" spans="1:7" x14ac:dyDescent="0.25">
      <c r="A2896" s="84" t="s">
        <v>1938</v>
      </c>
      <c r="B2896" s="84" t="s">
        <v>115</v>
      </c>
      <c r="C2896" s="84" t="s">
        <v>1837</v>
      </c>
      <c r="D2896" s="85">
        <v>20831</v>
      </c>
      <c r="E2896" s="85">
        <v>160847</v>
      </c>
      <c r="F2896" s="86">
        <v>14096.5</v>
      </c>
      <c r="G2896" s="87">
        <v>8.7639185000000008</v>
      </c>
    </row>
    <row r="2897" spans="1:7" x14ac:dyDescent="0.25">
      <c r="A2897" s="84" t="s">
        <v>1939</v>
      </c>
      <c r="B2897" s="84" t="s">
        <v>115</v>
      </c>
      <c r="C2897" s="84" t="s">
        <v>281</v>
      </c>
      <c r="D2897" s="85">
        <v>9323</v>
      </c>
      <c r="E2897" s="85">
        <v>239021</v>
      </c>
      <c r="F2897" s="86">
        <v>26084.9</v>
      </c>
      <c r="G2897" s="87">
        <v>10.913225000000001</v>
      </c>
    </row>
    <row r="2898" spans="1:7" x14ac:dyDescent="0.25">
      <c r="A2898" s="84" t="s">
        <v>1940</v>
      </c>
      <c r="B2898" s="84" t="s">
        <v>115</v>
      </c>
      <c r="C2898" s="84" t="s">
        <v>281</v>
      </c>
      <c r="D2898" s="85">
        <v>22900</v>
      </c>
      <c r="E2898" s="85">
        <v>731682</v>
      </c>
      <c r="F2898" s="86">
        <v>66174</v>
      </c>
      <c r="G2898" s="87">
        <v>9.0440929000000008</v>
      </c>
    </row>
    <row r="2899" spans="1:7" x14ac:dyDescent="0.25">
      <c r="A2899" s="84" t="s">
        <v>1941</v>
      </c>
      <c r="B2899" s="84" t="s">
        <v>115</v>
      </c>
      <c r="C2899" s="84" t="s">
        <v>1837</v>
      </c>
      <c r="D2899" s="85">
        <v>13185</v>
      </c>
      <c r="E2899" s="85">
        <v>9973794</v>
      </c>
      <c r="F2899" s="86">
        <v>600004.69999999995</v>
      </c>
      <c r="G2899" s="87">
        <v>6.0158120000000004</v>
      </c>
    </row>
    <row r="2900" spans="1:7" x14ac:dyDescent="0.25">
      <c r="A2900" s="84" t="s">
        <v>1942</v>
      </c>
      <c r="B2900" s="84" t="s">
        <v>115</v>
      </c>
      <c r="C2900" s="84" t="s">
        <v>281</v>
      </c>
      <c r="D2900" s="85">
        <v>121528</v>
      </c>
      <c r="E2900" s="85">
        <v>2393607</v>
      </c>
      <c r="F2900" s="86">
        <v>217458.3</v>
      </c>
      <c r="G2900" s="87">
        <v>9.0849626000000008</v>
      </c>
    </row>
    <row r="2901" spans="1:7" x14ac:dyDescent="0.25">
      <c r="A2901" s="84" t="s">
        <v>1943</v>
      </c>
      <c r="B2901" s="84" t="s">
        <v>115</v>
      </c>
      <c r="C2901" s="84" t="s">
        <v>1837</v>
      </c>
      <c r="D2901" s="85">
        <v>6</v>
      </c>
      <c r="E2901" s="85">
        <v>868</v>
      </c>
      <c r="F2901" s="86">
        <v>41.2</v>
      </c>
      <c r="G2901" s="87">
        <v>4.7465438000000004</v>
      </c>
    </row>
    <row r="2902" spans="1:7" x14ac:dyDescent="0.25">
      <c r="A2902" s="84" t="s">
        <v>1944</v>
      </c>
      <c r="B2902" s="84" t="s">
        <v>115</v>
      </c>
      <c r="C2902" s="84" t="s">
        <v>281</v>
      </c>
      <c r="D2902" s="85">
        <v>33848</v>
      </c>
      <c r="E2902" s="85">
        <v>1513702</v>
      </c>
      <c r="F2902" s="86">
        <v>124443.2</v>
      </c>
      <c r="G2902" s="87">
        <v>8.2211162000000009</v>
      </c>
    </row>
    <row r="2903" spans="1:7" x14ac:dyDescent="0.25">
      <c r="A2903" s="84" t="s">
        <v>2419</v>
      </c>
      <c r="B2903" s="84" t="s">
        <v>115</v>
      </c>
      <c r="C2903" s="84" t="s">
        <v>1837</v>
      </c>
      <c r="D2903" s="85">
        <v>16400</v>
      </c>
      <c r="E2903" s="85">
        <v>334343</v>
      </c>
      <c r="F2903" s="86">
        <v>30787</v>
      </c>
      <c r="G2903" s="87">
        <v>9.2082083000000008</v>
      </c>
    </row>
    <row r="2904" spans="1:7" x14ac:dyDescent="0.25">
      <c r="A2904" s="84" t="s">
        <v>1946</v>
      </c>
      <c r="B2904" s="84" t="s">
        <v>115</v>
      </c>
      <c r="C2904" s="84" t="s">
        <v>281</v>
      </c>
      <c r="D2904" s="85">
        <v>32221</v>
      </c>
      <c r="E2904" s="85">
        <v>814424</v>
      </c>
      <c r="F2904" s="86">
        <v>85294.9</v>
      </c>
      <c r="G2904" s="87">
        <v>10.473034</v>
      </c>
    </row>
    <row r="2905" spans="1:7" x14ac:dyDescent="0.25">
      <c r="A2905" s="84" t="s">
        <v>1947</v>
      </c>
      <c r="B2905" s="84" t="s">
        <v>115</v>
      </c>
      <c r="C2905" s="84" t="s">
        <v>1837</v>
      </c>
      <c r="D2905" s="85">
        <v>14204</v>
      </c>
      <c r="E2905" s="85">
        <v>1657364</v>
      </c>
      <c r="F2905" s="86">
        <v>121800</v>
      </c>
      <c r="G2905" s="87">
        <v>7.3490193000000001</v>
      </c>
    </row>
    <row r="2906" spans="1:7" x14ac:dyDescent="0.25">
      <c r="A2906" s="84" t="s">
        <v>2420</v>
      </c>
      <c r="B2906" s="84" t="s">
        <v>115</v>
      </c>
      <c r="C2906" s="84" t="s">
        <v>1837</v>
      </c>
      <c r="D2906" s="85">
        <v>1</v>
      </c>
      <c r="E2906" s="85">
        <v>0</v>
      </c>
      <c r="F2906" s="86">
        <v>15821</v>
      </c>
      <c r="G2906" s="87" t="s">
        <v>2189</v>
      </c>
    </row>
    <row r="2907" spans="1:7" x14ac:dyDescent="0.25">
      <c r="A2907" s="84" t="s">
        <v>1948</v>
      </c>
      <c r="B2907" s="84" t="s">
        <v>115</v>
      </c>
      <c r="C2907" s="84" t="s">
        <v>281</v>
      </c>
      <c r="D2907" s="85">
        <v>17005</v>
      </c>
      <c r="E2907" s="85">
        <v>548263</v>
      </c>
      <c r="F2907" s="86">
        <v>43592</v>
      </c>
      <c r="G2907" s="87">
        <v>7.9509287000000004</v>
      </c>
    </row>
    <row r="2908" spans="1:7" x14ac:dyDescent="0.25">
      <c r="A2908" s="84" t="s">
        <v>1949</v>
      </c>
      <c r="B2908" s="84" t="s">
        <v>115</v>
      </c>
      <c r="C2908" s="84" t="s">
        <v>281</v>
      </c>
      <c r="D2908" s="85">
        <v>19859</v>
      </c>
      <c r="E2908" s="85">
        <v>363587</v>
      </c>
      <c r="F2908" s="86">
        <v>35652.300000000003</v>
      </c>
      <c r="G2908" s="87">
        <v>9.8057136000000007</v>
      </c>
    </row>
    <row r="2909" spans="1:7" x14ac:dyDescent="0.25">
      <c r="A2909" s="84" t="s">
        <v>1950</v>
      </c>
      <c r="B2909" s="84" t="s">
        <v>115</v>
      </c>
      <c r="C2909" s="84" t="s">
        <v>1837</v>
      </c>
      <c r="D2909" s="85">
        <v>286560</v>
      </c>
      <c r="E2909" s="85">
        <v>9453911</v>
      </c>
      <c r="F2909" s="86">
        <v>828286.7</v>
      </c>
      <c r="G2909" s="87">
        <v>8.7613126000000001</v>
      </c>
    </row>
    <row r="2910" spans="1:7" x14ac:dyDescent="0.25">
      <c r="A2910" s="84" t="s">
        <v>1952</v>
      </c>
      <c r="B2910" s="84" t="s">
        <v>115</v>
      </c>
      <c r="C2910" s="84" t="s">
        <v>1837</v>
      </c>
      <c r="D2910" s="85">
        <v>314</v>
      </c>
      <c r="E2910" s="85">
        <v>1552</v>
      </c>
      <c r="F2910" s="86">
        <v>172.1</v>
      </c>
      <c r="G2910" s="87">
        <v>11.088918</v>
      </c>
    </row>
    <row r="2911" spans="1:7" x14ac:dyDescent="0.25">
      <c r="A2911" s="84" t="s">
        <v>1953</v>
      </c>
      <c r="B2911" s="84" t="s">
        <v>115</v>
      </c>
      <c r="C2911" s="84" t="s">
        <v>281</v>
      </c>
      <c r="D2911" s="85">
        <v>7181</v>
      </c>
      <c r="E2911" s="85">
        <v>354723</v>
      </c>
      <c r="F2911" s="86">
        <v>32013</v>
      </c>
      <c r="G2911" s="87">
        <v>9.0247884000000003</v>
      </c>
    </row>
    <row r="2912" spans="1:7" x14ac:dyDescent="0.25">
      <c r="A2912" s="84" t="s">
        <v>2421</v>
      </c>
      <c r="B2912" s="84" t="s">
        <v>115</v>
      </c>
      <c r="C2912" s="84" t="s">
        <v>281</v>
      </c>
      <c r="D2912" s="85">
        <v>42886</v>
      </c>
      <c r="E2912" s="85">
        <v>1308238</v>
      </c>
      <c r="F2912" s="86">
        <v>105882</v>
      </c>
      <c r="G2912" s="87">
        <v>8.0934814999999993</v>
      </c>
    </row>
    <row r="2913" spans="1:7" x14ac:dyDescent="0.25">
      <c r="A2913" s="84" t="s">
        <v>1956</v>
      </c>
      <c r="B2913" s="84" t="s">
        <v>115</v>
      </c>
      <c r="C2913" s="84" t="s">
        <v>1837</v>
      </c>
      <c r="D2913" s="85">
        <v>59521</v>
      </c>
      <c r="E2913" s="85">
        <v>1429862</v>
      </c>
      <c r="F2913" s="86">
        <v>124707</v>
      </c>
      <c r="G2913" s="87">
        <v>8.7216108999999999</v>
      </c>
    </row>
    <row r="2914" spans="1:7" x14ac:dyDescent="0.25">
      <c r="A2914" s="84" t="s">
        <v>983</v>
      </c>
      <c r="B2914" s="84" t="s">
        <v>115</v>
      </c>
      <c r="C2914" s="84" t="s">
        <v>281</v>
      </c>
      <c r="D2914" s="85">
        <v>10693</v>
      </c>
      <c r="E2914" s="85">
        <v>196605</v>
      </c>
      <c r="F2914" s="86">
        <v>18121.400000000001</v>
      </c>
      <c r="G2914" s="87">
        <v>9.2171613000000008</v>
      </c>
    </row>
    <row r="2915" spans="1:7" x14ac:dyDescent="0.25">
      <c r="A2915" s="84" t="s">
        <v>1957</v>
      </c>
      <c r="B2915" s="84" t="s">
        <v>115</v>
      </c>
      <c r="C2915" s="84" t="s">
        <v>281</v>
      </c>
      <c r="D2915" s="85">
        <v>363712</v>
      </c>
      <c r="E2915" s="85">
        <v>6490606</v>
      </c>
      <c r="F2915" s="86">
        <v>631029.5</v>
      </c>
      <c r="G2915" s="87">
        <v>9.7221969999999995</v>
      </c>
    </row>
    <row r="2916" spans="1:7" x14ac:dyDescent="0.25">
      <c r="A2916" s="84" t="s">
        <v>1960</v>
      </c>
      <c r="B2916" s="84" t="s">
        <v>115</v>
      </c>
      <c r="C2916" s="84" t="s">
        <v>1837</v>
      </c>
      <c r="D2916" s="85">
        <v>7878</v>
      </c>
      <c r="E2916" s="85">
        <v>92753</v>
      </c>
      <c r="F2916" s="86">
        <v>5961.6</v>
      </c>
      <c r="G2916" s="87">
        <v>6.4273932</v>
      </c>
    </row>
    <row r="2917" spans="1:7" x14ac:dyDescent="0.25">
      <c r="A2917" s="84" t="s">
        <v>1961</v>
      </c>
      <c r="B2917" s="84" t="s">
        <v>115</v>
      </c>
      <c r="C2917" s="84" t="s">
        <v>1837</v>
      </c>
      <c r="D2917" s="85">
        <v>660</v>
      </c>
      <c r="E2917" s="85">
        <v>239</v>
      </c>
      <c r="F2917" s="86">
        <v>12.2</v>
      </c>
      <c r="G2917" s="87">
        <v>5.1046025000000004</v>
      </c>
    </row>
    <row r="2918" spans="1:7" x14ac:dyDescent="0.25">
      <c r="A2918" s="84" t="s">
        <v>1962</v>
      </c>
      <c r="B2918" s="84" t="s">
        <v>115</v>
      </c>
      <c r="C2918" s="84" t="s">
        <v>1837</v>
      </c>
      <c r="D2918" s="85">
        <v>4124</v>
      </c>
      <c r="E2918" s="85">
        <v>199186</v>
      </c>
      <c r="F2918" s="86">
        <v>17929.900000000001</v>
      </c>
      <c r="G2918" s="87">
        <v>9.0015865000000002</v>
      </c>
    </row>
    <row r="2919" spans="1:7" x14ac:dyDescent="0.25">
      <c r="A2919" s="84" t="s">
        <v>2422</v>
      </c>
      <c r="B2919" s="84" t="s">
        <v>115</v>
      </c>
      <c r="C2919" s="84" t="s">
        <v>1837</v>
      </c>
      <c r="D2919" s="85">
        <v>23541</v>
      </c>
      <c r="E2919" s="85">
        <v>336201</v>
      </c>
      <c r="F2919" s="86">
        <v>32550</v>
      </c>
      <c r="G2919" s="87">
        <v>9.6817083000000004</v>
      </c>
    </row>
    <row r="2920" spans="1:7" x14ac:dyDescent="0.25">
      <c r="A2920" s="84" t="s">
        <v>2423</v>
      </c>
      <c r="B2920" s="84" t="s">
        <v>115</v>
      </c>
      <c r="C2920" s="84" t="s">
        <v>1837</v>
      </c>
      <c r="D2920" s="85">
        <v>1419364</v>
      </c>
      <c r="E2920" s="85">
        <v>41497486</v>
      </c>
      <c r="F2920" s="86">
        <v>4086827.8</v>
      </c>
      <c r="G2920" s="87">
        <v>9.8483744000000009</v>
      </c>
    </row>
    <row r="2921" spans="1:7" x14ac:dyDescent="0.25">
      <c r="A2921" s="84" t="s">
        <v>1497</v>
      </c>
      <c r="B2921" s="84" t="s">
        <v>115</v>
      </c>
      <c r="C2921" s="84" t="s">
        <v>281</v>
      </c>
      <c r="D2921" s="85">
        <v>13324</v>
      </c>
      <c r="E2921" s="85">
        <v>509675</v>
      </c>
      <c r="F2921" s="86">
        <v>52606.7</v>
      </c>
      <c r="G2921" s="87">
        <v>10.321617</v>
      </c>
    </row>
    <row r="2922" spans="1:7" x14ac:dyDescent="0.25">
      <c r="A2922" s="84" t="s">
        <v>1964</v>
      </c>
      <c r="B2922" s="84" t="s">
        <v>115</v>
      </c>
      <c r="C2922" s="84" t="s">
        <v>281</v>
      </c>
      <c r="D2922" s="85">
        <v>7961</v>
      </c>
      <c r="E2922" s="85">
        <v>587320</v>
      </c>
      <c r="F2922" s="86">
        <v>40137</v>
      </c>
      <c r="G2922" s="87">
        <v>6.8339236000000003</v>
      </c>
    </row>
    <row r="2923" spans="1:7" x14ac:dyDescent="0.25">
      <c r="A2923" s="84" t="s">
        <v>1965</v>
      </c>
      <c r="B2923" s="84" t="s">
        <v>115</v>
      </c>
      <c r="C2923" s="84" t="s">
        <v>281</v>
      </c>
      <c r="D2923" s="85">
        <v>22387</v>
      </c>
      <c r="E2923" s="85">
        <v>635932</v>
      </c>
      <c r="F2923" s="86">
        <v>56888</v>
      </c>
      <c r="G2923" s="87">
        <v>8.9456105000000008</v>
      </c>
    </row>
    <row r="2924" spans="1:7" x14ac:dyDescent="0.25">
      <c r="A2924" s="84" t="s">
        <v>2825</v>
      </c>
      <c r="B2924" s="84" t="s">
        <v>115</v>
      </c>
      <c r="C2924" s="84" t="s">
        <v>1837</v>
      </c>
      <c r="D2924" s="85">
        <v>40</v>
      </c>
      <c r="E2924" s="85">
        <v>1698</v>
      </c>
      <c r="F2924" s="86">
        <v>215</v>
      </c>
      <c r="G2924" s="87">
        <v>12.661955000000001</v>
      </c>
    </row>
    <row r="2925" spans="1:7" x14ac:dyDescent="0.25">
      <c r="A2925" s="84" t="s">
        <v>1966</v>
      </c>
      <c r="B2925" s="84" t="s">
        <v>115</v>
      </c>
      <c r="C2925" s="84" t="s">
        <v>281</v>
      </c>
      <c r="D2925" s="85">
        <v>76776</v>
      </c>
      <c r="E2925" s="85">
        <v>1465283</v>
      </c>
      <c r="F2925" s="86">
        <v>160568</v>
      </c>
      <c r="G2925" s="87">
        <v>10.958156000000001</v>
      </c>
    </row>
    <row r="2926" spans="1:7" x14ac:dyDescent="0.25">
      <c r="A2926" s="84" t="s">
        <v>1967</v>
      </c>
      <c r="B2926" s="84" t="s">
        <v>115</v>
      </c>
      <c r="C2926" s="84" t="s">
        <v>281</v>
      </c>
      <c r="D2926" s="85">
        <v>28911</v>
      </c>
      <c r="E2926" s="85">
        <v>700011</v>
      </c>
      <c r="F2926" s="86">
        <v>78876.5</v>
      </c>
      <c r="G2926" s="87">
        <v>11.267894</v>
      </c>
    </row>
    <row r="2927" spans="1:7" x14ac:dyDescent="0.25">
      <c r="A2927" s="84" t="s">
        <v>1968</v>
      </c>
      <c r="B2927" s="84" t="s">
        <v>115</v>
      </c>
      <c r="C2927" s="84" t="s">
        <v>281</v>
      </c>
      <c r="D2927" s="85">
        <v>11624</v>
      </c>
      <c r="E2927" s="85">
        <v>297423</v>
      </c>
      <c r="F2927" s="86">
        <v>30129.7</v>
      </c>
      <c r="G2927" s="87">
        <v>10.130252</v>
      </c>
    </row>
    <row r="2928" spans="1:7" x14ac:dyDescent="0.25">
      <c r="A2928" s="84" t="s">
        <v>1969</v>
      </c>
      <c r="B2928" s="84" t="s">
        <v>115</v>
      </c>
      <c r="C2928" s="84" t="s">
        <v>1837</v>
      </c>
      <c r="D2928" s="85">
        <v>641</v>
      </c>
      <c r="E2928" s="85">
        <v>6754</v>
      </c>
      <c r="F2928" s="86">
        <v>784.2</v>
      </c>
      <c r="G2928" s="87">
        <v>11.610897</v>
      </c>
    </row>
    <row r="2929" spans="1:7" x14ac:dyDescent="0.25">
      <c r="A2929" s="84" t="s">
        <v>408</v>
      </c>
      <c r="B2929" s="84" t="s">
        <v>115</v>
      </c>
      <c r="C2929" s="84" t="s">
        <v>392</v>
      </c>
      <c r="D2929" s="85">
        <v>8516</v>
      </c>
      <c r="E2929" s="85">
        <v>94218</v>
      </c>
      <c r="F2929" s="86">
        <v>10813</v>
      </c>
      <c r="G2929" s="87">
        <v>11.476576</v>
      </c>
    </row>
    <row r="2930" spans="1:7" x14ac:dyDescent="0.25">
      <c r="A2930" s="84" t="s">
        <v>1970</v>
      </c>
      <c r="B2930" s="84" t="s">
        <v>115</v>
      </c>
      <c r="C2930" s="84" t="s">
        <v>1837</v>
      </c>
      <c r="D2930" s="85">
        <v>1054</v>
      </c>
      <c r="E2930" s="85">
        <v>147739</v>
      </c>
      <c r="F2930" s="86">
        <v>10437</v>
      </c>
      <c r="G2930" s="87">
        <v>7.0644853000000003</v>
      </c>
    </row>
    <row r="2931" spans="1:7" x14ac:dyDescent="0.25">
      <c r="A2931" s="84" t="s">
        <v>1971</v>
      </c>
      <c r="B2931" s="84" t="s">
        <v>115</v>
      </c>
      <c r="C2931" s="84" t="s">
        <v>281</v>
      </c>
      <c r="D2931" s="85">
        <v>59982</v>
      </c>
      <c r="E2931" s="85">
        <v>1625276</v>
      </c>
      <c r="F2931" s="86">
        <v>134449.29999999999</v>
      </c>
      <c r="G2931" s="87">
        <v>8.2723980000000008</v>
      </c>
    </row>
    <row r="2932" spans="1:7" x14ac:dyDescent="0.25">
      <c r="A2932" s="84" t="s">
        <v>2427</v>
      </c>
      <c r="B2932" s="84" t="s">
        <v>115</v>
      </c>
      <c r="C2932" s="84" t="s">
        <v>1837</v>
      </c>
      <c r="D2932" s="85">
        <v>802</v>
      </c>
      <c r="E2932" s="85">
        <v>3658</v>
      </c>
      <c r="F2932" s="86">
        <v>121</v>
      </c>
      <c r="G2932" s="87">
        <v>3.3078185000000002</v>
      </c>
    </row>
    <row r="2933" spans="1:7" x14ac:dyDescent="0.25">
      <c r="A2933" s="84" t="s">
        <v>381</v>
      </c>
      <c r="B2933" s="84" t="s">
        <v>115</v>
      </c>
      <c r="C2933" s="84" t="s">
        <v>281</v>
      </c>
      <c r="D2933" s="85">
        <v>1110</v>
      </c>
      <c r="E2933" s="85">
        <v>21932</v>
      </c>
      <c r="F2933" s="86">
        <v>2230.5</v>
      </c>
      <c r="G2933" s="87">
        <v>10.170071</v>
      </c>
    </row>
    <row r="2934" spans="1:7" x14ac:dyDescent="0.25">
      <c r="A2934" s="84" t="s">
        <v>1623</v>
      </c>
      <c r="B2934" s="84" t="s">
        <v>115</v>
      </c>
      <c r="C2934" s="84" t="s">
        <v>281</v>
      </c>
      <c r="D2934" s="85">
        <v>3297</v>
      </c>
      <c r="E2934" s="85">
        <v>79529</v>
      </c>
      <c r="F2934" s="86">
        <v>9076.5</v>
      </c>
      <c r="G2934" s="87">
        <v>11.412818</v>
      </c>
    </row>
    <row r="2935" spans="1:7" x14ac:dyDescent="0.25">
      <c r="A2935" s="84" t="s">
        <v>1973</v>
      </c>
      <c r="B2935" s="84" t="s">
        <v>115</v>
      </c>
      <c r="C2935" s="84" t="s">
        <v>281</v>
      </c>
      <c r="D2935" s="85">
        <v>9933</v>
      </c>
      <c r="E2935" s="85">
        <v>335474</v>
      </c>
      <c r="F2935" s="86">
        <v>26124</v>
      </c>
      <c r="G2935" s="87">
        <v>7.7871907</v>
      </c>
    </row>
    <row r="2936" spans="1:7" x14ac:dyDescent="0.25">
      <c r="A2936" s="84" t="s">
        <v>502</v>
      </c>
      <c r="B2936" s="84" t="s">
        <v>115</v>
      </c>
      <c r="C2936" s="84" t="s">
        <v>281</v>
      </c>
      <c r="D2936" s="85">
        <v>26</v>
      </c>
      <c r="E2936" s="85">
        <v>502</v>
      </c>
      <c r="F2936" s="86">
        <v>87.2</v>
      </c>
      <c r="G2936" s="87">
        <v>17.370518000000001</v>
      </c>
    </row>
    <row r="2937" spans="1:7" x14ac:dyDescent="0.25">
      <c r="A2937" s="84" t="s">
        <v>382</v>
      </c>
      <c r="B2937" s="84" t="s">
        <v>115</v>
      </c>
      <c r="C2937" s="84" t="s">
        <v>278</v>
      </c>
      <c r="D2937" s="85">
        <v>186097</v>
      </c>
      <c r="E2937" s="85">
        <v>7232998</v>
      </c>
      <c r="F2937" s="86">
        <v>586324.6</v>
      </c>
      <c r="G2937" s="87">
        <v>8.1062457999999999</v>
      </c>
    </row>
    <row r="2938" spans="1:7" x14ac:dyDescent="0.25">
      <c r="A2938" s="84" t="s">
        <v>1501</v>
      </c>
      <c r="B2938" s="84" t="s">
        <v>115</v>
      </c>
      <c r="C2938" s="84" t="s">
        <v>278</v>
      </c>
      <c r="D2938" s="85">
        <v>271560</v>
      </c>
      <c r="E2938" s="85">
        <v>14023199</v>
      </c>
      <c r="F2938" s="86">
        <v>817216.1</v>
      </c>
      <c r="G2938" s="87">
        <v>5.8276010999999999</v>
      </c>
    </row>
    <row r="2939" spans="1:7" x14ac:dyDescent="0.25">
      <c r="A2939" s="84" t="s">
        <v>1974</v>
      </c>
      <c r="B2939" s="84" t="s">
        <v>115</v>
      </c>
      <c r="C2939" s="84" t="s">
        <v>1837</v>
      </c>
      <c r="D2939" s="85">
        <v>42495</v>
      </c>
      <c r="E2939" s="85">
        <v>681576</v>
      </c>
      <c r="F2939" s="86">
        <v>81868</v>
      </c>
      <c r="G2939" s="87">
        <v>12.011573</v>
      </c>
    </row>
    <row r="2940" spans="1:7" x14ac:dyDescent="0.25">
      <c r="A2940" s="84" t="s">
        <v>2428</v>
      </c>
      <c r="B2940" s="84" t="s">
        <v>115</v>
      </c>
      <c r="C2940" s="84" t="s">
        <v>1837</v>
      </c>
      <c r="D2940" s="85">
        <v>275877</v>
      </c>
      <c r="E2940" s="85">
        <v>4284886</v>
      </c>
      <c r="F2940" s="86">
        <v>506513.3</v>
      </c>
      <c r="G2940" s="87">
        <v>11.820928</v>
      </c>
    </row>
    <row r="2941" spans="1:7" x14ac:dyDescent="0.25">
      <c r="A2941" s="84" t="s">
        <v>1977</v>
      </c>
      <c r="B2941" s="84" t="s">
        <v>115</v>
      </c>
      <c r="C2941" s="84" t="s">
        <v>1837</v>
      </c>
      <c r="D2941" s="85">
        <v>43718</v>
      </c>
      <c r="E2941" s="85">
        <v>1692591</v>
      </c>
      <c r="F2941" s="86">
        <v>144874</v>
      </c>
      <c r="G2941" s="87">
        <v>8.5593035000000004</v>
      </c>
    </row>
    <row r="2942" spans="1:7" x14ac:dyDescent="0.25">
      <c r="A2942" s="84" t="s">
        <v>414</v>
      </c>
      <c r="B2942" s="84" t="s">
        <v>115</v>
      </c>
      <c r="C2942" s="84" t="s">
        <v>392</v>
      </c>
      <c r="D2942" s="85">
        <v>745</v>
      </c>
      <c r="E2942" s="85">
        <v>7967</v>
      </c>
      <c r="F2942" s="86">
        <v>951</v>
      </c>
      <c r="G2942" s="87">
        <v>11.936738999999999</v>
      </c>
    </row>
    <row r="2943" spans="1:7" x14ac:dyDescent="0.25">
      <c r="A2943" s="84" t="s">
        <v>415</v>
      </c>
      <c r="B2943" s="84" t="s">
        <v>115</v>
      </c>
      <c r="C2943" s="84" t="s">
        <v>392</v>
      </c>
      <c r="D2943" s="85">
        <v>2089</v>
      </c>
      <c r="E2943" s="85">
        <v>16413</v>
      </c>
      <c r="F2943" s="86">
        <v>2538</v>
      </c>
      <c r="G2943" s="87">
        <v>15.463352</v>
      </c>
    </row>
    <row r="2944" spans="1:7" x14ac:dyDescent="0.25">
      <c r="A2944" s="84" t="s">
        <v>1978</v>
      </c>
      <c r="B2944" s="84" t="s">
        <v>115</v>
      </c>
      <c r="C2944" s="84" t="s">
        <v>281</v>
      </c>
      <c r="D2944" s="85">
        <v>7992</v>
      </c>
      <c r="E2944" s="85">
        <v>170397</v>
      </c>
      <c r="F2944" s="86">
        <v>16697.8</v>
      </c>
      <c r="G2944" s="87">
        <v>9.7993509000000003</v>
      </c>
    </row>
    <row r="2945" spans="1:7" x14ac:dyDescent="0.25">
      <c r="A2945" s="84" t="s">
        <v>1979</v>
      </c>
      <c r="B2945" s="84" t="s">
        <v>115</v>
      </c>
      <c r="C2945" s="84" t="s">
        <v>1837</v>
      </c>
      <c r="D2945" s="85">
        <v>1620645</v>
      </c>
      <c r="E2945" s="85">
        <v>43711904</v>
      </c>
      <c r="F2945" s="86">
        <v>4453482.4000000004</v>
      </c>
      <c r="G2945" s="87">
        <v>10.18826</v>
      </c>
    </row>
    <row r="2946" spans="1:7" x14ac:dyDescent="0.25">
      <c r="A2946" s="84" t="s">
        <v>2429</v>
      </c>
      <c r="B2946" s="84" t="s">
        <v>115</v>
      </c>
      <c r="C2946" s="84" t="s">
        <v>1837</v>
      </c>
      <c r="D2946" s="85">
        <v>43534</v>
      </c>
      <c r="E2946" s="85">
        <v>1878963</v>
      </c>
      <c r="F2946" s="86">
        <v>162369.5</v>
      </c>
      <c r="G2946" s="87">
        <v>8.6414421000000008</v>
      </c>
    </row>
    <row r="2947" spans="1:7" x14ac:dyDescent="0.25">
      <c r="A2947" s="84" t="s">
        <v>1981</v>
      </c>
      <c r="B2947" s="84" t="s">
        <v>115</v>
      </c>
      <c r="C2947" s="84" t="s">
        <v>281</v>
      </c>
      <c r="D2947" s="85">
        <v>18146</v>
      </c>
      <c r="E2947" s="85">
        <v>355319</v>
      </c>
      <c r="F2947" s="86">
        <v>43708.800000000003</v>
      </c>
      <c r="G2947" s="87">
        <v>12.301284000000001</v>
      </c>
    </row>
    <row r="2948" spans="1:7" x14ac:dyDescent="0.25">
      <c r="A2948" s="84" t="s">
        <v>2430</v>
      </c>
      <c r="B2948" s="84" t="s">
        <v>115</v>
      </c>
      <c r="C2948" s="84" t="s">
        <v>1837</v>
      </c>
      <c r="D2948" s="85">
        <v>153</v>
      </c>
      <c r="E2948" s="85">
        <v>1867344</v>
      </c>
      <c r="F2948" s="86">
        <v>96875.8</v>
      </c>
      <c r="G2948" s="87">
        <v>5.1878925000000002</v>
      </c>
    </row>
    <row r="2949" spans="1:7" x14ac:dyDescent="0.25">
      <c r="A2949" s="84" t="s">
        <v>416</v>
      </c>
      <c r="B2949" s="84" t="s">
        <v>115</v>
      </c>
      <c r="C2949" s="84" t="s">
        <v>392</v>
      </c>
      <c r="D2949" s="85">
        <v>2</v>
      </c>
      <c r="E2949" s="85">
        <v>1109</v>
      </c>
      <c r="F2949" s="86">
        <v>69.099999999999994</v>
      </c>
      <c r="G2949" s="87">
        <v>6.2308386000000002</v>
      </c>
    </row>
    <row r="2950" spans="1:7" x14ac:dyDescent="0.25">
      <c r="A2950" s="84" t="s">
        <v>1984</v>
      </c>
      <c r="B2950" s="84" t="s">
        <v>115</v>
      </c>
      <c r="C2950" s="84" t="s">
        <v>1837</v>
      </c>
      <c r="D2950" s="85">
        <v>516</v>
      </c>
      <c r="E2950" s="85">
        <v>6245789</v>
      </c>
      <c r="F2950" s="86">
        <v>451343</v>
      </c>
      <c r="G2950" s="87">
        <v>7.2263567999999996</v>
      </c>
    </row>
    <row r="2951" spans="1:7" x14ac:dyDescent="0.25">
      <c r="A2951" s="84" t="s">
        <v>1985</v>
      </c>
      <c r="B2951" s="84" t="s">
        <v>115</v>
      </c>
      <c r="C2951" s="84" t="s">
        <v>1837</v>
      </c>
      <c r="D2951" s="85">
        <v>562</v>
      </c>
      <c r="E2951" s="85">
        <v>1637889</v>
      </c>
      <c r="F2951" s="86">
        <v>128870.6</v>
      </c>
      <c r="G2951" s="87">
        <v>7.8680912000000003</v>
      </c>
    </row>
    <row r="2952" spans="1:7" x14ac:dyDescent="0.25">
      <c r="A2952" s="84" t="s">
        <v>1986</v>
      </c>
      <c r="B2952" s="84" t="s">
        <v>115</v>
      </c>
      <c r="C2952" s="84" t="s">
        <v>1837</v>
      </c>
      <c r="D2952" s="85">
        <v>34062</v>
      </c>
      <c r="E2952" s="85">
        <v>750593</v>
      </c>
      <c r="F2952" s="86">
        <v>44910</v>
      </c>
      <c r="G2952" s="87">
        <v>5.9832691999999996</v>
      </c>
    </row>
    <row r="2953" spans="1:7" x14ac:dyDescent="0.25">
      <c r="A2953" s="84" t="s">
        <v>1987</v>
      </c>
      <c r="B2953" s="84" t="s">
        <v>115</v>
      </c>
      <c r="C2953" s="84" t="s">
        <v>1837</v>
      </c>
      <c r="D2953" s="85">
        <v>5</v>
      </c>
      <c r="E2953" s="85">
        <v>581895</v>
      </c>
      <c r="F2953" s="86">
        <v>28487.8</v>
      </c>
      <c r="G2953" s="87">
        <v>4.8956942000000003</v>
      </c>
    </row>
    <row r="2954" spans="1:7" x14ac:dyDescent="0.25">
      <c r="A2954" s="84" t="s">
        <v>2370</v>
      </c>
      <c r="B2954" s="84" t="s">
        <v>115</v>
      </c>
      <c r="C2954" s="84" t="s">
        <v>281</v>
      </c>
      <c r="D2954" s="85">
        <v>318</v>
      </c>
      <c r="E2954" s="85">
        <v>17773</v>
      </c>
      <c r="F2954" s="86">
        <v>2181.4</v>
      </c>
      <c r="G2954" s="87">
        <v>12.273674</v>
      </c>
    </row>
    <row r="2955" spans="1:7" x14ac:dyDescent="0.25">
      <c r="A2955" s="84" t="s">
        <v>2432</v>
      </c>
      <c r="B2955" s="84" t="s">
        <v>115</v>
      </c>
      <c r="C2955" s="84" t="s">
        <v>281</v>
      </c>
      <c r="D2955" s="85">
        <v>115134</v>
      </c>
      <c r="E2955" s="85">
        <v>3013987</v>
      </c>
      <c r="F2955" s="86">
        <v>251553.5</v>
      </c>
      <c r="G2955" s="87">
        <v>8.3462039000000008</v>
      </c>
    </row>
    <row r="2956" spans="1:7" x14ac:dyDescent="0.25">
      <c r="A2956" s="84" t="s">
        <v>1988</v>
      </c>
      <c r="B2956" s="84" t="s">
        <v>115</v>
      </c>
      <c r="C2956" s="84" t="s">
        <v>1837</v>
      </c>
      <c r="D2956" s="85">
        <v>128478</v>
      </c>
      <c r="E2956" s="85">
        <v>2201105</v>
      </c>
      <c r="F2956" s="86">
        <v>206536.4</v>
      </c>
      <c r="G2956" s="87">
        <v>9.3833052000000006</v>
      </c>
    </row>
    <row r="2957" spans="1:7" x14ac:dyDescent="0.25">
      <c r="A2957" s="84" t="s">
        <v>1989</v>
      </c>
      <c r="B2957" s="84" t="s">
        <v>115</v>
      </c>
      <c r="C2957" s="84" t="s">
        <v>281</v>
      </c>
      <c r="D2957" s="85">
        <v>71870</v>
      </c>
      <c r="E2957" s="85">
        <v>1366869</v>
      </c>
      <c r="F2957" s="86">
        <v>148324</v>
      </c>
      <c r="G2957" s="87">
        <v>10.851369</v>
      </c>
    </row>
    <row r="2958" spans="1:7" x14ac:dyDescent="0.25">
      <c r="A2958" s="84" t="s">
        <v>1990</v>
      </c>
      <c r="B2958" s="84" t="s">
        <v>115</v>
      </c>
      <c r="C2958" s="84" t="s">
        <v>1837</v>
      </c>
      <c r="D2958" s="85">
        <v>325265</v>
      </c>
      <c r="E2958" s="85">
        <v>7377806</v>
      </c>
      <c r="F2958" s="86">
        <v>726330.6</v>
      </c>
      <c r="G2958" s="87">
        <v>9.8448048000000004</v>
      </c>
    </row>
    <row r="2959" spans="1:7" x14ac:dyDescent="0.25">
      <c r="A2959" s="84" t="s">
        <v>1991</v>
      </c>
      <c r="B2959" s="84" t="s">
        <v>115</v>
      </c>
      <c r="C2959" s="84" t="s">
        <v>281</v>
      </c>
      <c r="D2959" s="85">
        <v>87738</v>
      </c>
      <c r="E2959" s="85">
        <v>2463002</v>
      </c>
      <c r="F2959" s="86">
        <v>194804</v>
      </c>
      <c r="G2959" s="87">
        <v>7.9092099999999999</v>
      </c>
    </row>
    <row r="2960" spans="1:7" x14ac:dyDescent="0.25">
      <c r="A2960" s="84" t="s">
        <v>1992</v>
      </c>
      <c r="B2960" s="84" t="s">
        <v>115</v>
      </c>
      <c r="C2960" s="84" t="s">
        <v>281</v>
      </c>
      <c r="D2960" s="85">
        <v>46806</v>
      </c>
      <c r="E2960" s="85">
        <v>888422</v>
      </c>
      <c r="F2960" s="86">
        <v>88505</v>
      </c>
      <c r="G2960" s="87">
        <v>9.9620450999999992</v>
      </c>
    </row>
    <row r="2961" spans="1:7" x14ac:dyDescent="0.25">
      <c r="A2961" s="84" t="s">
        <v>1993</v>
      </c>
      <c r="B2961" s="84" t="s">
        <v>115</v>
      </c>
      <c r="C2961" s="84" t="s">
        <v>1837</v>
      </c>
      <c r="D2961" s="85">
        <v>25209</v>
      </c>
      <c r="E2961" s="85">
        <v>488652</v>
      </c>
      <c r="F2961" s="86">
        <v>45576.2</v>
      </c>
      <c r="G2961" s="87">
        <v>9.3269239000000006</v>
      </c>
    </row>
    <row r="2962" spans="1:7" x14ac:dyDescent="0.25">
      <c r="A2962" s="84" t="s">
        <v>2433</v>
      </c>
      <c r="B2962" s="84" t="s">
        <v>115</v>
      </c>
      <c r="C2962" s="84" t="s">
        <v>1837</v>
      </c>
      <c r="D2962" s="85">
        <v>103735</v>
      </c>
      <c r="E2962" s="85">
        <v>1481439</v>
      </c>
      <c r="F2962" s="86">
        <v>148344</v>
      </c>
      <c r="G2962" s="87">
        <v>10.013507000000001</v>
      </c>
    </row>
    <row r="2963" spans="1:7" x14ac:dyDescent="0.25">
      <c r="A2963" s="84" t="s">
        <v>1994</v>
      </c>
      <c r="B2963" s="84" t="s">
        <v>115</v>
      </c>
      <c r="C2963" s="84" t="s">
        <v>1837</v>
      </c>
      <c r="D2963" s="85">
        <v>20</v>
      </c>
      <c r="E2963" s="85">
        <v>36</v>
      </c>
      <c r="F2963" s="86">
        <v>5.4</v>
      </c>
      <c r="G2963" s="87">
        <v>15</v>
      </c>
    </row>
    <row r="2964" spans="1:7" x14ac:dyDescent="0.25">
      <c r="A2964" s="84" t="s">
        <v>1995</v>
      </c>
      <c r="B2964" s="84" t="s">
        <v>115</v>
      </c>
      <c r="C2964" s="84" t="s">
        <v>1837</v>
      </c>
      <c r="D2964" s="85">
        <v>10677</v>
      </c>
      <c r="E2964" s="85">
        <v>143176</v>
      </c>
      <c r="F2964" s="86">
        <v>16042.5</v>
      </c>
      <c r="G2964" s="87">
        <v>11.204741</v>
      </c>
    </row>
    <row r="2965" spans="1:7" x14ac:dyDescent="0.25">
      <c r="A2965" s="84" t="s">
        <v>1996</v>
      </c>
      <c r="B2965" s="84" t="s">
        <v>115</v>
      </c>
      <c r="C2965" s="84" t="s">
        <v>281</v>
      </c>
      <c r="D2965" s="85">
        <v>23154</v>
      </c>
      <c r="E2965" s="85">
        <v>579982</v>
      </c>
      <c r="F2965" s="86">
        <v>53539.3</v>
      </c>
      <c r="G2965" s="87">
        <v>9.2312002999999994</v>
      </c>
    </row>
    <row r="2966" spans="1:7" x14ac:dyDescent="0.25">
      <c r="A2966" s="84" t="s">
        <v>1997</v>
      </c>
      <c r="B2966" s="84" t="s">
        <v>115</v>
      </c>
      <c r="C2966" s="84" t="s">
        <v>1837</v>
      </c>
      <c r="D2966" s="85">
        <v>9916</v>
      </c>
      <c r="E2966" s="85">
        <v>143520</v>
      </c>
      <c r="F2966" s="86">
        <v>9397</v>
      </c>
      <c r="G2966" s="87">
        <v>6.5475194999999999</v>
      </c>
    </row>
    <row r="2967" spans="1:7" x14ac:dyDescent="0.25">
      <c r="A2967" s="84" t="s">
        <v>1998</v>
      </c>
      <c r="B2967" s="84" t="s">
        <v>115</v>
      </c>
      <c r="C2967" s="84" t="s">
        <v>1837</v>
      </c>
      <c r="D2967" s="85">
        <v>12</v>
      </c>
      <c r="E2967" s="85">
        <v>2</v>
      </c>
      <c r="F2967" s="86">
        <v>0.1</v>
      </c>
      <c r="G2967" s="87">
        <v>5</v>
      </c>
    </row>
    <row r="2968" spans="1:7" x14ac:dyDescent="0.25">
      <c r="A2968" s="84" t="s">
        <v>1999</v>
      </c>
      <c r="B2968" s="84" t="s">
        <v>115</v>
      </c>
      <c r="C2968" s="84" t="s">
        <v>283</v>
      </c>
      <c r="D2968" s="85">
        <v>15077</v>
      </c>
      <c r="E2968" s="85">
        <v>423576</v>
      </c>
      <c r="F2968" s="86">
        <v>35397</v>
      </c>
      <c r="G2968" s="87">
        <v>8.3567058000000003</v>
      </c>
    </row>
    <row r="2969" spans="1:7" x14ac:dyDescent="0.25">
      <c r="A2969" s="84" t="s">
        <v>2000</v>
      </c>
      <c r="B2969" s="84" t="s">
        <v>115</v>
      </c>
      <c r="C2969" s="84" t="s">
        <v>281</v>
      </c>
      <c r="D2969" s="85">
        <v>6309</v>
      </c>
      <c r="E2969" s="85">
        <v>224668</v>
      </c>
      <c r="F2969" s="86">
        <v>21303.5</v>
      </c>
      <c r="G2969" s="87">
        <v>9.4822138000000002</v>
      </c>
    </row>
    <row r="2970" spans="1:7" x14ac:dyDescent="0.25">
      <c r="A2970" s="84" t="s">
        <v>2435</v>
      </c>
      <c r="B2970" s="84" t="s">
        <v>115</v>
      </c>
      <c r="C2970" s="84" t="s">
        <v>1837</v>
      </c>
      <c r="D2970" s="85">
        <v>13668</v>
      </c>
      <c r="E2970" s="85">
        <v>230408</v>
      </c>
      <c r="F2970" s="86">
        <v>12404.1</v>
      </c>
      <c r="G2970" s="87">
        <v>5.3835369999999996</v>
      </c>
    </row>
    <row r="2971" spans="1:7" x14ac:dyDescent="0.25">
      <c r="A2971" s="84" t="s">
        <v>2001</v>
      </c>
      <c r="B2971" s="84" t="s">
        <v>115</v>
      </c>
      <c r="C2971" s="84" t="s">
        <v>281</v>
      </c>
      <c r="D2971" s="85">
        <v>23337</v>
      </c>
      <c r="E2971" s="85">
        <v>778814</v>
      </c>
      <c r="F2971" s="86">
        <v>62988</v>
      </c>
      <c r="G2971" s="87">
        <v>8.0876819999999991</v>
      </c>
    </row>
    <row r="2972" spans="1:7" x14ac:dyDescent="0.25">
      <c r="A2972" s="84" t="s">
        <v>2002</v>
      </c>
      <c r="B2972" s="84" t="s">
        <v>115</v>
      </c>
      <c r="C2972" s="84" t="s">
        <v>1837</v>
      </c>
      <c r="D2972" s="85">
        <v>462</v>
      </c>
      <c r="E2972" s="85">
        <v>13990</v>
      </c>
      <c r="F2972" s="86">
        <v>760.1</v>
      </c>
      <c r="G2972" s="87">
        <v>5.4331664999999996</v>
      </c>
    </row>
    <row r="2973" spans="1:7" x14ac:dyDescent="0.25">
      <c r="A2973" s="84" t="s">
        <v>2003</v>
      </c>
      <c r="B2973" s="84" t="s">
        <v>115</v>
      </c>
      <c r="C2973" s="84" t="s">
        <v>281</v>
      </c>
      <c r="D2973" s="85">
        <v>37408</v>
      </c>
      <c r="E2973" s="85">
        <v>722310</v>
      </c>
      <c r="F2973" s="86">
        <v>72734</v>
      </c>
      <c r="G2973" s="87">
        <v>10.069637999999999</v>
      </c>
    </row>
    <row r="2974" spans="1:7" x14ac:dyDescent="0.25">
      <c r="A2974" s="84" t="s">
        <v>2004</v>
      </c>
      <c r="B2974" s="84" t="s">
        <v>115</v>
      </c>
      <c r="C2974" s="84" t="s">
        <v>1837</v>
      </c>
      <c r="D2974" s="85">
        <v>49463</v>
      </c>
      <c r="E2974" s="85">
        <v>766474</v>
      </c>
      <c r="F2974" s="86">
        <v>92159.1</v>
      </c>
      <c r="G2974" s="87">
        <v>12.023774</v>
      </c>
    </row>
    <row r="2975" spans="1:7" x14ac:dyDescent="0.25">
      <c r="A2975" s="84" t="s">
        <v>2005</v>
      </c>
      <c r="B2975" s="84" t="s">
        <v>115</v>
      </c>
      <c r="C2975" s="84" t="s">
        <v>1837</v>
      </c>
      <c r="D2975" s="85">
        <v>32403</v>
      </c>
      <c r="E2975" s="85">
        <v>282129</v>
      </c>
      <c r="F2975" s="86">
        <v>44724.9</v>
      </c>
      <c r="G2975" s="87">
        <v>15.852641999999999</v>
      </c>
    </row>
    <row r="2976" spans="1:7" x14ac:dyDescent="0.25">
      <c r="A2976" s="84" t="s">
        <v>2826</v>
      </c>
      <c r="B2976" s="84" t="s">
        <v>117</v>
      </c>
      <c r="C2976" s="84" t="s">
        <v>283</v>
      </c>
      <c r="D2976" s="85">
        <v>1736</v>
      </c>
      <c r="E2976" s="85">
        <v>30790</v>
      </c>
      <c r="F2976" s="86">
        <v>2484.6</v>
      </c>
      <c r="G2976" s="87">
        <v>8.0695031000000004</v>
      </c>
    </row>
    <row r="2977" spans="1:7" x14ac:dyDescent="0.25">
      <c r="A2977" s="84" t="s">
        <v>2006</v>
      </c>
      <c r="B2977" s="84" t="s">
        <v>117</v>
      </c>
      <c r="C2977" s="84" t="s">
        <v>281</v>
      </c>
      <c r="D2977" s="85">
        <v>2053</v>
      </c>
      <c r="E2977" s="85">
        <v>13427</v>
      </c>
      <c r="F2977" s="86">
        <v>1922.8</v>
      </c>
      <c r="G2977" s="87">
        <v>14.320399</v>
      </c>
    </row>
    <row r="2978" spans="1:7" x14ac:dyDescent="0.25">
      <c r="A2978" s="84" t="s">
        <v>2007</v>
      </c>
      <c r="B2978" s="84" t="s">
        <v>117</v>
      </c>
      <c r="C2978" s="84" t="s">
        <v>283</v>
      </c>
      <c r="D2978" s="85">
        <v>7942</v>
      </c>
      <c r="E2978" s="85">
        <v>168403</v>
      </c>
      <c r="F2978" s="86">
        <v>14618</v>
      </c>
      <c r="G2978" s="87">
        <v>8.6803679000000002</v>
      </c>
    </row>
    <row r="2979" spans="1:7" x14ac:dyDescent="0.25">
      <c r="A2979" s="84" t="s">
        <v>2827</v>
      </c>
      <c r="B2979" s="84" t="s">
        <v>117</v>
      </c>
      <c r="C2979" s="84" t="s">
        <v>283</v>
      </c>
      <c r="D2979" s="85">
        <v>1712</v>
      </c>
      <c r="E2979" s="85">
        <v>25904</v>
      </c>
      <c r="F2979" s="86">
        <v>2695</v>
      </c>
      <c r="G2979" s="87">
        <v>10.403798999999999</v>
      </c>
    </row>
    <row r="2980" spans="1:7" x14ac:dyDescent="0.25">
      <c r="A2980" s="84" t="s">
        <v>2008</v>
      </c>
      <c r="B2980" s="84" t="s">
        <v>117</v>
      </c>
      <c r="C2980" s="84" t="s">
        <v>283</v>
      </c>
      <c r="D2980" s="85">
        <v>17071</v>
      </c>
      <c r="E2980" s="85">
        <v>272767</v>
      </c>
      <c r="F2980" s="86">
        <v>26340</v>
      </c>
      <c r="G2980" s="87">
        <v>9.6565934000000002</v>
      </c>
    </row>
    <row r="2981" spans="1:7" x14ac:dyDescent="0.25">
      <c r="A2981" s="84" t="s">
        <v>2828</v>
      </c>
      <c r="B2981" s="84" t="s">
        <v>117</v>
      </c>
      <c r="C2981" s="84" t="s">
        <v>283</v>
      </c>
      <c r="D2981" s="85">
        <v>670</v>
      </c>
      <c r="E2981" s="85">
        <v>9508</v>
      </c>
      <c r="F2981" s="86">
        <v>1024.9000000000001</v>
      </c>
      <c r="G2981" s="87">
        <v>10.779344</v>
      </c>
    </row>
    <row r="2982" spans="1:7" x14ac:dyDescent="0.25">
      <c r="A2982" s="84" t="s">
        <v>2829</v>
      </c>
      <c r="B2982" s="84" t="s">
        <v>117</v>
      </c>
      <c r="C2982" s="84" t="s">
        <v>283</v>
      </c>
      <c r="D2982" s="85">
        <v>2370</v>
      </c>
      <c r="E2982" s="85">
        <v>37257</v>
      </c>
      <c r="F2982" s="86">
        <v>3405.6</v>
      </c>
      <c r="G2982" s="87">
        <v>9.1408325999999995</v>
      </c>
    </row>
    <row r="2983" spans="1:7" x14ac:dyDescent="0.25">
      <c r="A2983" s="84" t="s">
        <v>2830</v>
      </c>
      <c r="B2983" s="84" t="s">
        <v>117</v>
      </c>
      <c r="C2983" s="84" t="s">
        <v>283</v>
      </c>
      <c r="D2983" s="85">
        <v>1250</v>
      </c>
      <c r="E2983" s="85">
        <v>11196</v>
      </c>
      <c r="F2983" s="86">
        <v>910</v>
      </c>
      <c r="G2983" s="87">
        <v>8.1279027999999993</v>
      </c>
    </row>
    <row r="2984" spans="1:7" x14ac:dyDescent="0.25">
      <c r="A2984" s="84" t="s">
        <v>2009</v>
      </c>
      <c r="B2984" s="84" t="s">
        <v>117</v>
      </c>
      <c r="C2984" s="84" t="s">
        <v>283</v>
      </c>
      <c r="D2984" s="85">
        <v>20733</v>
      </c>
      <c r="E2984" s="85">
        <v>392391</v>
      </c>
      <c r="F2984" s="86">
        <v>34104.800000000003</v>
      </c>
      <c r="G2984" s="87">
        <v>8.6915347000000001</v>
      </c>
    </row>
    <row r="2985" spans="1:7" x14ac:dyDescent="0.25">
      <c r="A2985" s="84" t="s">
        <v>2831</v>
      </c>
      <c r="B2985" s="84" t="s">
        <v>117</v>
      </c>
      <c r="C2985" s="84" t="s">
        <v>283</v>
      </c>
      <c r="D2985" s="85">
        <v>1458</v>
      </c>
      <c r="E2985" s="85">
        <v>18691</v>
      </c>
      <c r="F2985" s="86">
        <v>1860</v>
      </c>
      <c r="G2985" s="87">
        <v>9.9513134999999995</v>
      </c>
    </row>
    <row r="2986" spans="1:7" x14ac:dyDescent="0.25">
      <c r="A2986" s="84" t="s">
        <v>2832</v>
      </c>
      <c r="B2986" s="84" t="s">
        <v>117</v>
      </c>
      <c r="C2986" s="84" t="s">
        <v>283</v>
      </c>
      <c r="D2986" s="85">
        <v>1175</v>
      </c>
      <c r="E2986" s="85">
        <v>12925</v>
      </c>
      <c r="F2986" s="86">
        <v>1101</v>
      </c>
      <c r="G2986" s="87">
        <v>8.5183751999999995</v>
      </c>
    </row>
    <row r="2987" spans="1:7" x14ac:dyDescent="0.25">
      <c r="A2987" s="84" t="s">
        <v>2833</v>
      </c>
      <c r="B2987" s="84" t="s">
        <v>117</v>
      </c>
      <c r="C2987" s="84" t="s">
        <v>283</v>
      </c>
      <c r="D2987" s="85">
        <v>2315</v>
      </c>
      <c r="E2987" s="85">
        <v>26761</v>
      </c>
      <c r="F2987" s="86">
        <v>2522.5</v>
      </c>
      <c r="G2987" s="87">
        <v>9.4260304000000001</v>
      </c>
    </row>
    <row r="2988" spans="1:7" x14ac:dyDescent="0.25">
      <c r="A2988" s="84" t="s">
        <v>2010</v>
      </c>
      <c r="B2988" s="84" t="s">
        <v>117</v>
      </c>
      <c r="C2988" s="84" t="s">
        <v>283</v>
      </c>
      <c r="D2988" s="85">
        <v>18456</v>
      </c>
      <c r="E2988" s="85">
        <v>393721</v>
      </c>
      <c r="F2988" s="86">
        <v>32904</v>
      </c>
      <c r="G2988" s="87">
        <v>8.3571869000000003</v>
      </c>
    </row>
    <row r="2989" spans="1:7" x14ac:dyDescent="0.25">
      <c r="A2989" s="84" t="s">
        <v>2834</v>
      </c>
      <c r="B2989" s="84" t="s">
        <v>117</v>
      </c>
      <c r="C2989" s="84" t="s">
        <v>283</v>
      </c>
      <c r="D2989" s="85">
        <v>2833</v>
      </c>
      <c r="E2989" s="85">
        <v>45186</v>
      </c>
      <c r="F2989" s="86">
        <v>4029</v>
      </c>
      <c r="G2989" s="87">
        <v>8.9164785999999996</v>
      </c>
    </row>
    <row r="2990" spans="1:7" x14ac:dyDescent="0.25">
      <c r="A2990" s="84" t="s">
        <v>2011</v>
      </c>
      <c r="B2990" s="84" t="s">
        <v>117</v>
      </c>
      <c r="C2990" s="84" t="s">
        <v>283</v>
      </c>
      <c r="D2990" s="85">
        <v>11258</v>
      </c>
      <c r="E2990" s="85">
        <v>267159</v>
      </c>
      <c r="F2990" s="86">
        <v>25509.4</v>
      </c>
      <c r="G2990" s="87">
        <v>9.5483963000000003</v>
      </c>
    </row>
    <row r="2991" spans="1:7" x14ac:dyDescent="0.25">
      <c r="A2991" s="84" t="s">
        <v>2012</v>
      </c>
      <c r="B2991" s="84" t="s">
        <v>117</v>
      </c>
      <c r="C2991" s="84" t="s">
        <v>283</v>
      </c>
      <c r="D2991" s="85">
        <v>31479</v>
      </c>
      <c r="E2991" s="85">
        <v>637545</v>
      </c>
      <c r="F2991" s="86">
        <v>59339</v>
      </c>
      <c r="G2991" s="87">
        <v>9.3074214000000008</v>
      </c>
    </row>
    <row r="2992" spans="1:7" x14ac:dyDescent="0.25">
      <c r="A2992" s="84" t="s">
        <v>2013</v>
      </c>
      <c r="B2992" s="84" t="s">
        <v>117</v>
      </c>
      <c r="C2992" s="84" t="s">
        <v>283</v>
      </c>
      <c r="D2992" s="85">
        <v>8132</v>
      </c>
      <c r="E2992" s="85">
        <v>118436</v>
      </c>
      <c r="F2992" s="86">
        <v>11675.5</v>
      </c>
      <c r="G2992" s="87">
        <v>9.8580667999999996</v>
      </c>
    </row>
    <row r="2993" spans="1:7" x14ac:dyDescent="0.25">
      <c r="A2993" s="84" t="s">
        <v>393</v>
      </c>
      <c r="B2993" s="84" t="s">
        <v>117</v>
      </c>
      <c r="C2993" s="84" t="s">
        <v>281</v>
      </c>
      <c r="D2993" s="85">
        <v>20912</v>
      </c>
      <c r="E2993" s="85">
        <v>473197</v>
      </c>
      <c r="F2993" s="86">
        <v>34764</v>
      </c>
      <c r="G2993" s="87">
        <v>7.3466231000000004</v>
      </c>
    </row>
    <row r="2994" spans="1:7" x14ac:dyDescent="0.25">
      <c r="A2994" s="84" t="s">
        <v>482</v>
      </c>
      <c r="B2994" s="84" t="s">
        <v>117</v>
      </c>
      <c r="C2994" s="84" t="s">
        <v>281</v>
      </c>
      <c r="D2994" s="85">
        <v>1299</v>
      </c>
      <c r="E2994" s="85">
        <v>17630</v>
      </c>
      <c r="F2994" s="86">
        <v>2414.1</v>
      </c>
      <c r="G2994" s="87">
        <v>13.693137</v>
      </c>
    </row>
    <row r="2995" spans="1:7" x14ac:dyDescent="0.25">
      <c r="A2995" s="84" t="s">
        <v>2835</v>
      </c>
      <c r="B2995" s="84" t="s">
        <v>117</v>
      </c>
      <c r="C2995" s="84" t="s">
        <v>283</v>
      </c>
      <c r="D2995" s="85">
        <v>882</v>
      </c>
      <c r="E2995" s="85">
        <v>7780</v>
      </c>
      <c r="F2995" s="86">
        <v>789</v>
      </c>
      <c r="G2995" s="87">
        <v>10.141387999999999</v>
      </c>
    </row>
    <row r="2996" spans="1:7" x14ac:dyDescent="0.25">
      <c r="A2996" s="84" t="s">
        <v>2836</v>
      </c>
      <c r="B2996" s="84" t="s">
        <v>117</v>
      </c>
      <c r="C2996" s="84" t="s">
        <v>283</v>
      </c>
      <c r="D2996" s="85">
        <v>1221</v>
      </c>
      <c r="E2996" s="85">
        <v>33754</v>
      </c>
      <c r="F2996" s="86">
        <v>2662</v>
      </c>
      <c r="G2996" s="87">
        <v>7.8864726999999997</v>
      </c>
    </row>
    <row r="2997" spans="1:7" x14ac:dyDescent="0.25">
      <c r="A2997" s="84" t="s">
        <v>2837</v>
      </c>
      <c r="B2997" s="84" t="s">
        <v>117</v>
      </c>
      <c r="C2997" s="84" t="s">
        <v>281</v>
      </c>
      <c r="D2997" s="85">
        <v>535</v>
      </c>
      <c r="E2997" s="85">
        <v>30093</v>
      </c>
      <c r="F2997" s="86">
        <v>2442</v>
      </c>
      <c r="G2997" s="87">
        <v>8.1148439999999997</v>
      </c>
    </row>
    <row r="2998" spans="1:7" x14ac:dyDescent="0.25">
      <c r="A2998" s="84" t="s">
        <v>398</v>
      </c>
      <c r="B2998" s="84" t="s">
        <v>117</v>
      </c>
      <c r="C2998" s="84" t="s">
        <v>281</v>
      </c>
      <c r="D2998" s="85">
        <v>12560</v>
      </c>
      <c r="E2998" s="85">
        <v>214579</v>
      </c>
      <c r="F2998" s="86">
        <v>21008.2</v>
      </c>
      <c r="G2998" s="87">
        <v>9.7904268000000005</v>
      </c>
    </row>
    <row r="2999" spans="1:7" x14ac:dyDescent="0.25">
      <c r="A2999" s="84" t="s">
        <v>2014</v>
      </c>
      <c r="B2999" s="84" t="s">
        <v>117</v>
      </c>
      <c r="C2999" s="84" t="s">
        <v>283</v>
      </c>
      <c r="D2999" s="85">
        <v>12826</v>
      </c>
      <c r="E2999" s="85">
        <v>179893</v>
      </c>
      <c r="F2999" s="86">
        <v>17255</v>
      </c>
      <c r="G2999" s="87">
        <v>9.5918129000000008</v>
      </c>
    </row>
    <row r="3000" spans="1:7" x14ac:dyDescent="0.25">
      <c r="A3000" s="84" t="s">
        <v>2015</v>
      </c>
      <c r="B3000" s="84" t="s">
        <v>117</v>
      </c>
      <c r="C3000" s="84" t="s">
        <v>283</v>
      </c>
      <c r="D3000" s="85">
        <v>7231</v>
      </c>
      <c r="E3000" s="85">
        <v>125519</v>
      </c>
      <c r="F3000" s="86">
        <v>11355.6</v>
      </c>
      <c r="G3000" s="87">
        <v>9.0469171999999993</v>
      </c>
    </row>
    <row r="3001" spans="1:7" x14ac:dyDescent="0.25">
      <c r="A3001" s="84" t="s">
        <v>2016</v>
      </c>
      <c r="B3001" s="84" t="s">
        <v>117</v>
      </c>
      <c r="C3001" s="84" t="s">
        <v>283</v>
      </c>
      <c r="D3001" s="85">
        <v>3164</v>
      </c>
      <c r="E3001" s="85">
        <v>95936</v>
      </c>
      <c r="F3001" s="86">
        <v>6628</v>
      </c>
      <c r="G3001" s="87">
        <v>6.9087725000000004</v>
      </c>
    </row>
    <row r="3002" spans="1:7" x14ac:dyDescent="0.25">
      <c r="A3002" s="84" t="s">
        <v>2838</v>
      </c>
      <c r="B3002" s="84" t="s">
        <v>117</v>
      </c>
      <c r="C3002" s="84" t="s">
        <v>283</v>
      </c>
      <c r="D3002" s="85">
        <v>290</v>
      </c>
      <c r="E3002" s="85">
        <v>2091</v>
      </c>
      <c r="F3002" s="86">
        <v>204</v>
      </c>
      <c r="G3002" s="87">
        <v>9.7560976000000004</v>
      </c>
    </row>
    <row r="3003" spans="1:7" x14ac:dyDescent="0.25">
      <c r="A3003" s="84" t="s">
        <v>2017</v>
      </c>
      <c r="B3003" s="84" t="s">
        <v>117</v>
      </c>
      <c r="C3003" s="84" t="s">
        <v>283</v>
      </c>
      <c r="D3003" s="85">
        <v>9910</v>
      </c>
      <c r="E3003" s="85">
        <v>144654</v>
      </c>
      <c r="F3003" s="86">
        <v>13660.8</v>
      </c>
      <c r="G3003" s="87">
        <v>9.4437762000000003</v>
      </c>
    </row>
    <row r="3004" spans="1:7" x14ac:dyDescent="0.25">
      <c r="A3004" s="84" t="s">
        <v>2018</v>
      </c>
      <c r="B3004" s="84" t="s">
        <v>117</v>
      </c>
      <c r="C3004" s="84" t="s">
        <v>283</v>
      </c>
      <c r="D3004" s="85">
        <v>22995</v>
      </c>
      <c r="E3004" s="85">
        <v>385068</v>
      </c>
      <c r="F3004" s="86">
        <v>34778</v>
      </c>
      <c r="G3004" s="87">
        <v>9.0316516</v>
      </c>
    </row>
    <row r="3005" spans="1:7" x14ac:dyDescent="0.25">
      <c r="A3005" s="84" t="s">
        <v>2839</v>
      </c>
      <c r="B3005" s="84" t="s">
        <v>117</v>
      </c>
      <c r="C3005" s="84" t="s">
        <v>283</v>
      </c>
      <c r="D3005" s="85">
        <v>352</v>
      </c>
      <c r="E3005" s="85">
        <v>4162</v>
      </c>
      <c r="F3005" s="86">
        <v>398.2</v>
      </c>
      <c r="G3005" s="87">
        <v>9.5675156000000001</v>
      </c>
    </row>
    <row r="3006" spans="1:7" x14ac:dyDescent="0.25">
      <c r="A3006" s="84" t="s">
        <v>2840</v>
      </c>
      <c r="B3006" s="84" t="s">
        <v>117</v>
      </c>
      <c r="C3006" s="84" t="s">
        <v>283</v>
      </c>
      <c r="D3006" s="85">
        <v>180</v>
      </c>
      <c r="E3006" s="85">
        <v>1783</v>
      </c>
      <c r="F3006" s="86">
        <v>147</v>
      </c>
      <c r="G3006" s="87">
        <v>8.2445316999999996</v>
      </c>
    </row>
    <row r="3007" spans="1:7" x14ac:dyDescent="0.25">
      <c r="A3007" s="84" t="s">
        <v>491</v>
      </c>
      <c r="B3007" s="84" t="s">
        <v>117</v>
      </c>
      <c r="C3007" s="84" t="s">
        <v>281</v>
      </c>
      <c r="D3007" s="85">
        <v>17266</v>
      </c>
      <c r="E3007" s="85">
        <v>576358</v>
      </c>
      <c r="F3007" s="86">
        <v>45679.6</v>
      </c>
      <c r="G3007" s="87">
        <v>7.9255601999999996</v>
      </c>
    </row>
    <row r="3008" spans="1:7" x14ac:dyDescent="0.25">
      <c r="A3008" s="84" t="s">
        <v>1506</v>
      </c>
      <c r="B3008" s="84" t="s">
        <v>117</v>
      </c>
      <c r="C3008" s="84" t="s">
        <v>281</v>
      </c>
      <c r="D3008" s="85">
        <v>393</v>
      </c>
      <c r="E3008" s="85">
        <v>10987</v>
      </c>
      <c r="F3008" s="86">
        <v>814.3</v>
      </c>
      <c r="G3008" s="87">
        <v>7.4114863</v>
      </c>
    </row>
    <row r="3009" spans="1:7" x14ac:dyDescent="0.25">
      <c r="A3009" s="84" t="s">
        <v>404</v>
      </c>
      <c r="B3009" s="84" t="s">
        <v>117</v>
      </c>
      <c r="C3009" s="84" t="s">
        <v>174</v>
      </c>
      <c r="D3009" s="85">
        <v>1756</v>
      </c>
      <c r="E3009" s="85">
        <v>302515</v>
      </c>
      <c r="F3009" s="86">
        <v>17235</v>
      </c>
      <c r="G3009" s="87">
        <v>5.6972382000000001</v>
      </c>
    </row>
    <row r="3010" spans="1:7" x14ac:dyDescent="0.25">
      <c r="A3010" s="84" t="s">
        <v>2841</v>
      </c>
      <c r="B3010" s="84" t="s">
        <v>117</v>
      </c>
      <c r="C3010" s="84" t="s">
        <v>283</v>
      </c>
      <c r="D3010" s="85">
        <v>2525</v>
      </c>
      <c r="E3010" s="85">
        <v>96001</v>
      </c>
      <c r="F3010" s="86">
        <v>7062</v>
      </c>
      <c r="G3010" s="87">
        <v>7.3561734000000003</v>
      </c>
    </row>
    <row r="3011" spans="1:7" x14ac:dyDescent="0.25">
      <c r="A3011" s="84" t="s">
        <v>457</v>
      </c>
      <c r="B3011" s="84" t="s">
        <v>117</v>
      </c>
      <c r="C3011" s="84" t="s">
        <v>278</v>
      </c>
      <c r="D3011" s="85">
        <v>935926</v>
      </c>
      <c r="E3011" s="85">
        <v>24490305</v>
      </c>
      <c r="F3011" s="86">
        <v>1985150.9</v>
      </c>
      <c r="G3011" s="87">
        <v>8.1058643000000004</v>
      </c>
    </row>
    <row r="3012" spans="1:7" x14ac:dyDescent="0.25">
      <c r="A3012" s="84" t="s">
        <v>2842</v>
      </c>
      <c r="B3012" s="84" t="s">
        <v>117</v>
      </c>
      <c r="C3012" s="84" t="s">
        <v>283</v>
      </c>
      <c r="D3012" s="85">
        <v>1542</v>
      </c>
      <c r="E3012" s="85">
        <v>17277</v>
      </c>
      <c r="F3012" s="86">
        <v>1786</v>
      </c>
      <c r="G3012" s="87">
        <v>10.337443</v>
      </c>
    </row>
    <row r="3013" spans="1:7" x14ac:dyDescent="0.25">
      <c r="A3013" s="84" t="s">
        <v>2019</v>
      </c>
      <c r="B3013" s="84" t="s">
        <v>117</v>
      </c>
      <c r="C3013" s="84" t="s">
        <v>283</v>
      </c>
      <c r="D3013" s="85">
        <v>6488</v>
      </c>
      <c r="E3013" s="85">
        <v>114293</v>
      </c>
      <c r="F3013" s="86">
        <v>11955</v>
      </c>
      <c r="G3013" s="87">
        <v>10.459958</v>
      </c>
    </row>
    <row r="3014" spans="1:7" x14ac:dyDescent="0.25">
      <c r="A3014" s="84" t="s">
        <v>2843</v>
      </c>
      <c r="B3014" s="84" t="s">
        <v>117</v>
      </c>
      <c r="C3014" s="84" t="s">
        <v>283</v>
      </c>
      <c r="D3014" s="85">
        <v>4080</v>
      </c>
      <c r="E3014" s="85">
        <v>66296</v>
      </c>
      <c r="F3014" s="86">
        <v>7106.7</v>
      </c>
      <c r="G3014" s="87">
        <v>10.719651000000001</v>
      </c>
    </row>
    <row r="3015" spans="1:7" x14ac:dyDescent="0.25">
      <c r="A3015" s="84" t="s">
        <v>2020</v>
      </c>
      <c r="B3015" s="84" t="s">
        <v>117</v>
      </c>
      <c r="C3015" s="84" t="s">
        <v>283</v>
      </c>
      <c r="D3015" s="85">
        <v>37291</v>
      </c>
      <c r="E3015" s="85">
        <v>765747</v>
      </c>
      <c r="F3015" s="86">
        <v>68142</v>
      </c>
      <c r="G3015" s="87">
        <v>8.8987616000000003</v>
      </c>
    </row>
    <row r="3016" spans="1:7" x14ac:dyDescent="0.25">
      <c r="A3016" s="84" t="s">
        <v>2378</v>
      </c>
      <c r="B3016" s="84" t="s">
        <v>117</v>
      </c>
      <c r="C3016" s="84" t="s">
        <v>281</v>
      </c>
      <c r="D3016" s="85">
        <v>712</v>
      </c>
      <c r="E3016" s="85">
        <v>31063</v>
      </c>
      <c r="F3016" s="86">
        <v>1933</v>
      </c>
      <c r="G3016" s="87">
        <v>6.2228374999999998</v>
      </c>
    </row>
    <row r="3017" spans="1:7" x14ac:dyDescent="0.25">
      <c r="A3017" s="84" t="s">
        <v>2844</v>
      </c>
      <c r="B3017" s="84" t="s">
        <v>117</v>
      </c>
      <c r="C3017" s="84" t="s">
        <v>283</v>
      </c>
      <c r="D3017" s="85">
        <v>2666</v>
      </c>
      <c r="E3017" s="85">
        <v>37765</v>
      </c>
      <c r="F3017" s="86">
        <v>4059</v>
      </c>
      <c r="G3017" s="87">
        <v>10.748047</v>
      </c>
    </row>
    <row r="3018" spans="1:7" x14ac:dyDescent="0.25">
      <c r="A3018" s="84" t="s">
        <v>408</v>
      </c>
      <c r="B3018" s="84" t="s">
        <v>117</v>
      </c>
      <c r="C3018" s="84" t="s">
        <v>392</v>
      </c>
      <c r="D3018" s="85">
        <v>4</v>
      </c>
      <c r="E3018" s="85">
        <v>2415</v>
      </c>
      <c r="F3018" s="86">
        <v>153</v>
      </c>
      <c r="G3018" s="87">
        <v>6.3354036999999996</v>
      </c>
    </row>
    <row r="3019" spans="1:7" x14ac:dyDescent="0.25">
      <c r="A3019" s="84" t="s">
        <v>2021</v>
      </c>
      <c r="B3019" s="84" t="s">
        <v>117</v>
      </c>
      <c r="C3019" s="84" t="s">
        <v>283</v>
      </c>
      <c r="D3019" s="85">
        <v>12978</v>
      </c>
      <c r="E3019" s="85">
        <v>252326</v>
      </c>
      <c r="F3019" s="86">
        <v>23253</v>
      </c>
      <c r="G3019" s="87">
        <v>9.2154594000000003</v>
      </c>
    </row>
    <row r="3020" spans="1:7" x14ac:dyDescent="0.25">
      <c r="A3020" s="84" t="s">
        <v>2845</v>
      </c>
      <c r="B3020" s="84" t="s">
        <v>117</v>
      </c>
      <c r="C3020" s="84" t="s">
        <v>283</v>
      </c>
      <c r="D3020" s="85">
        <v>680</v>
      </c>
      <c r="E3020" s="85">
        <v>4290</v>
      </c>
      <c r="F3020" s="86">
        <v>362.6</v>
      </c>
      <c r="G3020" s="87">
        <v>8.4522145000000002</v>
      </c>
    </row>
    <row r="3021" spans="1:7" x14ac:dyDescent="0.25">
      <c r="A3021" s="84" t="s">
        <v>2022</v>
      </c>
      <c r="B3021" s="84" t="s">
        <v>117</v>
      </c>
      <c r="C3021" s="84" t="s">
        <v>385</v>
      </c>
      <c r="D3021" s="85">
        <v>3896</v>
      </c>
      <c r="E3021" s="85">
        <v>58946</v>
      </c>
      <c r="F3021" s="86">
        <v>6385.3</v>
      </c>
      <c r="G3021" s="87">
        <v>10.832457</v>
      </c>
    </row>
    <row r="3022" spans="1:7" x14ac:dyDescent="0.25">
      <c r="A3022" s="84" t="s">
        <v>2846</v>
      </c>
      <c r="B3022" s="84" t="s">
        <v>117</v>
      </c>
      <c r="C3022" s="84" t="s">
        <v>283</v>
      </c>
      <c r="D3022" s="85">
        <v>236</v>
      </c>
      <c r="E3022" s="85">
        <v>1920</v>
      </c>
      <c r="F3022" s="86">
        <v>210</v>
      </c>
      <c r="G3022" s="87">
        <v>10.9375</v>
      </c>
    </row>
    <row r="3023" spans="1:7" x14ac:dyDescent="0.25">
      <c r="A3023" s="84" t="s">
        <v>2847</v>
      </c>
      <c r="B3023" s="84" t="s">
        <v>117</v>
      </c>
      <c r="C3023" s="84" t="s">
        <v>283</v>
      </c>
      <c r="D3023" s="85">
        <v>278</v>
      </c>
      <c r="E3023" s="85">
        <v>3110</v>
      </c>
      <c r="F3023" s="86">
        <v>217.2</v>
      </c>
      <c r="G3023" s="87">
        <v>6.9839228000000002</v>
      </c>
    </row>
    <row r="3024" spans="1:7" x14ac:dyDescent="0.25">
      <c r="A3024" s="84" t="s">
        <v>2848</v>
      </c>
      <c r="B3024" s="84" t="s">
        <v>117</v>
      </c>
      <c r="C3024" s="84" t="s">
        <v>283</v>
      </c>
      <c r="D3024" s="85">
        <v>278</v>
      </c>
      <c r="E3024" s="85">
        <v>1970</v>
      </c>
      <c r="F3024" s="86">
        <v>227</v>
      </c>
      <c r="G3024" s="87">
        <v>11.522843</v>
      </c>
    </row>
    <row r="3025" spans="1:7" x14ac:dyDescent="0.25">
      <c r="A3025" s="84" t="s">
        <v>421</v>
      </c>
      <c r="B3025" s="84" t="s">
        <v>117</v>
      </c>
      <c r="C3025" s="84" t="s">
        <v>392</v>
      </c>
      <c r="D3025" s="85">
        <v>819</v>
      </c>
      <c r="E3025" s="85">
        <v>6527</v>
      </c>
      <c r="F3025" s="86">
        <v>714.1</v>
      </c>
      <c r="G3025" s="87">
        <v>10.940708000000001</v>
      </c>
    </row>
    <row r="3026" spans="1:7" x14ac:dyDescent="0.25">
      <c r="A3026" s="84" t="s">
        <v>422</v>
      </c>
      <c r="B3026" s="84" t="s">
        <v>117</v>
      </c>
      <c r="C3026" s="84" t="s">
        <v>351</v>
      </c>
      <c r="D3026" s="85">
        <v>6</v>
      </c>
      <c r="E3026" s="85">
        <v>50181</v>
      </c>
      <c r="F3026" s="86">
        <v>1405.4</v>
      </c>
      <c r="G3026" s="87">
        <v>2.8006616000000002</v>
      </c>
    </row>
    <row r="3027" spans="1:7" x14ac:dyDescent="0.25">
      <c r="A3027" s="84" t="s">
        <v>1510</v>
      </c>
      <c r="B3027" s="84" t="s">
        <v>117</v>
      </c>
      <c r="C3027" s="84" t="s">
        <v>281</v>
      </c>
      <c r="D3027" s="85">
        <v>734</v>
      </c>
      <c r="E3027" s="85">
        <v>30786</v>
      </c>
      <c r="F3027" s="86">
        <v>2585</v>
      </c>
      <c r="G3027" s="87">
        <v>8.3966738000000003</v>
      </c>
    </row>
    <row r="3028" spans="1:7" x14ac:dyDescent="0.25">
      <c r="A3028" s="84" t="s">
        <v>1020</v>
      </c>
      <c r="B3028" s="84" t="s">
        <v>123</v>
      </c>
      <c r="C3028" s="84" t="s">
        <v>281</v>
      </c>
      <c r="D3028" s="85">
        <v>35618</v>
      </c>
      <c r="E3028" s="85">
        <v>701387</v>
      </c>
      <c r="F3028" s="86">
        <v>78164</v>
      </c>
      <c r="G3028" s="87">
        <v>11.144204</v>
      </c>
    </row>
    <row r="3029" spans="1:7" x14ac:dyDescent="0.25">
      <c r="A3029" s="84" t="s">
        <v>2023</v>
      </c>
      <c r="B3029" s="84" t="s">
        <v>123</v>
      </c>
      <c r="C3029" s="84" t="s">
        <v>278</v>
      </c>
      <c r="D3029" s="85">
        <v>533034</v>
      </c>
      <c r="E3029" s="85">
        <v>14794030</v>
      </c>
      <c r="F3029" s="86">
        <v>1324809</v>
      </c>
      <c r="G3029" s="87">
        <v>8.9550243999999992</v>
      </c>
    </row>
    <row r="3030" spans="1:7" x14ac:dyDescent="0.25">
      <c r="A3030" s="84" t="s">
        <v>2024</v>
      </c>
      <c r="B3030" s="84" t="s">
        <v>123</v>
      </c>
      <c r="C3030" s="84" t="s">
        <v>281</v>
      </c>
      <c r="D3030" s="85">
        <v>12800</v>
      </c>
      <c r="E3030" s="85">
        <v>179686</v>
      </c>
      <c r="F3030" s="86">
        <v>24778</v>
      </c>
      <c r="G3030" s="87">
        <v>13.789611000000001</v>
      </c>
    </row>
    <row r="3031" spans="1:7" x14ac:dyDescent="0.25">
      <c r="A3031" s="84" t="s">
        <v>2025</v>
      </c>
      <c r="B3031" s="84" t="s">
        <v>123</v>
      </c>
      <c r="C3031" s="84" t="s">
        <v>283</v>
      </c>
      <c r="D3031" s="85">
        <v>16345</v>
      </c>
      <c r="E3031" s="85">
        <v>455125</v>
      </c>
      <c r="F3031" s="86">
        <v>45226</v>
      </c>
      <c r="G3031" s="87">
        <v>9.9370502999999992</v>
      </c>
    </row>
    <row r="3032" spans="1:7" x14ac:dyDescent="0.25">
      <c r="A3032" s="84" t="s">
        <v>2026</v>
      </c>
      <c r="B3032" s="84" t="s">
        <v>123</v>
      </c>
      <c r="C3032" s="84" t="s">
        <v>281</v>
      </c>
      <c r="D3032" s="85">
        <v>37484</v>
      </c>
      <c r="E3032" s="85">
        <v>748861</v>
      </c>
      <c r="F3032" s="86">
        <v>95856</v>
      </c>
      <c r="G3032" s="87">
        <v>12.800238999999999</v>
      </c>
    </row>
    <row r="3033" spans="1:7" x14ac:dyDescent="0.25">
      <c r="A3033" s="84" t="s">
        <v>2027</v>
      </c>
      <c r="B3033" s="84" t="s">
        <v>123</v>
      </c>
      <c r="C3033" s="84" t="s">
        <v>283</v>
      </c>
      <c r="D3033" s="85">
        <v>47822</v>
      </c>
      <c r="E3033" s="85">
        <v>940834</v>
      </c>
      <c r="F3033" s="86">
        <v>105840</v>
      </c>
      <c r="G3033" s="87">
        <v>11.249593000000001</v>
      </c>
    </row>
    <row r="3034" spans="1:7" x14ac:dyDescent="0.25">
      <c r="A3034" s="84" t="s">
        <v>2028</v>
      </c>
      <c r="B3034" s="84" t="s">
        <v>123</v>
      </c>
      <c r="C3034" s="84" t="s">
        <v>283</v>
      </c>
      <c r="D3034" s="85">
        <v>5468</v>
      </c>
      <c r="E3034" s="85">
        <v>133581</v>
      </c>
      <c r="F3034" s="86">
        <v>15156</v>
      </c>
      <c r="G3034" s="87">
        <v>11.345924999999999</v>
      </c>
    </row>
    <row r="3035" spans="1:7" x14ac:dyDescent="0.25">
      <c r="A3035" s="84" t="s">
        <v>2029</v>
      </c>
      <c r="B3035" s="84" t="s">
        <v>123</v>
      </c>
      <c r="C3035" s="84" t="s">
        <v>283</v>
      </c>
      <c r="D3035" s="85">
        <v>21353</v>
      </c>
      <c r="E3035" s="85">
        <v>728963</v>
      </c>
      <c r="F3035" s="86">
        <v>65491</v>
      </c>
      <c r="G3035" s="87">
        <v>8.9841323000000006</v>
      </c>
    </row>
    <row r="3036" spans="1:7" x14ac:dyDescent="0.25">
      <c r="A3036" s="84" t="s">
        <v>2030</v>
      </c>
      <c r="B3036" s="84" t="s">
        <v>123</v>
      </c>
      <c r="C3036" s="84" t="s">
        <v>283</v>
      </c>
      <c r="D3036" s="85">
        <v>16493</v>
      </c>
      <c r="E3036" s="85">
        <v>410525</v>
      </c>
      <c r="F3036" s="86">
        <v>38820</v>
      </c>
      <c r="G3036" s="87">
        <v>9.4561841999999992</v>
      </c>
    </row>
    <row r="3037" spans="1:7" x14ac:dyDescent="0.25">
      <c r="A3037" s="84" t="s">
        <v>2031</v>
      </c>
      <c r="B3037" s="84" t="s">
        <v>123</v>
      </c>
      <c r="C3037" s="84" t="s">
        <v>283</v>
      </c>
      <c r="D3037" s="85">
        <v>7665</v>
      </c>
      <c r="E3037" s="85">
        <v>164728</v>
      </c>
      <c r="F3037" s="86">
        <v>19212</v>
      </c>
      <c r="G3037" s="87">
        <v>11.662862000000001</v>
      </c>
    </row>
    <row r="3038" spans="1:7" x14ac:dyDescent="0.25">
      <c r="A3038" s="84" t="s">
        <v>2032</v>
      </c>
      <c r="B3038" s="84" t="s">
        <v>123</v>
      </c>
      <c r="C3038" s="84" t="s">
        <v>283</v>
      </c>
      <c r="D3038" s="85">
        <v>7472</v>
      </c>
      <c r="E3038" s="85">
        <v>175204</v>
      </c>
      <c r="F3038" s="86">
        <v>19973</v>
      </c>
      <c r="G3038" s="87">
        <v>11.399853999999999</v>
      </c>
    </row>
    <row r="3039" spans="1:7" x14ac:dyDescent="0.25">
      <c r="A3039" s="84" t="s">
        <v>2033</v>
      </c>
      <c r="B3039" s="84" t="s">
        <v>123</v>
      </c>
      <c r="C3039" s="84" t="s">
        <v>283</v>
      </c>
      <c r="D3039" s="85">
        <v>13532</v>
      </c>
      <c r="E3039" s="85">
        <v>359020</v>
      </c>
      <c r="F3039" s="86">
        <v>38987.699999999997</v>
      </c>
      <c r="G3039" s="87">
        <v>10.859479</v>
      </c>
    </row>
    <row r="3040" spans="1:7" x14ac:dyDescent="0.25">
      <c r="A3040" s="84" t="s">
        <v>2034</v>
      </c>
      <c r="B3040" s="84" t="s">
        <v>123</v>
      </c>
      <c r="C3040" s="84" t="s">
        <v>281</v>
      </c>
      <c r="D3040" s="85">
        <v>11204</v>
      </c>
      <c r="E3040" s="85">
        <v>194922</v>
      </c>
      <c r="F3040" s="86">
        <v>23801</v>
      </c>
      <c r="G3040" s="87">
        <v>12.210525000000001</v>
      </c>
    </row>
    <row r="3041" spans="1:7" x14ac:dyDescent="0.25">
      <c r="A3041" s="84" t="s">
        <v>2035</v>
      </c>
      <c r="B3041" s="84" t="s">
        <v>123</v>
      </c>
      <c r="C3041" s="84" t="s">
        <v>281</v>
      </c>
      <c r="D3041" s="85">
        <v>6746</v>
      </c>
      <c r="E3041" s="85">
        <v>82760</v>
      </c>
      <c r="F3041" s="86">
        <v>12428.4</v>
      </c>
      <c r="G3041" s="87">
        <v>15.0174</v>
      </c>
    </row>
    <row r="3042" spans="1:7" x14ac:dyDescent="0.25">
      <c r="A3042" s="84" t="s">
        <v>953</v>
      </c>
      <c r="B3042" s="84" t="s">
        <v>123</v>
      </c>
      <c r="C3042" s="84" t="s">
        <v>278</v>
      </c>
      <c r="D3042" s="85">
        <v>27790</v>
      </c>
      <c r="E3042" s="85">
        <v>703005</v>
      </c>
      <c r="F3042" s="86">
        <v>70972.5</v>
      </c>
      <c r="G3042" s="87">
        <v>10.09559</v>
      </c>
    </row>
    <row r="3043" spans="1:7" x14ac:dyDescent="0.25">
      <c r="A3043" s="84" t="s">
        <v>1349</v>
      </c>
      <c r="B3043" s="84" t="s">
        <v>123</v>
      </c>
      <c r="C3043" s="84" t="s">
        <v>281</v>
      </c>
      <c r="D3043" s="85">
        <v>31227</v>
      </c>
      <c r="E3043" s="85">
        <v>597619</v>
      </c>
      <c r="F3043" s="86">
        <v>71013.5</v>
      </c>
      <c r="G3043" s="87">
        <v>11.882738</v>
      </c>
    </row>
    <row r="3044" spans="1:7" x14ac:dyDescent="0.25">
      <c r="A3044" s="84" t="s">
        <v>2036</v>
      </c>
      <c r="B3044" s="84" t="s">
        <v>123</v>
      </c>
      <c r="C3044" s="84" t="s">
        <v>281</v>
      </c>
      <c r="D3044" s="85">
        <v>19211</v>
      </c>
      <c r="E3044" s="85">
        <v>273004</v>
      </c>
      <c r="F3044" s="86">
        <v>38935.599999999999</v>
      </c>
      <c r="G3044" s="87">
        <v>14.261915999999999</v>
      </c>
    </row>
    <row r="3045" spans="1:7" x14ac:dyDescent="0.25">
      <c r="A3045" s="84" t="s">
        <v>2037</v>
      </c>
      <c r="B3045" s="84" t="s">
        <v>123</v>
      </c>
      <c r="C3045" s="84" t="s">
        <v>281</v>
      </c>
      <c r="D3045" s="85">
        <v>173448</v>
      </c>
      <c r="E3045" s="85">
        <v>5853943</v>
      </c>
      <c r="F3045" s="86">
        <v>559377</v>
      </c>
      <c r="G3045" s="87">
        <v>9.5555593999999999</v>
      </c>
    </row>
    <row r="3046" spans="1:7" x14ac:dyDescent="0.25">
      <c r="A3046" s="84" t="s">
        <v>1826</v>
      </c>
      <c r="B3046" s="84" t="s">
        <v>123</v>
      </c>
      <c r="C3046" s="84" t="s">
        <v>281</v>
      </c>
      <c r="D3046" s="85">
        <v>8207</v>
      </c>
      <c r="E3046" s="85">
        <v>133236</v>
      </c>
      <c r="F3046" s="86">
        <v>13954</v>
      </c>
      <c r="G3046" s="87">
        <v>10.473145000000001</v>
      </c>
    </row>
    <row r="3047" spans="1:7" x14ac:dyDescent="0.25">
      <c r="A3047" s="84" t="s">
        <v>2038</v>
      </c>
      <c r="B3047" s="84" t="s">
        <v>123</v>
      </c>
      <c r="C3047" s="84" t="s">
        <v>281</v>
      </c>
      <c r="D3047" s="85">
        <v>11898</v>
      </c>
      <c r="E3047" s="85">
        <v>344906</v>
      </c>
      <c r="F3047" s="86">
        <v>38835</v>
      </c>
      <c r="G3047" s="87">
        <v>11.259589999999999</v>
      </c>
    </row>
    <row r="3048" spans="1:7" x14ac:dyDescent="0.25">
      <c r="A3048" s="84" t="s">
        <v>2039</v>
      </c>
      <c r="B3048" s="84" t="s">
        <v>123</v>
      </c>
      <c r="C3048" s="84" t="s">
        <v>281</v>
      </c>
      <c r="D3048" s="85">
        <v>166571</v>
      </c>
      <c r="E3048" s="85">
        <v>3859370</v>
      </c>
      <c r="F3048" s="86">
        <v>456274</v>
      </c>
      <c r="G3048" s="87">
        <v>11.8225</v>
      </c>
    </row>
    <row r="3049" spans="1:7" x14ac:dyDescent="0.25">
      <c r="A3049" s="84" t="s">
        <v>2040</v>
      </c>
      <c r="B3049" s="84" t="s">
        <v>123</v>
      </c>
      <c r="C3049" s="84" t="s">
        <v>281</v>
      </c>
      <c r="D3049" s="85">
        <v>95555</v>
      </c>
      <c r="E3049" s="85">
        <v>2429562</v>
      </c>
      <c r="F3049" s="86">
        <v>254073.5</v>
      </c>
      <c r="G3049" s="87">
        <v>10.457585</v>
      </c>
    </row>
    <row r="3050" spans="1:7" x14ac:dyDescent="0.25">
      <c r="A3050" s="84" t="s">
        <v>408</v>
      </c>
      <c r="B3050" s="84" t="s">
        <v>123</v>
      </c>
      <c r="C3050" s="84" t="s">
        <v>392</v>
      </c>
      <c r="D3050" s="85">
        <v>68</v>
      </c>
      <c r="E3050" s="85">
        <v>531</v>
      </c>
      <c r="F3050" s="86">
        <v>47</v>
      </c>
      <c r="G3050" s="87">
        <v>8.8512240999999996</v>
      </c>
    </row>
    <row r="3051" spans="1:7" x14ac:dyDescent="0.25">
      <c r="A3051" s="84" t="s">
        <v>2041</v>
      </c>
      <c r="B3051" s="84" t="s">
        <v>123</v>
      </c>
      <c r="C3051" s="84" t="s">
        <v>281</v>
      </c>
      <c r="D3051" s="85">
        <v>56820</v>
      </c>
      <c r="E3051" s="85">
        <v>952703</v>
      </c>
      <c r="F3051" s="86">
        <v>124669.6</v>
      </c>
      <c r="G3051" s="87">
        <v>13.085883000000001</v>
      </c>
    </row>
    <row r="3052" spans="1:7" x14ac:dyDescent="0.25">
      <c r="A3052" s="84" t="s">
        <v>2042</v>
      </c>
      <c r="B3052" s="84" t="s">
        <v>123</v>
      </c>
      <c r="C3052" s="84" t="s">
        <v>283</v>
      </c>
      <c r="D3052" s="85">
        <v>6694</v>
      </c>
      <c r="E3052" s="85">
        <v>205962</v>
      </c>
      <c r="F3052" s="86">
        <v>20602.900000000001</v>
      </c>
      <c r="G3052" s="87">
        <v>10.003253000000001</v>
      </c>
    </row>
    <row r="3053" spans="1:7" x14ac:dyDescent="0.25">
      <c r="A3053" s="84" t="s">
        <v>2849</v>
      </c>
      <c r="B3053" s="84" t="s">
        <v>123</v>
      </c>
      <c r="C3053" s="84" t="s">
        <v>283</v>
      </c>
      <c r="D3053" s="85">
        <v>2035</v>
      </c>
      <c r="E3053" s="85">
        <v>37994</v>
      </c>
      <c r="F3053" s="86">
        <v>4077</v>
      </c>
      <c r="G3053" s="87">
        <v>10.730642</v>
      </c>
    </row>
    <row r="3054" spans="1:7" x14ac:dyDescent="0.25">
      <c r="A3054" s="84" t="s">
        <v>2043</v>
      </c>
      <c r="B3054" s="84" t="s">
        <v>123</v>
      </c>
      <c r="C3054" s="84" t="s">
        <v>283</v>
      </c>
      <c r="D3054" s="85">
        <v>5581</v>
      </c>
      <c r="E3054" s="85">
        <v>103167</v>
      </c>
      <c r="F3054" s="86">
        <v>12600</v>
      </c>
      <c r="G3054" s="87">
        <v>12.213208</v>
      </c>
    </row>
    <row r="3055" spans="1:7" x14ac:dyDescent="0.25">
      <c r="A3055" s="84" t="s">
        <v>2850</v>
      </c>
      <c r="B3055" s="84" t="s">
        <v>123</v>
      </c>
      <c r="C3055" s="84" t="s">
        <v>283</v>
      </c>
      <c r="D3055" s="85">
        <v>1091</v>
      </c>
      <c r="E3055" s="85">
        <v>18883</v>
      </c>
      <c r="F3055" s="86">
        <v>1860</v>
      </c>
      <c r="G3055" s="87">
        <v>9.8501297000000001</v>
      </c>
    </row>
    <row r="3056" spans="1:7" x14ac:dyDescent="0.25">
      <c r="A3056" s="84" t="s">
        <v>2044</v>
      </c>
      <c r="B3056" s="84" t="s">
        <v>123</v>
      </c>
      <c r="C3056" s="84" t="s">
        <v>283</v>
      </c>
      <c r="D3056" s="85">
        <v>7655</v>
      </c>
      <c r="E3056" s="85">
        <v>159783</v>
      </c>
      <c r="F3056" s="86">
        <v>17890</v>
      </c>
      <c r="G3056" s="87">
        <v>11.196434999999999</v>
      </c>
    </row>
    <row r="3057" spans="1:7" x14ac:dyDescent="0.25">
      <c r="A3057" s="84" t="s">
        <v>2851</v>
      </c>
      <c r="B3057" s="84" t="s">
        <v>123</v>
      </c>
      <c r="C3057" s="84" t="s">
        <v>283</v>
      </c>
      <c r="D3057" s="85">
        <v>2518</v>
      </c>
      <c r="E3057" s="85">
        <v>57386</v>
      </c>
      <c r="F3057" s="86">
        <v>5775.3</v>
      </c>
      <c r="G3057" s="87">
        <v>10.063953</v>
      </c>
    </row>
    <row r="3058" spans="1:7" x14ac:dyDescent="0.25">
      <c r="A3058" s="84" t="s">
        <v>2852</v>
      </c>
      <c r="B3058" s="84" t="s">
        <v>123</v>
      </c>
      <c r="C3058" s="84" t="s">
        <v>283</v>
      </c>
      <c r="D3058" s="85">
        <v>530</v>
      </c>
      <c r="E3058" s="85">
        <v>12584</v>
      </c>
      <c r="F3058" s="86">
        <v>1136</v>
      </c>
      <c r="G3058" s="87">
        <v>9.0273363</v>
      </c>
    </row>
    <row r="3059" spans="1:7" x14ac:dyDescent="0.25">
      <c r="A3059" s="84" t="s">
        <v>1373</v>
      </c>
      <c r="B3059" s="84" t="s">
        <v>123</v>
      </c>
      <c r="C3059" s="84" t="s">
        <v>278</v>
      </c>
      <c r="D3059" s="85">
        <v>2505988</v>
      </c>
      <c r="E3059" s="85">
        <v>80663402</v>
      </c>
      <c r="F3059" s="86">
        <v>7544890.2999999998</v>
      </c>
      <c r="G3059" s="87">
        <v>9.3535482999999999</v>
      </c>
    </row>
    <row r="3060" spans="1:7" x14ac:dyDescent="0.25">
      <c r="A3060" s="84" t="s">
        <v>2045</v>
      </c>
      <c r="B3060" s="84" t="s">
        <v>123</v>
      </c>
      <c r="C3060" s="84" t="s">
        <v>174</v>
      </c>
      <c r="D3060" s="85">
        <v>6624</v>
      </c>
      <c r="E3060" s="85">
        <v>340081</v>
      </c>
      <c r="F3060" s="86">
        <v>33073.5</v>
      </c>
      <c r="G3060" s="87">
        <v>9.7251831000000006</v>
      </c>
    </row>
    <row r="3061" spans="1:7" x14ac:dyDescent="0.25">
      <c r="A3061" s="84" t="s">
        <v>2853</v>
      </c>
      <c r="B3061" s="84" t="s">
        <v>120</v>
      </c>
      <c r="C3061" s="84" t="s">
        <v>283</v>
      </c>
      <c r="D3061" s="85">
        <v>2158</v>
      </c>
      <c r="E3061" s="85">
        <v>13565</v>
      </c>
      <c r="F3061" s="86">
        <v>2713.6</v>
      </c>
      <c r="G3061" s="87">
        <v>20.004422999999999</v>
      </c>
    </row>
    <row r="3062" spans="1:7" x14ac:dyDescent="0.25">
      <c r="A3062" s="84" t="s">
        <v>2046</v>
      </c>
      <c r="B3062" s="84" t="s">
        <v>120</v>
      </c>
      <c r="C3062" s="84" t="s">
        <v>283</v>
      </c>
      <c r="D3062" s="85">
        <v>21187</v>
      </c>
      <c r="E3062" s="85">
        <v>322601</v>
      </c>
      <c r="F3062" s="86">
        <v>45707.3</v>
      </c>
      <c r="G3062" s="87">
        <v>14.168369</v>
      </c>
    </row>
    <row r="3063" spans="1:7" x14ac:dyDescent="0.25">
      <c r="A3063" s="84" t="s">
        <v>2047</v>
      </c>
      <c r="B3063" s="84" t="s">
        <v>120</v>
      </c>
      <c r="C3063" s="84" t="s">
        <v>278</v>
      </c>
      <c r="D3063" s="85">
        <v>266731</v>
      </c>
      <c r="E3063" s="85">
        <v>4128426</v>
      </c>
      <c r="F3063" s="86">
        <v>628862</v>
      </c>
      <c r="G3063" s="87">
        <v>15.232488</v>
      </c>
    </row>
    <row r="3064" spans="1:7" x14ac:dyDescent="0.25">
      <c r="A3064" s="84" t="s">
        <v>400</v>
      </c>
      <c r="B3064" s="84" t="s">
        <v>120</v>
      </c>
      <c r="C3064" s="84" t="s">
        <v>392</v>
      </c>
      <c r="D3064" s="85">
        <v>6</v>
      </c>
      <c r="E3064" s="85">
        <v>4686</v>
      </c>
      <c r="F3064" s="86">
        <v>824</v>
      </c>
      <c r="G3064" s="87">
        <v>17.584294</v>
      </c>
    </row>
    <row r="3065" spans="1:7" x14ac:dyDescent="0.25">
      <c r="A3065" s="84" t="s">
        <v>408</v>
      </c>
      <c r="B3065" s="84" t="s">
        <v>120</v>
      </c>
      <c r="C3065" s="84" t="s">
        <v>392</v>
      </c>
      <c r="D3065" s="85">
        <v>1588</v>
      </c>
      <c r="E3065" s="85">
        <v>9129</v>
      </c>
      <c r="F3065" s="86">
        <v>1661</v>
      </c>
      <c r="G3065" s="87">
        <v>18.194763999999999</v>
      </c>
    </row>
    <row r="3066" spans="1:7" x14ac:dyDescent="0.25">
      <c r="A3066" s="84" t="s">
        <v>412</v>
      </c>
      <c r="B3066" s="84" t="s">
        <v>120</v>
      </c>
      <c r="C3066" s="84" t="s">
        <v>392</v>
      </c>
      <c r="D3066" s="85">
        <v>78</v>
      </c>
      <c r="E3066" s="85">
        <v>198</v>
      </c>
      <c r="F3066" s="86">
        <v>41.5</v>
      </c>
      <c r="G3066" s="87">
        <v>20.959596000000001</v>
      </c>
    </row>
    <row r="3067" spans="1:7" x14ac:dyDescent="0.25">
      <c r="A3067" s="84" t="s">
        <v>413</v>
      </c>
      <c r="B3067" s="84" t="s">
        <v>120</v>
      </c>
      <c r="C3067" s="84" t="s">
        <v>392</v>
      </c>
      <c r="D3067" s="85">
        <v>350</v>
      </c>
      <c r="E3067" s="85">
        <v>2255</v>
      </c>
      <c r="F3067" s="86">
        <v>359.4</v>
      </c>
      <c r="G3067" s="87">
        <v>15.937916</v>
      </c>
    </row>
    <row r="3068" spans="1:7" x14ac:dyDescent="0.25">
      <c r="A3068" s="84" t="s">
        <v>415</v>
      </c>
      <c r="B3068" s="84" t="s">
        <v>120</v>
      </c>
      <c r="C3068" s="84" t="s">
        <v>392</v>
      </c>
      <c r="D3068" s="85">
        <v>599</v>
      </c>
      <c r="E3068" s="85">
        <v>2971</v>
      </c>
      <c r="F3068" s="86">
        <v>623</v>
      </c>
      <c r="G3068" s="87">
        <v>20.969370999999999</v>
      </c>
    </row>
    <row r="3069" spans="1:7" x14ac:dyDescent="0.25">
      <c r="A3069" s="84" t="s">
        <v>416</v>
      </c>
      <c r="B3069" s="84" t="s">
        <v>120</v>
      </c>
      <c r="C3069" s="84" t="s">
        <v>392</v>
      </c>
      <c r="D3069" s="85">
        <v>2</v>
      </c>
      <c r="E3069" s="85">
        <v>335</v>
      </c>
      <c r="F3069" s="86">
        <v>88.8</v>
      </c>
      <c r="G3069" s="87">
        <v>26.507463000000001</v>
      </c>
    </row>
    <row r="3070" spans="1:7" x14ac:dyDescent="0.25">
      <c r="A3070" s="84" t="s">
        <v>2854</v>
      </c>
      <c r="B3070" s="84" t="s">
        <v>120</v>
      </c>
      <c r="C3070" s="84" t="s">
        <v>283</v>
      </c>
      <c r="D3070" s="85">
        <v>4433</v>
      </c>
      <c r="E3070" s="85">
        <v>33808</v>
      </c>
      <c r="F3070" s="86">
        <v>6064</v>
      </c>
      <c r="G3070" s="87">
        <v>17.936582999999999</v>
      </c>
    </row>
    <row r="3071" spans="1:7" x14ac:dyDescent="0.25">
      <c r="A3071" s="84" t="s">
        <v>2048</v>
      </c>
      <c r="B3071" s="84" t="s">
        <v>120</v>
      </c>
      <c r="C3071" s="84" t="s">
        <v>283</v>
      </c>
      <c r="D3071" s="85">
        <v>4264</v>
      </c>
      <c r="E3071" s="85">
        <v>74797</v>
      </c>
      <c r="F3071" s="86">
        <v>11878.3</v>
      </c>
      <c r="G3071" s="87">
        <v>15.880717000000001</v>
      </c>
    </row>
    <row r="3072" spans="1:7" x14ac:dyDescent="0.25">
      <c r="A3072" s="84" t="s">
        <v>2436</v>
      </c>
      <c r="B3072" s="84" t="s">
        <v>120</v>
      </c>
      <c r="C3072" s="84" t="s">
        <v>281</v>
      </c>
      <c r="D3072" s="85">
        <v>39569</v>
      </c>
      <c r="E3072" s="85">
        <v>450937</v>
      </c>
      <c r="F3072" s="86">
        <v>72924.600000000006</v>
      </c>
      <c r="G3072" s="87">
        <v>16.171793000000001</v>
      </c>
    </row>
    <row r="3073" spans="1:7" x14ac:dyDescent="0.25">
      <c r="A3073" s="84" t="s">
        <v>2855</v>
      </c>
      <c r="B3073" s="84" t="s">
        <v>120</v>
      </c>
      <c r="C3073" s="84" t="s">
        <v>283</v>
      </c>
      <c r="D3073" s="85">
        <v>1762</v>
      </c>
      <c r="E3073" s="85">
        <v>26262</v>
      </c>
      <c r="F3073" s="86">
        <v>3984</v>
      </c>
      <c r="G3073" s="87">
        <v>15.170208000000001</v>
      </c>
    </row>
    <row r="3074" spans="1:7" x14ac:dyDescent="0.25">
      <c r="A3074" s="84" t="s">
        <v>2856</v>
      </c>
      <c r="B3074" s="84" t="s">
        <v>120</v>
      </c>
      <c r="C3074" s="84" t="s">
        <v>283</v>
      </c>
      <c r="D3074" s="85">
        <v>1360</v>
      </c>
      <c r="E3074" s="85">
        <v>11934</v>
      </c>
      <c r="F3074" s="86">
        <v>2163.1999999999998</v>
      </c>
      <c r="G3074" s="87">
        <v>18.126362</v>
      </c>
    </row>
    <row r="3075" spans="1:7" x14ac:dyDescent="0.25">
      <c r="A3075" s="84" t="s">
        <v>2857</v>
      </c>
      <c r="B3075" s="84" t="s">
        <v>120</v>
      </c>
      <c r="C3075" s="84" t="s">
        <v>283</v>
      </c>
      <c r="D3075" s="85">
        <v>711</v>
      </c>
      <c r="E3075" s="85">
        <v>4907</v>
      </c>
      <c r="F3075" s="86">
        <v>835.4</v>
      </c>
      <c r="G3075" s="87">
        <v>17.024659</v>
      </c>
    </row>
    <row r="3076" spans="1:7" x14ac:dyDescent="0.25">
      <c r="A3076" s="84" t="s">
        <v>2858</v>
      </c>
      <c r="B3076" s="84" t="s">
        <v>120</v>
      </c>
      <c r="C3076" s="84" t="s">
        <v>283</v>
      </c>
      <c r="D3076" s="85">
        <v>977</v>
      </c>
      <c r="E3076" s="85">
        <v>12582</v>
      </c>
      <c r="F3076" s="86">
        <v>2148</v>
      </c>
      <c r="G3076" s="87">
        <v>17.072008</v>
      </c>
    </row>
    <row r="3077" spans="1:7" x14ac:dyDescent="0.25">
      <c r="A3077" s="84" t="s">
        <v>2050</v>
      </c>
      <c r="B3077" s="84" t="s">
        <v>120</v>
      </c>
      <c r="C3077" s="84" t="s">
        <v>283</v>
      </c>
      <c r="D3077" s="85">
        <v>3756</v>
      </c>
      <c r="E3077" s="85">
        <v>55340</v>
      </c>
      <c r="F3077" s="86">
        <v>8248.1</v>
      </c>
      <c r="G3077" s="87">
        <v>14.904408999999999</v>
      </c>
    </row>
    <row r="3078" spans="1:7" x14ac:dyDescent="0.25">
      <c r="A3078" s="84" t="s">
        <v>2051</v>
      </c>
      <c r="B3078" s="84" t="s">
        <v>120</v>
      </c>
      <c r="C3078" s="84" t="s">
        <v>283</v>
      </c>
      <c r="D3078" s="85">
        <v>5765</v>
      </c>
      <c r="E3078" s="85">
        <v>62027</v>
      </c>
      <c r="F3078" s="86">
        <v>9113</v>
      </c>
      <c r="G3078" s="87">
        <v>14.691989</v>
      </c>
    </row>
    <row r="3079" spans="1:7" x14ac:dyDescent="0.25">
      <c r="A3079" s="84" t="s">
        <v>2052</v>
      </c>
      <c r="B3079" s="84" t="s">
        <v>120</v>
      </c>
      <c r="C3079" s="84" t="s">
        <v>283</v>
      </c>
      <c r="D3079" s="85">
        <v>4199</v>
      </c>
      <c r="E3079" s="85">
        <v>45179</v>
      </c>
      <c r="F3079" s="86">
        <v>7035.9</v>
      </c>
      <c r="G3079" s="87">
        <v>15.573385999999999</v>
      </c>
    </row>
    <row r="3080" spans="1:7" x14ac:dyDescent="0.25">
      <c r="A3080" s="84" t="s">
        <v>2053</v>
      </c>
      <c r="B3080" s="84" t="s">
        <v>120</v>
      </c>
      <c r="C3080" s="84" t="s">
        <v>283</v>
      </c>
      <c r="D3080" s="85">
        <v>1868</v>
      </c>
      <c r="E3080" s="85">
        <v>28824</v>
      </c>
      <c r="F3080" s="86">
        <v>3757.6</v>
      </c>
      <c r="G3080" s="87">
        <v>13.036358999999999</v>
      </c>
    </row>
    <row r="3081" spans="1:7" x14ac:dyDescent="0.25">
      <c r="A3081" s="84" t="s">
        <v>2859</v>
      </c>
      <c r="B3081" s="84" t="s">
        <v>120</v>
      </c>
      <c r="C3081" s="84" t="s">
        <v>283</v>
      </c>
      <c r="D3081" s="85">
        <v>665</v>
      </c>
      <c r="E3081" s="85">
        <v>12688</v>
      </c>
      <c r="F3081" s="86">
        <v>1825.2</v>
      </c>
      <c r="G3081" s="87">
        <v>14.385246</v>
      </c>
    </row>
    <row r="3082" spans="1:7" x14ac:dyDescent="0.25">
      <c r="A3082" s="84" t="s">
        <v>2054</v>
      </c>
      <c r="B3082" s="84" t="s">
        <v>120</v>
      </c>
      <c r="C3082" s="84" t="s">
        <v>283</v>
      </c>
      <c r="D3082" s="85">
        <v>3723</v>
      </c>
      <c r="E3082" s="85">
        <v>53139</v>
      </c>
      <c r="F3082" s="86">
        <v>6788</v>
      </c>
      <c r="G3082" s="87">
        <v>12.774044999999999</v>
      </c>
    </row>
    <row r="3083" spans="1:7" x14ac:dyDescent="0.25">
      <c r="A3083" s="84" t="s">
        <v>2055</v>
      </c>
      <c r="B3083" s="84" t="s">
        <v>120</v>
      </c>
      <c r="C3083" s="84" t="s">
        <v>281</v>
      </c>
      <c r="D3083" s="85">
        <v>11613</v>
      </c>
      <c r="E3083" s="85">
        <v>68358</v>
      </c>
      <c r="F3083" s="86">
        <v>15538</v>
      </c>
      <c r="G3083" s="87">
        <v>22.730331</v>
      </c>
    </row>
    <row r="3084" spans="1:7" x14ac:dyDescent="0.25">
      <c r="A3084" s="84" t="s">
        <v>742</v>
      </c>
      <c r="B3084" s="84" t="s">
        <v>126</v>
      </c>
      <c r="C3084" s="84" t="s">
        <v>278</v>
      </c>
      <c r="D3084" s="85">
        <v>257394</v>
      </c>
      <c r="E3084" s="85">
        <v>5672876</v>
      </c>
      <c r="F3084" s="86">
        <v>547776.69999999995</v>
      </c>
      <c r="G3084" s="87">
        <v>9.6560669000000008</v>
      </c>
    </row>
    <row r="3085" spans="1:7" x14ac:dyDescent="0.25">
      <c r="A3085" s="84" t="s">
        <v>2056</v>
      </c>
      <c r="B3085" s="84" t="s">
        <v>126</v>
      </c>
      <c r="C3085" s="84" t="s">
        <v>281</v>
      </c>
      <c r="D3085" s="85">
        <v>14559</v>
      </c>
      <c r="E3085" s="85">
        <v>562534</v>
      </c>
      <c r="F3085" s="86">
        <v>41107</v>
      </c>
      <c r="G3085" s="87">
        <v>7.3074693999999996</v>
      </c>
    </row>
    <row r="3086" spans="1:7" x14ac:dyDescent="0.25">
      <c r="A3086" s="84" t="s">
        <v>2057</v>
      </c>
      <c r="B3086" s="84" t="s">
        <v>126</v>
      </c>
      <c r="C3086" s="84" t="s">
        <v>281</v>
      </c>
      <c r="D3086" s="85">
        <v>9469</v>
      </c>
      <c r="E3086" s="85">
        <v>535908</v>
      </c>
      <c r="F3086" s="86">
        <v>36009.1</v>
      </c>
      <c r="G3086" s="87">
        <v>6.7192689999999997</v>
      </c>
    </row>
    <row r="3087" spans="1:7" x14ac:dyDescent="0.25">
      <c r="A3087" s="84" t="s">
        <v>1629</v>
      </c>
      <c r="B3087" s="84" t="s">
        <v>126</v>
      </c>
      <c r="C3087" s="84" t="s">
        <v>351</v>
      </c>
      <c r="D3087" s="85">
        <v>10</v>
      </c>
      <c r="E3087" s="85">
        <v>4838044</v>
      </c>
      <c r="F3087" s="86">
        <v>75550</v>
      </c>
      <c r="G3087" s="87">
        <v>1.5615815</v>
      </c>
    </row>
    <row r="3088" spans="1:7" x14ac:dyDescent="0.25">
      <c r="A3088" s="84" t="s">
        <v>2058</v>
      </c>
      <c r="B3088" s="84" t="s">
        <v>126</v>
      </c>
      <c r="C3088" s="84" t="s">
        <v>283</v>
      </c>
      <c r="D3088" s="85">
        <v>3475</v>
      </c>
      <c r="E3088" s="85">
        <v>77458</v>
      </c>
      <c r="F3088" s="86">
        <v>6363</v>
      </c>
      <c r="G3088" s="87">
        <v>8.2147745000000008</v>
      </c>
    </row>
    <row r="3089" spans="1:7" x14ac:dyDescent="0.25">
      <c r="A3089" s="84" t="s">
        <v>2059</v>
      </c>
      <c r="B3089" s="84" t="s">
        <v>126</v>
      </c>
      <c r="C3089" s="84" t="s">
        <v>283</v>
      </c>
      <c r="D3089" s="85">
        <v>10381</v>
      </c>
      <c r="E3089" s="85">
        <v>258189</v>
      </c>
      <c r="F3089" s="86">
        <v>25922</v>
      </c>
      <c r="G3089" s="87">
        <v>10.039932</v>
      </c>
    </row>
    <row r="3090" spans="1:7" x14ac:dyDescent="0.25">
      <c r="A3090" s="84" t="s">
        <v>2060</v>
      </c>
      <c r="B3090" s="84" t="s">
        <v>126</v>
      </c>
      <c r="C3090" s="84" t="s">
        <v>283</v>
      </c>
      <c r="D3090" s="85">
        <v>5798</v>
      </c>
      <c r="E3090" s="85">
        <v>148540</v>
      </c>
      <c r="F3090" s="86">
        <v>9715.4</v>
      </c>
      <c r="G3090" s="87">
        <v>6.5405951</v>
      </c>
    </row>
    <row r="3091" spans="1:7" x14ac:dyDescent="0.25">
      <c r="A3091" s="84" t="s">
        <v>2860</v>
      </c>
      <c r="B3091" s="84" t="s">
        <v>126</v>
      </c>
      <c r="C3091" s="84" t="s">
        <v>283</v>
      </c>
      <c r="D3091" s="85">
        <v>1309</v>
      </c>
      <c r="E3091" s="85">
        <v>21000</v>
      </c>
      <c r="F3091" s="86">
        <v>1700</v>
      </c>
      <c r="G3091" s="87">
        <v>8.0952380999999995</v>
      </c>
    </row>
    <row r="3092" spans="1:7" x14ac:dyDescent="0.25">
      <c r="A3092" s="84" t="s">
        <v>2861</v>
      </c>
      <c r="B3092" s="84" t="s">
        <v>126</v>
      </c>
      <c r="C3092" s="84" t="s">
        <v>283</v>
      </c>
      <c r="D3092" s="85">
        <v>601</v>
      </c>
      <c r="E3092" s="85">
        <v>17109</v>
      </c>
      <c r="F3092" s="86">
        <v>1128.3</v>
      </c>
      <c r="G3092" s="87">
        <v>6.5947747000000003</v>
      </c>
    </row>
    <row r="3093" spans="1:7" x14ac:dyDescent="0.25">
      <c r="A3093" s="84" t="s">
        <v>2061</v>
      </c>
      <c r="B3093" s="84" t="s">
        <v>126</v>
      </c>
      <c r="C3093" s="84" t="s">
        <v>283</v>
      </c>
      <c r="D3093" s="85">
        <v>10039</v>
      </c>
      <c r="E3093" s="85">
        <v>212409</v>
      </c>
      <c r="F3093" s="86">
        <v>18106.8</v>
      </c>
      <c r="G3093" s="87">
        <v>8.5244975000000007</v>
      </c>
    </row>
    <row r="3094" spans="1:7" x14ac:dyDescent="0.25">
      <c r="A3094" s="84" t="s">
        <v>2862</v>
      </c>
      <c r="B3094" s="84" t="s">
        <v>126</v>
      </c>
      <c r="C3094" s="84" t="s">
        <v>283</v>
      </c>
      <c r="D3094" s="85">
        <v>1193</v>
      </c>
      <c r="E3094" s="85">
        <v>31854</v>
      </c>
      <c r="F3094" s="86">
        <v>2754.6</v>
      </c>
      <c r="G3094" s="87">
        <v>8.6475796000000003</v>
      </c>
    </row>
    <row r="3095" spans="1:7" x14ac:dyDescent="0.25">
      <c r="A3095" s="84" t="s">
        <v>2062</v>
      </c>
      <c r="B3095" s="84" t="s">
        <v>126</v>
      </c>
      <c r="C3095" s="84" t="s">
        <v>283</v>
      </c>
      <c r="D3095" s="85">
        <v>10999</v>
      </c>
      <c r="E3095" s="85">
        <v>267362</v>
      </c>
      <c r="F3095" s="86">
        <v>22746</v>
      </c>
      <c r="G3095" s="87">
        <v>8.5075664999999994</v>
      </c>
    </row>
    <row r="3096" spans="1:7" x14ac:dyDescent="0.25">
      <c r="A3096" s="84" t="s">
        <v>2063</v>
      </c>
      <c r="B3096" s="84" t="s">
        <v>126</v>
      </c>
      <c r="C3096" s="84" t="s">
        <v>283</v>
      </c>
      <c r="D3096" s="85">
        <v>24966</v>
      </c>
      <c r="E3096" s="85">
        <v>911106</v>
      </c>
      <c r="F3096" s="86">
        <v>73209.2</v>
      </c>
      <c r="G3096" s="87">
        <v>8.0352011999999995</v>
      </c>
    </row>
    <row r="3097" spans="1:7" x14ac:dyDescent="0.25">
      <c r="A3097" s="84" t="s">
        <v>2064</v>
      </c>
      <c r="B3097" s="84" t="s">
        <v>126</v>
      </c>
      <c r="C3097" s="84" t="s">
        <v>283</v>
      </c>
      <c r="D3097" s="85">
        <v>470380</v>
      </c>
      <c r="E3097" s="85">
        <v>9082792</v>
      </c>
      <c r="F3097" s="86">
        <v>920914</v>
      </c>
      <c r="G3097" s="87">
        <v>10.139106999999999</v>
      </c>
    </row>
    <row r="3098" spans="1:7" x14ac:dyDescent="0.25">
      <c r="A3098" s="84" t="s">
        <v>2863</v>
      </c>
      <c r="B3098" s="84" t="s">
        <v>126</v>
      </c>
      <c r="C3098" s="84" t="s">
        <v>283</v>
      </c>
      <c r="D3098" s="85">
        <v>951</v>
      </c>
      <c r="E3098" s="85">
        <v>31565</v>
      </c>
      <c r="F3098" s="86">
        <v>2352</v>
      </c>
      <c r="G3098" s="87">
        <v>7.4512910000000003</v>
      </c>
    </row>
    <row r="3099" spans="1:7" x14ac:dyDescent="0.25">
      <c r="A3099" s="84" t="s">
        <v>2065</v>
      </c>
      <c r="B3099" s="84" t="s">
        <v>126</v>
      </c>
      <c r="C3099" s="84" t="s">
        <v>283</v>
      </c>
      <c r="D3099" s="85">
        <v>182234</v>
      </c>
      <c r="E3099" s="85">
        <v>4665640</v>
      </c>
      <c r="F3099" s="86">
        <v>366663.3</v>
      </c>
      <c r="G3099" s="87">
        <v>7.8587996999999996</v>
      </c>
    </row>
    <row r="3100" spans="1:7" x14ac:dyDescent="0.25">
      <c r="A3100" s="84" t="s">
        <v>746</v>
      </c>
      <c r="B3100" s="84" t="s">
        <v>126</v>
      </c>
      <c r="C3100" s="84" t="s">
        <v>281</v>
      </c>
      <c r="D3100" s="85">
        <v>999</v>
      </c>
      <c r="E3100" s="85">
        <v>21999</v>
      </c>
      <c r="F3100" s="86">
        <v>2160.8000000000002</v>
      </c>
      <c r="G3100" s="87">
        <v>9.8222646000000005</v>
      </c>
    </row>
    <row r="3101" spans="1:7" x14ac:dyDescent="0.25">
      <c r="A3101" s="84" t="s">
        <v>1646</v>
      </c>
      <c r="B3101" s="84" t="s">
        <v>126</v>
      </c>
      <c r="C3101" s="84" t="s">
        <v>281</v>
      </c>
      <c r="D3101" s="85">
        <v>5945</v>
      </c>
      <c r="E3101" s="85">
        <v>343259</v>
      </c>
      <c r="F3101" s="86">
        <v>30284</v>
      </c>
      <c r="G3101" s="87">
        <v>8.8224926000000004</v>
      </c>
    </row>
    <row r="3102" spans="1:7" x14ac:dyDescent="0.25">
      <c r="A3102" s="84" t="s">
        <v>2066</v>
      </c>
      <c r="B3102" s="84" t="s">
        <v>126</v>
      </c>
      <c r="C3102" s="84" t="s">
        <v>281</v>
      </c>
      <c r="D3102" s="85">
        <v>15538</v>
      </c>
      <c r="E3102" s="85">
        <v>273000</v>
      </c>
      <c r="F3102" s="86">
        <v>19255</v>
      </c>
      <c r="G3102" s="87">
        <v>7.0531135999999996</v>
      </c>
    </row>
    <row r="3103" spans="1:7" x14ac:dyDescent="0.25">
      <c r="A3103" s="84" t="s">
        <v>749</v>
      </c>
      <c r="B3103" s="84" t="s">
        <v>126</v>
      </c>
      <c r="C3103" s="84" t="s">
        <v>281</v>
      </c>
      <c r="D3103" s="85">
        <v>40917</v>
      </c>
      <c r="E3103" s="85">
        <v>912016</v>
      </c>
      <c r="F3103" s="86">
        <v>75754</v>
      </c>
      <c r="G3103" s="87">
        <v>8.3062138999999995</v>
      </c>
    </row>
    <row r="3104" spans="1:7" x14ac:dyDescent="0.25">
      <c r="A3104" s="84" t="s">
        <v>2377</v>
      </c>
      <c r="B3104" s="84" t="s">
        <v>126</v>
      </c>
      <c r="C3104" s="84" t="s">
        <v>281</v>
      </c>
      <c r="D3104" s="85">
        <v>83</v>
      </c>
      <c r="E3104" s="85">
        <v>2865</v>
      </c>
      <c r="F3104" s="86">
        <v>244.5</v>
      </c>
      <c r="G3104" s="87">
        <v>8.5340313999999999</v>
      </c>
    </row>
    <row r="3105" spans="1:7" x14ac:dyDescent="0.25">
      <c r="A3105" s="84" t="s">
        <v>2067</v>
      </c>
      <c r="B3105" s="84" t="s">
        <v>126</v>
      </c>
      <c r="C3105" s="84" t="s">
        <v>281</v>
      </c>
      <c r="D3105" s="85">
        <v>10224</v>
      </c>
      <c r="E3105" s="85">
        <v>256307</v>
      </c>
      <c r="F3105" s="86">
        <v>23809</v>
      </c>
      <c r="G3105" s="87">
        <v>9.2892507999999996</v>
      </c>
    </row>
    <row r="3106" spans="1:7" x14ac:dyDescent="0.25">
      <c r="A3106" s="84" t="s">
        <v>2068</v>
      </c>
      <c r="B3106" s="84" t="s">
        <v>126</v>
      </c>
      <c r="C3106" s="84" t="s">
        <v>281</v>
      </c>
      <c r="D3106" s="85">
        <v>10250</v>
      </c>
      <c r="E3106" s="85">
        <v>226919</v>
      </c>
      <c r="F3106" s="86">
        <v>14582.7</v>
      </c>
      <c r="G3106" s="87">
        <v>6.4263899999999996</v>
      </c>
    </row>
    <row r="3107" spans="1:7" x14ac:dyDescent="0.25">
      <c r="A3107" s="84" t="s">
        <v>2864</v>
      </c>
      <c r="B3107" s="84" t="s">
        <v>126</v>
      </c>
      <c r="C3107" s="84" t="s">
        <v>281</v>
      </c>
      <c r="D3107" s="85">
        <v>1520</v>
      </c>
      <c r="E3107" s="85">
        <v>57745</v>
      </c>
      <c r="F3107" s="86">
        <v>4779.6000000000004</v>
      </c>
      <c r="G3107" s="87">
        <v>8.2770802999999997</v>
      </c>
    </row>
    <row r="3108" spans="1:7" x14ac:dyDescent="0.25">
      <c r="A3108" s="84" t="s">
        <v>753</v>
      </c>
      <c r="B3108" s="84" t="s">
        <v>126</v>
      </c>
      <c r="C3108" s="84" t="s">
        <v>281</v>
      </c>
      <c r="D3108" s="85">
        <v>14</v>
      </c>
      <c r="E3108" s="85">
        <v>139</v>
      </c>
      <c r="F3108" s="86">
        <v>17</v>
      </c>
      <c r="G3108" s="87">
        <v>12.230216</v>
      </c>
    </row>
    <row r="3109" spans="1:7" x14ac:dyDescent="0.25">
      <c r="A3109" s="84" t="s">
        <v>2069</v>
      </c>
      <c r="B3109" s="84" t="s">
        <v>126</v>
      </c>
      <c r="C3109" s="84" t="s">
        <v>281</v>
      </c>
      <c r="D3109" s="85">
        <v>4471</v>
      </c>
      <c r="E3109" s="85">
        <v>83967</v>
      </c>
      <c r="F3109" s="86">
        <v>7226</v>
      </c>
      <c r="G3109" s="87">
        <v>8.6057617999999998</v>
      </c>
    </row>
    <row r="3110" spans="1:7" x14ac:dyDescent="0.25">
      <c r="A3110" s="84" t="s">
        <v>2070</v>
      </c>
      <c r="B3110" s="84" t="s">
        <v>126</v>
      </c>
      <c r="C3110" s="84" t="s">
        <v>281</v>
      </c>
      <c r="D3110" s="85">
        <v>3747</v>
      </c>
      <c r="E3110" s="85">
        <v>61989</v>
      </c>
      <c r="F3110" s="86">
        <v>5902</v>
      </c>
      <c r="G3110" s="87">
        <v>9.5210440999999992</v>
      </c>
    </row>
    <row r="3111" spans="1:7" x14ac:dyDescent="0.25">
      <c r="A3111" s="84" t="s">
        <v>2071</v>
      </c>
      <c r="B3111" s="84" t="s">
        <v>126</v>
      </c>
      <c r="C3111" s="84" t="s">
        <v>281</v>
      </c>
      <c r="D3111" s="85">
        <v>15163</v>
      </c>
      <c r="E3111" s="85">
        <v>207180</v>
      </c>
      <c r="F3111" s="86">
        <v>30678</v>
      </c>
      <c r="G3111" s="87">
        <v>14.807414</v>
      </c>
    </row>
    <row r="3112" spans="1:7" x14ac:dyDescent="0.25">
      <c r="A3112" s="84" t="s">
        <v>2072</v>
      </c>
      <c r="B3112" s="84" t="s">
        <v>126</v>
      </c>
      <c r="C3112" s="84" t="s">
        <v>385</v>
      </c>
      <c r="D3112" s="85">
        <v>354978</v>
      </c>
      <c r="E3112" s="85">
        <v>6526450</v>
      </c>
      <c r="F3112" s="86">
        <v>615355</v>
      </c>
      <c r="G3112" s="87">
        <v>9.4286326999999996</v>
      </c>
    </row>
    <row r="3113" spans="1:7" x14ac:dyDescent="0.25">
      <c r="A3113" s="84" t="s">
        <v>2865</v>
      </c>
      <c r="B3113" s="84" t="s">
        <v>126</v>
      </c>
      <c r="C3113" s="84" t="s">
        <v>283</v>
      </c>
      <c r="D3113" s="85">
        <v>3</v>
      </c>
      <c r="E3113" s="85">
        <v>238</v>
      </c>
      <c r="F3113" s="86">
        <v>13.7</v>
      </c>
      <c r="G3113" s="87">
        <v>5.7563025000000003</v>
      </c>
    </row>
    <row r="3114" spans="1:7" x14ac:dyDescent="0.25">
      <c r="A3114" s="84" t="s">
        <v>2073</v>
      </c>
      <c r="B3114" s="84" t="s">
        <v>126</v>
      </c>
      <c r="C3114" s="84" t="s">
        <v>385</v>
      </c>
      <c r="D3114" s="85">
        <v>54581</v>
      </c>
      <c r="E3114" s="85">
        <v>1766171</v>
      </c>
      <c r="F3114" s="86">
        <v>127692</v>
      </c>
      <c r="G3114" s="87">
        <v>7.2298774999999997</v>
      </c>
    </row>
    <row r="3115" spans="1:7" x14ac:dyDescent="0.25">
      <c r="A3115" s="84" t="s">
        <v>2074</v>
      </c>
      <c r="B3115" s="84" t="s">
        <v>126</v>
      </c>
      <c r="C3115" s="84" t="s">
        <v>385</v>
      </c>
      <c r="D3115" s="85">
        <v>51507</v>
      </c>
      <c r="E3115" s="85">
        <v>1720632</v>
      </c>
      <c r="F3115" s="86">
        <v>52804.4</v>
      </c>
      <c r="G3115" s="87">
        <v>3.0688955999999998</v>
      </c>
    </row>
    <row r="3116" spans="1:7" x14ac:dyDescent="0.25">
      <c r="A3116" s="84" t="s">
        <v>2075</v>
      </c>
      <c r="B3116" s="84" t="s">
        <v>126</v>
      </c>
      <c r="C3116" s="84" t="s">
        <v>385</v>
      </c>
      <c r="D3116" s="85">
        <v>32237</v>
      </c>
      <c r="E3116" s="85">
        <v>638626</v>
      </c>
      <c r="F3116" s="86">
        <v>62492.1</v>
      </c>
      <c r="G3116" s="87">
        <v>9.7853987</v>
      </c>
    </row>
    <row r="3117" spans="1:7" x14ac:dyDescent="0.25">
      <c r="A3117" s="84" t="s">
        <v>2076</v>
      </c>
      <c r="B3117" s="84" t="s">
        <v>126</v>
      </c>
      <c r="C3117" s="84" t="s">
        <v>385</v>
      </c>
      <c r="D3117" s="85">
        <v>213948</v>
      </c>
      <c r="E3117" s="85">
        <v>4514170</v>
      </c>
      <c r="F3117" s="86">
        <v>367584</v>
      </c>
      <c r="G3117" s="87">
        <v>8.1428922999999998</v>
      </c>
    </row>
    <row r="3118" spans="1:7" x14ac:dyDescent="0.25">
      <c r="A3118" s="84" t="s">
        <v>2077</v>
      </c>
      <c r="B3118" s="84" t="s">
        <v>126</v>
      </c>
      <c r="C3118" s="84" t="s">
        <v>385</v>
      </c>
      <c r="D3118" s="85">
        <v>50870</v>
      </c>
      <c r="E3118" s="85">
        <v>4609092</v>
      </c>
      <c r="F3118" s="86">
        <v>274012</v>
      </c>
      <c r="G3118" s="87">
        <v>5.9450320999999997</v>
      </c>
    </row>
    <row r="3119" spans="1:7" x14ac:dyDescent="0.25">
      <c r="A3119" s="84" t="s">
        <v>2078</v>
      </c>
      <c r="B3119" s="84" t="s">
        <v>126</v>
      </c>
      <c r="C3119" s="84" t="s">
        <v>385</v>
      </c>
      <c r="D3119" s="85">
        <v>16083</v>
      </c>
      <c r="E3119" s="85">
        <v>1135682</v>
      </c>
      <c r="F3119" s="86">
        <v>33855</v>
      </c>
      <c r="G3119" s="87">
        <v>2.9810281000000001</v>
      </c>
    </row>
    <row r="3120" spans="1:7" x14ac:dyDescent="0.25">
      <c r="A3120" s="84" t="s">
        <v>2079</v>
      </c>
      <c r="B3120" s="84" t="s">
        <v>126</v>
      </c>
      <c r="C3120" s="84" t="s">
        <v>385</v>
      </c>
      <c r="D3120" s="85">
        <v>3533</v>
      </c>
      <c r="E3120" s="85">
        <v>66687</v>
      </c>
      <c r="F3120" s="86">
        <v>6653.6</v>
      </c>
      <c r="G3120" s="87">
        <v>9.9773569000000002</v>
      </c>
    </row>
    <row r="3121" spans="1:7" x14ac:dyDescent="0.25">
      <c r="A3121" s="84" t="s">
        <v>2080</v>
      </c>
      <c r="B3121" s="84" t="s">
        <v>126</v>
      </c>
      <c r="C3121" s="84" t="s">
        <v>385</v>
      </c>
      <c r="D3121" s="85">
        <v>27677</v>
      </c>
      <c r="E3121" s="85">
        <v>1078951</v>
      </c>
      <c r="F3121" s="86">
        <v>84249</v>
      </c>
      <c r="G3121" s="87">
        <v>7.8084176000000003</v>
      </c>
    </row>
    <row r="3122" spans="1:7" x14ac:dyDescent="0.25">
      <c r="A3122" s="84" t="s">
        <v>2081</v>
      </c>
      <c r="B3122" s="84" t="s">
        <v>126</v>
      </c>
      <c r="C3122" s="84" t="s">
        <v>385</v>
      </c>
      <c r="D3122" s="85">
        <v>43296</v>
      </c>
      <c r="E3122" s="85">
        <v>951186</v>
      </c>
      <c r="F3122" s="86">
        <v>103410</v>
      </c>
      <c r="G3122" s="87">
        <v>10.871691</v>
      </c>
    </row>
    <row r="3123" spans="1:7" x14ac:dyDescent="0.25">
      <c r="A3123" s="84" t="s">
        <v>2082</v>
      </c>
      <c r="B3123" s="84" t="s">
        <v>126</v>
      </c>
      <c r="C3123" s="84" t="s">
        <v>385</v>
      </c>
      <c r="D3123" s="85">
        <v>19742</v>
      </c>
      <c r="E3123" s="85">
        <v>376212</v>
      </c>
      <c r="F3123" s="86">
        <v>38023.599999999999</v>
      </c>
      <c r="G3123" s="87">
        <v>10.106961</v>
      </c>
    </row>
    <row r="3124" spans="1:7" x14ac:dyDescent="0.25">
      <c r="A3124" s="84" t="s">
        <v>2866</v>
      </c>
      <c r="B3124" s="84" t="s">
        <v>126</v>
      </c>
      <c r="C3124" s="84" t="s">
        <v>385</v>
      </c>
      <c r="D3124" s="85">
        <v>4625</v>
      </c>
      <c r="E3124" s="85">
        <v>105905</v>
      </c>
      <c r="F3124" s="86">
        <v>10460</v>
      </c>
      <c r="G3124" s="87">
        <v>9.8767764000000007</v>
      </c>
    </row>
    <row r="3125" spans="1:7" x14ac:dyDescent="0.25">
      <c r="A3125" s="84" t="s">
        <v>2083</v>
      </c>
      <c r="B3125" s="84" t="s">
        <v>126</v>
      </c>
      <c r="C3125" s="84" t="s">
        <v>385</v>
      </c>
      <c r="D3125" s="85">
        <v>13254</v>
      </c>
      <c r="E3125" s="85">
        <v>369066</v>
      </c>
      <c r="F3125" s="86">
        <v>33125</v>
      </c>
      <c r="G3125" s="87">
        <v>8.9753594000000003</v>
      </c>
    </row>
    <row r="3126" spans="1:7" x14ac:dyDescent="0.25">
      <c r="A3126" s="84" t="s">
        <v>2084</v>
      </c>
      <c r="B3126" s="84" t="s">
        <v>126</v>
      </c>
      <c r="C3126" s="84" t="s">
        <v>385</v>
      </c>
      <c r="D3126" s="85">
        <v>32771</v>
      </c>
      <c r="E3126" s="85">
        <v>940053</v>
      </c>
      <c r="F3126" s="86">
        <v>73788.2</v>
      </c>
      <c r="G3126" s="87">
        <v>7.8493658999999996</v>
      </c>
    </row>
    <row r="3127" spans="1:7" x14ac:dyDescent="0.25">
      <c r="A3127" s="84" t="s">
        <v>2867</v>
      </c>
      <c r="B3127" s="84" t="s">
        <v>126</v>
      </c>
      <c r="C3127" s="84" t="s">
        <v>385</v>
      </c>
      <c r="D3127" s="85">
        <v>5349</v>
      </c>
      <c r="E3127" s="85">
        <v>76378</v>
      </c>
      <c r="F3127" s="86">
        <v>8851</v>
      </c>
      <c r="G3127" s="87">
        <v>11.588416</v>
      </c>
    </row>
    <row r="3128" spans="1:7" x14ac:dyDescent="0.25">
      <c r="A3128" s="84" t="s">
        <v>2085</v>
      </c>
      <c r="B3128" s="84" t="s">
        <v>126</v>
      </c>
      <c r="C3128" s="84" t="s">
        <v>385</v>
      </c>
      <c r="D3128" s="85">
        <v>21249</v>
      </c>
      <c r="E3128" s="85">
        <v>600415</v>
      </c>
      <c r="F3128" s="86">
        <v>45810.1</v>
      </c>
      <c r="G3128" s="87">
        <v>7.6297394000000001</v>
      </c>
    </row>
    <row r="3129" spans="1:7" x14ac:dyDescent="0.25">
      <c r="A3129" s="84" t="s">
        <v>2086</v>
      </c>
      <c r="B3129" s="84" t="s">
        <v>126</v>
      </c>
      <c r="C3129" s="84" t="s">
        <v>385</v>
      </c>
      <c r="D3129" s="85">
        <v>9296</v>
      </c>
      <c r="E3129" s="85">
        <v>958410</v>
      </c>
      <c r="F3129" s="86">
        <v>48720</v>
      </c>
      <c r="G3129" s="87">
        <v>5.0834194000000004</v>
      </c>
    </row>
    <row r="3130" spans="1:7" x14ac:dyDescent="0.25">
      <c r="A3130" s="84" t="s">
        <v>2087</v>
      </c>
      <c r="B3130" s="84" t="s">
        <v>126</v>
      </c>
      <c r="C3130" s="84" t="s">
        <v>385</v>
      </c>
      <c r="D3130" s="85">
        <v>6323</v>
      </c>
      <c r="E3130" s="85">
        <v>127087</v>
      </c>
      <c r="F3130" s="86">
        <v>12091.7</v>
      </c>
      <c r="G3130" s="87">
        <v>9.5145058000000002</v>
      </c>
    </row>
    <row r="3131" spans="1:7" x14ac:dyDescent="0.25">
      <c r="A3131" s="84" t="s">
        <v>2868</v>
      </c>
      <c r="B3131" s="84" t="s">
        <v>126</v>
      </c>
      <c r="C3131" s="84" t="s">
        <v>385</v>
      </c>
      <c r="D3131" s="85">
        <v>2558</v>
      </c>
      <c r="E3131" s="85">
        <v>41495</v>
      </c>
      <c r="F3131" s="86">
        <v>3978</v>
      </c>
      <c r="G3131" s="87">
        <v>9.5866971999999997</v>
      </c>
    </row>
    <row r="3132" spans="1:7" x14ac:dyDescent="0.25">
      <c r="A3132" s="84" t="s">
        <v>2088</v>
      </c>
      <c r="B3132" s="84" t="s">
        <v>126</v>
      </c>
      <c r="C3132" s="84" t="s">
        <v>385</v>
      </c>
      <c r="D3132" s="85">
        <v>1</v>
      </c>
      <c r="E3132" s="85">
        <v>225010</v>
      </c>
      <c r="F3132" s="86">
        <v>11549</v>
      </c>
      <c r="G3132" s="87">
        <v>5.1326608</v>
      </c>
    </row>
    <row r="3133" spans="1:7" x14ac:dyDescent="0.25">
      <c r="A3133" s="84" t="s">
        <v>2089</v>
      </c>
      <c r="B3133" s="84" t="s">
        <v>126</v>
      </c>
      <c r="C3133" s="84" t="s">
        <v>385</v>
      </c>
      <c r="D3133" s="85">
        <v>51635</v>
      </c>
      <c r="E3133" s="85">
        <v>5038302</v>
      </c>
      <c r="F3133" s="86">
        <v>209896</v>
      </c>
      <c r="G3133" s="87">
        <v>4.1660066999999996</v>
      </c>
    </row>
    <row r="3134" spans="1:7" x14ac:dyDescent="0.25">
      <c r="A3134" s="84" t="s">
        <v>2090</v>
      </c>
      <c r="B3134" s="84" t="s">
        <v>126</v>
      </c>
      <c r="C3134" s="84" t="s">
        <v>385</v>
      </c>
      <c r="D3134" s="85">
        <v>17690</v>
      </c>
      <c r="E3134" s="85">
        <v>294203</v>
      </c>
      <c r="F3134" s="86">
        <v>24442.2</v>
      </c>
      <c r="G3134" s="87">
        <v>8.3079370000000008</v>
      </c>
    </row>
    <row r="3135" spans="1:7" x14ac:dyDescent="0.25">
      <c r="A3135" s="84" t="s">
        <v>2091</v>
      </c>
      <c r="B3135" s="84" t="s">
        <v>126</v>
      </c>
      <c r="C3135" s="84" t="s">
        <v>385</v>
      </c>
      <c r="D3135" s="85">
        <v>34214</v>
      </c>
      <c r="E3135" s="85">
        <v>654549</v>
      </c>
      <c r="F3135" s="86">
        <v>65311</v>
      </c>
      <c r="G3135" s="87">
        <v>9.9780154000000003</v>
      </c>
    </row>
    <row r="3136" spans="1:7" x14ac:dyDescent="0.25">
      <c r="A3136" s="84" t="s">
        <v>457</v>
      </c>
      <c r="B3136" s="84" t="s">
        <v>126</v>
      </c>
      <c r="C3136" s="84" t="s">
        <v>278</v>
      </c>
      <c r="D3136" s="85">
        <v>132291</v>
      </c>
      <c r="E3136" s="85">
        <v>4144590</v>
      </c>
      <c r="F3136" s="86">
        <v>332299.7</v>
      </c>
      <c r="G3136" s="87">
        <v>8.0176736000000002</v>
      </c>
    </row>
    <row r="3137" spans="1:7" x14ac:dyDescent="0.25">
      <c r="A3137" s="84" t="s">
        <v>2092</v>
      </c>
      <c r="B3137" s="84" t="s">
        <v>126</v>
      </c>
      <c r="C3137" s="84" t="s">
        <v>281</v>
      </c>
      <c r="D3137" s="85">
        <v>4575</v>
      </c>
      <c r="E3137" s="85">
        <v>114599</v>
      </c>
      <c r="F3137" s="86">
        <v>8668</v>
      </c>
      <c r="G3137" s="87">
        <v>7.5637657999999997</v>
      </c>
    </row>
    <row r="3138" spans="1:7" x14ac:dyDescent="0.25">
      <c r="A3138" s="84" t="s">
        <v>2093</v>
      </c>
      <c r="B3138" s="84" t="s">
        <v>126</v>
      </c>
      <c r="C3138" s="84" t="s">
        <v>281</v>
      </c>
      <c r="D3138" s="85">
        <v>33723</v>
      </c>
      <c r="E3138" s="85">
        <v>586557</v>
      </c>
      <c r="F3138" s="86">
        <v>57507.9</v>
      </c>
      <c r="G3138" s="87">
        <v>9.8043157000000001</v>
      </c>
    </row>
    <row r="3139" spans="1:7" x14ac:dyDescent="0.25">
      <c r="A3139" s="84" t="s">
        <v>2094</v>
      </c>
      <c r="B3139" s="84" t="s">
        <v>126</v>
      </c>
      <c r="C3139" s="84" t="s">
        <v>278</v>
      </c>
      <c r="D3139" s="85">
        <v>1165611</v>
      </c>
      <c r="E3139" s="85">
        <v>20833230</v>
      </c>
      <c r="F3139" s="86">
        <v>2117342.9</v>
      </c>
      <c r="G3139" s="87">
        <v>10.163296000000001</v>
      </c>
    </row>
    <row r="3140" spans="1:7" x14ac:dyDescent="0.25">
      <c r="A3140" s="84" t="s">
        <v>408</v>
      </c>
      <c r="B3140" s="84" t="s">
        <v>126</v>
      </c>
      <c r="C3140" s="84" t="s">
        <v>392</v>
      </c>
      <c r="D3140" s="85">
        <v>99</v>
      </c>
      <c r="E3140" s="85">
        <v>587</v>
      </c>
      <c r="F3140" s="86">
        <v>76</v>
      </c>
      <c r="G3140" s="87">
        <v>12.947189</v>
      </c>
    </row>
    <row r="3141" spans="1:7" x14ac:dyDescent="0.25">
      <c r="A3141" s="84" t="s">
        <v>2095</v>
      </c>
      <c r="B3141" s="84" t="s">
        <v>126</v>
      </c>
      <c r="C3141" s="84" t="s">
        <v>281</v>
      </c>
      <c r="D3141" s="85">
        <v>4941</v>
      </c>
      <c r="E3141" s="85">
        <v>92334</v>
      </c>
      <c r="F3141" s="86">
        <v>11170</v>
      </c>
      <c r="G3141" s="87">
        <v>12.097386</v>
      </c>
    </row>
    <row r="3142" spans="1:7" x14ac:dyDescent="0.25">
      <c r="A3142" s="84" t="s">
        <v>2869</v>
      </c>
      <c r="B3142" s="84" t="s">
        <v>126</v>
      </c>
      <c r="C3142" s="84" t="s">
        <v>283</v>
      </c>
      <c r="D3142" s="85">
        <v>1246</v>
      </c>
      <c r="E3142" s="85">
        <v>26865</v>
      </c>
      <c r="F3142" s="86">
        <v>2432</v>
      </c>
      <c r="G3142" s="87">
        <v>9.0526707999999996</v>
      </c>
    </row>
    <row r="3143" spans="1:7" x14ac:dyDescent="0.25">
      <c r="A3143" s="84" t="s">
        <v>2096</v>
      </c>
      <c r="B3143" s="84" t="s">
        <v>126</v>
      </c>
      <c r="C3143" s="84" t="s">
        <v>283</v>
      </c>
      <c r="D3143" s="85">
        <v>2908</v>
      </c>
      <c r="E3143" s="85">
        <v>35843</v>
      </c>
      <c r="F3143" s="86">
        <v>3382</v>
      </c>
      <c r="G3143" s="87">
        <v>9.4355940999999994</v>
      </c>
    </row>
    <row r="3144" spans="1:7" x14ac:dyDescent="0.25">
      <c r="A3144" s="84" t="s">
        <v>2097</v>
      </c>
      <c r="B3144" s="84" t="s">
        <v>126</v>
      </c>
      <c r="C3144" s="84" t="s">
        <v>385</v>
      </c>
      <c r="D3144" s="85">
        <v>12141</v>
      </c>
      <c r="E3144" s="85">
        <v>226332</v>
      </c>
      <c r="F3144" s="86">
        <v>17855</v>
      </c>
      <c r="G3144" s="87">
        <v>7.8888534999999997</v>
      </c>
    </row>
    <row r="3145" spans="1:7" x14ac:dyDescent="0.25">
      <c r="A3145" s="84" t="s">
        <v>2098</v>
      </c>
      <c r="B3145" s="84" t="s">
        <v>132</v>
      </c>
      <c r="C3145" s="84" t="s">
        <v>281</v>
      </c>
      <c r="D3145" s="85">
        <v>37607</v>
      </c>
      <c r="E3145" s="85">
        <v>515186</v>
      </c>
      <c r="F3145" s="86">
        <v>69348</v>
      </c>
      <c r="G3145" s="87">
        <v>13.46077</v>
      </c>
    </row>
    <row r="3146" spans="1:7" x14ac:dyDescent="0.25">
      <c r="A3146" s="84" t="s">
        <v>2099</v>
      </c>
      <c r="B3146" s="84" t="s">
        <v>132</v>
      </c>
      <c r="C3146" s="84" t="s">
        <v>283</v>
      </c>
      <c r="D3146" s="85">
        <v>2024</v>
      </c>
      <c r="E3146" s="85">
        <v>37325</v>
      </c>
      <c r="F3146" s="86">
        <v>3898.7</v>
      </c>
      <c r="G3146" s="87">
        <v>10.445278</v>
      </c>
    </row>
    <row r="3147" spans="1:7" x14ac:dyDescent="0.25">
      <c r="A3147" s="84" t="s">
        <v>2100</v>
      </c>
      <c r="B3147" s="84" t="s">
        <v>132</v>
      </c>
      <c r="C3147" s="84" t="s">
        <v>281</v>
      </c>
      <c r="D3147" s="85">
        <v>18850</v>
      </c>
      <c r="E3147" s="85">
        <v>332559</v>
      </c>
      <c r="F3147" s="86">
        <v>38753</v>
      </c>
      <c r="G3147" s="87">
        <v>11.65297</v>
      </c>
    </row>
    <row r="3148" spans="1:7" x14ac:dyDescent="0.25">
      <c r="A3148" s="84" t="s">
        <v>1036</v>
      </c>
      <c r="B3148" s="84" t="s">
        <v>132</v>
      </c>
      <c r="C3148" s="84" t="s">
        <v>281</v>
      </c>
      <c r="D3148" s="85">
        <v>9037</v>
      </c>
      <c r="E3148" s="85">
        <v>79252</v>
      </c>
      <c r="F3148" s="86">
        <v>14009.2</v>
      </c>
      <c r="G3148" s="87">
        <v>17.676777999999999</v>
      </c>
    </row>
    <row r="3149" spans="1:7" x14ac:dyDescent="0.25">
      <c r="A3149" s="84" t="s">
        <v>2870</v>
      </c>
      <c r="B3149" s="84" t="s">
        <v>132</v>
      </c>
      <c r="C3149" s="84" t="s">
        <v>283</v>
      </c>
      <c r="D3149" s="85">
        <v>2096</v>
      </c>
      <c r="E3149" s="85">
        <v>57586</v>
      </c>
      <c r="F3149" s="86">
        <v>5001</v>
      </c>
      <c r="G3149" s="87">
        <v>8.6844024999999991</v>
      </c>
    </row>
    <row r="3150" spans="1:7" x14ac:dyDescent="0.25">
      <c r="A3150" s="84" t="s">
        <v>2101</v>
      </c>
      <c r="B3150" s="84" t="s">
        <v>132</v>
      </c>
      <c r="C3150" s="84" t="s">
        <v>283</v>
      </c>
      <c r="D3150" s="85">
        <v>1842</v>
      </c>
      <c r="E3150" s="85">
        <v>34271</v>
      </c>
      <c r="F3150" s="86">
        <v>3671.2</v>
      </c>
      <c r="G3150" s="87">
        <v>10.712263999999999</v>
      </c>
    </row>
    <row r="3151" spans="1:7" x14ac:dyDescent="0.25">
      <c r="A3151" s="84" t="s">
        <v>2102</v>
      </c>
      <c r="B3151" s="84" t="s">
        <v>132</v>
      </c>
      <c r="C3151" s="84" t="s">
        <v>283</v>
      </c>
      <c r="D3151" s="85">
        <v>6434</v>
      </c>
      <c r="E3151" s="85">
        <v>105714</v>
      </c>
      <c r="F3151" s="86">
        <v>11184.7</v>
      </c>
      <c r="G3151" s="87">
        <v>10.58015</v>
      </c>
    </row>
    <row r="3152" spans="1:7" x14ac:dyDescent="0.25">
      <c r="A3152" s="84" t="s">
        <v>2103</v>
      </c>
      <c r="B3152" s="84" t="s">
        <v>132</v>
      </c>
      <c r="C3152" s="84" t="s">
        <v>281</v>
      </c>
      <c r="D3152" s="85">
        <v>8006</v>
      </c>
      <c r="E3152" s="85">
        <v>101362</v>
      </c>
      <c r="F3152" s="86">
        <v>16550.099999999999</v>
      </c>
      <c r="G3152" s="87">
        <v>16.327717</v>
      </c>
    </row>
    <row r="3153" spans="1:7" x14ac:dyDescent="0.25">
      <c r="A3153" s="84" t="s">
        <v>2104</v>
      </c>
      <c r="B3153" s="84" t="s">
        <v>132</v>
      </c>
      <c r="C3153" s="84" t="s">
        <v>281</v>
      </c>
      <c r="D3153" s="85">
        <v>7582</v>
      </c>
      <c r="E3153" s="85">
        <v>102558</v>
      </c>
      <c r="F3153" s="86">
        <v>14565.7</v>
      </c>
      <c r="G3153" s="87">
        <v>14.202403</v>
      </c>
    </row>
    <row r="3154" spans="1:7" x14ac:dyDescent="0.25">
      <c r="A3154" s="84" t="s">
        <v>2871</v>
      </c>
      <c r="B3154" s="84" t="s">
        <v>132</v>
      </c>
      <c r="C3154" s="84" t="s">
        <v>283</v>
      </c>
      <c r="D3154" s="85">
        <v>1621</v>
      </c>
      <c r="E3154" s="85">
        <v>87220</v>
      </c>
      <c r="F3154" s="86">
        <v>7055.3</v>
      </c>
      <c r="G3154" s="87">
        <v>8.0890851000000001</v>
      </c>
    </row>
    <row r="3155" spans="1:7" x14ac:dyDescent="0.25">
      <c r="A3155" s="84" t="s">
        <v>2872</v>
      </c>
      <c r="B3155" s="84" t="s">
        <v>132</v>
      </c>
      <c r="C3155" s="84" t="s">
        <v>283</v>
      </c>
      <c r="D3155" s="85">
        <v>498</v>
      </c>
      <c r="E3155" s="85">
        <v>6478</v>
      </c>
      <c r="F3155" s="86">
        <v>562.5</v>
      </c>
      <c r="G3155" s="87">
        <v>8.6832355999999997</v>
      </c>
    </row>
    <row r="3156" spans="1:7" x14ac:dyDescent="0.25">
      <c r="A3156" s="84" t="s">
        <v>2873</v>
      </c>
      <c r="B3156" s="84" t="s">
        <v>132</v>
      </c>
      <c r="C3156" s="84" t="s">
        <v>283</v>
      </c>
      <c r="D3156" s="85">
        <v>1836</v>
      </c>
      <c r="E3156" s="85">
        <v>80089</v>
      </c>
      <c r="F3156" s="86">
        <v>6864.1</v>
      </c>
      <c r="G3156" s="87">
        <v>8.5705901999999998</v>
      </c>
    </row>
    <row r="3157" spans="1:7" x14ac:dyDescent="0.25">
      <c r="A3157" s="84" t="s">
        <v>2105</v>
      </c>
      <c r="B3157" s="84" t="s">
        <v>132</v>
      </c>
      <c r="C3157" s="84" t="s">
        <v>283</v>
      </c>
      <c r="D3157" s="85">
        <v>2774</v>
      </c>
      <c r="E3157" s="85">
        <v>57230</v>
      </c>
      <c r="F3157" s="86">
        <v>6437</v>
      </c>
      <c r="G3157" s="87">
        <v>11.247597000000001</v>
      </c>
    </row>
    <row r="3158" spans="1:7" x14ac:dyDescent="0.25">
      <c r="A3158" s="84" t="s">
        <v>2106</v>
      </c>
      <c r="B3158" s="84" t="s">
        <v>132</v>
      </c>
      <c r="C3158" s="84" t="s">
        <v>283</v>
      </c>
      <c r="D3158" s="85">
        <v>1768</v>
      </c>
      <c r="E3158" s="85">
        <v>42601</v>
      </c>
      <c r="F3158" s="86">
        <v>3819.6</v>
      </c>
      <c r="G3158" s="87">
        <v>8.9659867000000002</v>
      </c>
    </row>
    <row r="3159" spans="1:7" x14ac:dyDescent="0.25">
      <c r="A3159" s="84" t="s">
        <v>2107</v>
      </c>
      <c r="B3159" s="84" t="s">
        <v>132</v>
      </c>
      <c r="C3159" s="84" t="s">
        <v>283</v>
      </c>
      <c r="D3159" s="85">
        <v>2830</v>
      </c>
      <c r="E3159" s="85">
        <v>117121</v>
      </c>
      <c r="F3159" s="86">
        <v>10925</v>
      </c>
      <c r="G3159" s="87">
        <v>9.3279599999999991</v>
      </c>
    </row>
    <row r="3160" spans="1:7" x14ac:dyDescent="0.25">
      <c r="A3160" s="84" t="s">
        <v>2108</v>
      </c>
      <c r="B3160" s="84" t="s">
        <v>132</v>
      </c>
      <c r="C3160" s="84" t="s">
        <v>283</v>
      </c>
      <c r="D3160" s="85">
        <v>2878</v>
      </c>
      <c r="E3160" s="85">
        <v>78806</v>
      </c>
      <c r="F3160" s="86">
        <v>7337.1</v>
      </c>
      <c r="G3160" s="87">
        <v>9.3103317000000008</v>
      </c>
    </row>
    <row r="3161" spans="1:7" x14ac:dyDescent="0.25">
      <c r="A3161" s="84" t="s">
        <v>2874</v>
      </c>
      <c r="B3161" s="84" t="s">
        <v>132</v>
      </c>
      <c r="C3161" s="84" t="s">
        <v>283</v>
      </c>
      <c r="D3161" s="85">
        <v>871</v>
      </c>
      <c r="E3161" s="85">
        <v>12699</v>
      </c>
      <c r="F3161" s="86">
        <v>1311</v>
      </c>
      <c r="G3161" s="87">
        <v>10.323648</v>
      </c>
    </row>
    <row r="3162" spans="1:7" x14ac:dyDescent="0.25">
      <c r="A3162" s="84" t="s">
        <v>2109</v>
      </c>
      <c r="B3162" s="84" t="s">
        <v>132</v>
      </c>
      <c r="C3162" s="84" t="s">
        <v>283</v>
      </c>
      <c r="D3162" s="85">
        <v>1098</v>
      </c>
      <c r="E3162" s="85">
        <v>17956</v>
      </c>
      <c r="F3162" s="86">
        <v>1957.9</v>
      </c>
      <c r="G3162" s="87">
        <v>10.903876</v>
      </c>
    </row>
    <row r="3163" spans="1:7" x14ac:dyDescent="0.25">
      <c r="A3163" s="84" t="s">
        <v>2875</v>
      </c>
      <c r="B3163" s="84" t="s">
        <v>132</v>
      </c>
      <c r="C3163" s="84" t="s">
        <v>283</v>
      </c>
      <c r="D3163" s="85">
        <v>1421</v>
      </c>
      <c r="E3163" s="85">
        <v>36458</v>
      </c>
      <c r="F3163" s="86">
        <v>3971.7</v>
      </c>
      <c r="G3163" s="87">
        <v>10.893905</v>
      </c>
    </row>
    <row r="3164" spans="1:7" x14ac:dyDescent="0.25">
      <c r="A3164" s="84" t="s">
        <v>2110</v>
      </c>
      <c r="B3164" s="84" t="s">
        <v>132</v>
      </c>
      <c r="C3164" s="84" t="s">
        <v>283</v>
      </c>
      <c r="D3164" s="85">
        <v>1556</v>
      </c>
      <c r="E3164" s="85">
        <v>30781</v>
      </c>
      <c r="F3164" s="86">
        <v>3142.2</v>
      </c>
      <c r="G3164" s="87">
        <v>10.208245</v>
      </c>
    </row>
    <row r="3165" spans="1:7" x14ac:dyDescent="0.25">
      <c r="A3165" s="84" t="s">
        <v>2111</v>
      </c>
      <c r="B3165" s="84" t="s">
        <v>132</v>
      </c>
      <c r="C3165" s="84" t="s">
        <v>283</v>
      </c>
      <c r="D3165" s="85">
        <v>4967</v>
      </c>
      <c r="E3165" s="85">
        <v>118103</v>
      </c>
      <c r="F3165" s="86">
        <v>11959</v>
      </c>
      <c r="G3165" s="87">
        <v>10.125907</v>
      </c>
    </row>
    <row r="3166" spans="1:7" x14ac:dyDescent="0.25">
      <c r="A3166" s="84" t="s">
        <v>2876</v>
      </c>
      <c r="B3166" s="84" t="s">
        <v>132</v>
      </c>
      <c r="C3166" s="84" t="s">
        <v>283</v>
      </c>
      <c r="D3166" s="85">
        <v>806</v>
      </c>
      <c r="E3166" s="85">
        <v>21144</v>
      </c>
      <c r="F3166" s="86">
        <v>1909</v>
      </c>
      <c r="G3166" s="87">
        <v>9.0285659999999996</v>
      </c>
    </row>
    <row r="3167" spans="1:7" x14ac:dyDescent="0.25">
      <c r="A3167" s="84" t="s">
        <v>2112</v>
      </c>
      <c r="B3167" s="84" t="s">
        <v>132</v>
      </c>
      <c r="C3167" s="84" t="s">
        <v>283</v>
      </c>
      <c r="D3167" s="85">
        <v>4658</v>
      </c>
      <c r="E3167" s="85">
        <v>68630</v>
      </c>
      <c r="F3167" s="86">
        <v>7542.1</v>
      </c>
      <c r="G3167" s="87">
        <v>10.989509</v>
      </c>
    </row>
    <row r="3168" spans="1:7" x14ac:dyDescent="0.25">
      <c r="A3168" s="84" t="s">
        <v>2877</v>
      </c>
      <c r="B3168" s="84" t="s">
        <v>132</v>
      </c>
      <c r="C3168" s="84" t="s">
        <v>283</v>
      </c>
      <c r="D3168" s="85">
        <v>1448</v>
      </c>
      <c r="E3168" s="85">
        <v>33609</v>
      </c>
      <c r="F3168" s="86">
        <v>2311.1999999999998</v>
      </c>
      <c r="G3168" s="87">
        <v>6.8767294000000003</v>
      </c>
    </row>
    <row r="3169" spans="1:7" x14ac:dyDescent="0.25">
      <c r="A3169" s="84" t="s">
        <v>2113</v>
      </c>
      <c r="B3169" s="84" t="s">
        <v>132</v>
      </c>
      <c r="C3169" s="84" t="s">
        <v>283</v>
      </c>
      <c r="D3169" s="85">
        <v>15497</v>
      </c>
      <c r="E3169" s="85">
        <v>516533</v>
      </c>
      <c r="F3169" s="86">
        <v>43315.4</v>
      </c>
      <c r="G3169" s="87">
        <v>8.3857952999999998</v>
      </c>
    </row>
    <row r="3170" spans="1:7" x14ac:dyDescent="0.25">
      <c r="A3170" s="84" t="s">
        <v>2878</v>
      </c>
      <c r="B3170" s="84" t="s">
        <v>132</v>
      </c>
      <c r="C3170" s="84" t="s">
        <v>283</v>
      </c>
      <c r="D3170" s="85">
        <v>2764</v>
      </c>
      <c r="E3170" s="85">
        <v>97702</v>
      </c>
      <c r="F3170" s="86">
        <v>8590.5</v>
      </c>
      <c r="G3170" s="87">
        <v>8.7925529000000004</v>
      </c>
    </row>
    <row r="3171" spans="1:7" x14ac:dyDescent="0.25">
      <c r="A3171" s="84" t="s">
        <v>2114</v>
      </c>
      <c r="B3171" s="84" t="s">
        <v>132</v>
      </c>
      <c r="C3171" s="84" t="s">
        <v>283</v>
      </c>
      <c r="D3171" s="85">
        <v>1754</v>
      </c>
      <c r="E3171" s="85">
        <v>28312</v>
      </c>
      <c r="F3171" s="86">
        <v>3162.1</v>
      </c>
      <c r="G3171" s="87">
        <v>11.168761999999999</v>
      </c>
    </row>
    <row r="3172" spans="1:7" x14ac:dyDescent="0.25">
      <c r="A3172" s="84" t="s">
        <v>2115</v>
      </c>
      <c r="B3172" s="84" t="s">
        <v>132</v>
      </c>
      <c r="C3172" s="84" t="s">
        <v>283</v>
      </c>
      <c r="D3172" s="85">
        <v>13567</v>
      </c>
      <c r="E3172" s="85">
        <v>365977</v>
      </c>
      <c r="F3172" s="86">
        <v>29875</v>
      </c>
      <c r="G3172" s="87">
        <v>8.1630813</v>
      </c>
    </row>
    <row r="3173" spans="1:7" x14ac:dyDescent="0.25">
      <c r="A3173" s="84" t="s">
        <v>2116</v>
      </c>
      <c r="B3173" s="84" t="s">
        <v>132</v>
      </c>
      <c r="C3173" s="84" t="s">
        <v>283</v>
      </c>
      <c r="D3173" s="85">
        <v>3253</v>
      </c>
      <c r="E3173" s="85">
        <v>123798</v>
      </c>
      <c r="F3173" s="86">
        <v>9937</v>
      </c>
      <c r="G3173" s="87">
        <v>8.0267856000000002</v>
      </c>
    </row>
    <row r="3174" spans="1:7" x14ac:dyDescent="0.25">
      <c r="A3174" s="84" t="s">
        <v>2117</v>
      </c>
      <c r="B3174" s="84" t="s">
        <v>132</v>
      </c>
      <c r="C3174" s="84" t="s">
        <v>283</v>
      </c>
      <c r="D3174" s="85">
        <v>9028</v>
      </c>
      <c r="E3174" s="85">
        <v>547897</v>
      </c>
      <c r="F3174" s="86">
        <v>39694.699999999997</v>
      </c>
      <c r="G3174" s="87">
        <v>7.2449200999999999</v>
      </c>
    </row>
    <row r="3175" spans="1:7" x14ac:dyDescent="0.25">
      <c r="A3175" s="84" t="s">
        <v>2118</v>
      </c>
      <c r="B3175" s="84" t="s">
        <v>132</v>
      </c>
      <c r="C3175" s="84" t="s">
        <v>283</v>
      </c>
      <c r="D3175" s="85">
        <v>2492</v>
      </c>
      <c r="E3175" s="85">
        <v>40378</v>
      </c>
      <c r="F3175" s="86">
        <v>4566.6000000000004</v>
      </c>
      <c r="G3175" s="87">
        <v>11.309623999999999</v>
      </c>
    </row>
    <row r="3176" spans="1:7" x14ac:dyDescent="0.25">
      <c r="A3176" s="84" t="s">
        <v>2879</v>
      </c>
      <c r="B3176" s="84" t="s">
        <v>132</v>
      </c>
      <c r="C3176" s="84" t="s">
        <v>283</v>
      </c>
      <c r="D3176" s="85">
        <v>895</v>
      </c>
      <c r="E3176" s="85">
        <v>24956</v>
      </c>
      <c r="F3176" s="86">
        <v>1985</v>
      </c>
      <c r="G3176" s="87">
        <v>7.9539989999999996</v>
      </c>
    </row>
    <row r="3177" spans="1:7" x14ac:dyDescent="0.25">
      <c r="A3177" s="84" t="s">
        <v>2119</v>
      </c>
      <c r="B3177" s="84" t="s">
        <v>132</v>
      </c>
      <c r="C3177" s="84" t="s">
        <v>283</v>
      </c>
      <c r="D3177" s="85">
        <v>4859</v>
      </c>
      <c r="E3177" s="85">
        <v>98103</v>
      </c>
      <c r="F3177" s="86">
        <v>9455.9</v>
      </c>
      <c r="G3177" s="87">
        <v>9.6387470000000004</v>
      </c>
    </row>
    <row r="3178" spans="1:7" x14ac:dyDescent="0.25">
      <c r="A3178" s="84" t="s">
        <v>2120</v>
      </c>
      <c r="B3178" s="84" t="s">
        <v>132</v>
      </c>
      <c r="C3178" s="84" t="s">
        <v>283</v>
      </c>
      <c r="D3178" s="85">
        <v>8482</v>
      </c>
      <c r="E3178" s="85">
        <v>259281</v>
      </c>
      <c r="F3178" s="86">
        <v>23390.799999999999</v>
      </c>
      <c r="G3178" s="87">
        <v>9.0214092000000008</v>
      </c>
    </row>
    <row r="3179" spans="1:7" x14ac:dyDescent="0.25">
      <c r="A3179" s="84" t="s">
        <v>2880</v>
      </c>
      <c r="B3179" s="84" t="s">
        <v>132</v>
      </c>
      <c r="C3179" s="84" t="s">
        <v>283</v>
      </c>
      <c r="D3179" s="85">
        <v>843</v>
      </c>
      <c r="E3179" s="85">
        <v>10147</v>
      </c>
      <c r="F3179" s="86">
        <v>1124.0999999999999</v>
      </c>
      <c r="G3179" s="87">
        <v>11.078151</v>
      </c>
    </row>
    <row r="3180" spans="1:7" x14ac:dyDescent="0.25">
      <c r="A3180" s="84" t="s">
        <v>2121</v>
      </c>
      <c r="B3180" s="84" t="s">
        <v>132</v>
      </c>
      <c r="C3180" s="84" t="s">
        <v>283</v>
      </c>
      <c r="D3180" s="85">
        <v>2952</v>
      </c>
      <c r="E3180" s="85">
        <v>110371</v>
      </c>
      <c r="F3180" s="86">
        <v>9388.1</v>
      </c>
      <c r="G3180" s="87">
        <v>8.5059480999999995</v>
      </c>
    </row>
    <row r="3181" spans="1:7" x14ac:dyDescent="0.25">
      <c r="A3181" s="84" t="s">
        <v>2122</v>
      </c>
      <c r="B3181" s="84" t="s">
        <v>132</v>
      </c>
      <c r="C3181" s="84" t="s">
        <v>283</v>
      </c>
      <c r="D3181" s="85">
        <v>6605</v>
      </c>
      <c r="E3181" s="85">
        <v>126660</v>
      </c>
      <c r="F3181" s="86">
        <v>13083</v>
      </c>
      <c r="G3181" s="87">
        <v>10.329228000000001</v>
      </c>
    </row>
    <row r="3182" spans="1:7" x14ac:dyDescent="0.25">
      <c r="A3182" s="84" t="s">
        <v>2123</v>
      </c>
      <c r="B3182" s="84" t="s">
        <v>132</v>
      </c>
      <c r="C3182" s="84" t="s">
        <v>283</v>
      </c>
      <c r="D3182" s="85">
        <v>4676</v>
      </c>
      <c r="E3182" s="85">
        <v>177319</v>
      </c>
      <c r="F3182" s="86">
        <v>15166</v>
      </c>
      <c r="G3182" s="87">
        <v>8.5529469000000002</v>
      </c>
    </row>
    <row r="3183" spans="1:7" x14ac:dyDescent="0.25">
      <c r="A3183" s="84" t="s">
        <v>2881</v>
      </c>
      <c r="B3183" s="84" t="s">
        <v>132</v>
      </c>
      <c r="C3183" s="84" t="s">
        <v>283</v>
      </c>
      <c r="D3183" s="85">
        <v>751</v>
      </c>
      <c r="E3183" s="85">
        <v>11039</v>
      </c>
      <c r="F3183" s="86">
        <v>1270</v>
      </c>
      <c r="G3183" s="87">
        <v>11.504664999999999</v>
      </c>
    </row>
    <row r="3184" spans="1:7" x14ac:dyDescent="0.25">
      <c r="A3184" s="84" t="s">
        <v>2882</v>
      </c>
      <c r="B3184" s="84" t="s">
        <v>132</v>
      </c>
      <c r="C3184" s="84" t="s">
        <v>283</v>
      </c>
      <c r="D3184" s="85">
        <v>1870</v>
      </c>
      <c r="E3184" s="85">
        <v>31091</v>
      </c>
      <c r="F3184" s="86">
        <v>3314.8</v>
      </c>
      <c r="G3184" s="87">
        <v>10.661606000000001</v>
      </c>
    </row>
    <row r="3185" spans="1:7" x14ac:dyDescent="0.25">
      <c r="A3185" s="84" t="s">
        <v>2124</v>
      </c>
      <c r="B3185" s="84" t="s">
        <v>132</v>
      </c>
      <c r="C3185" s="84" t="s">
        <v>283</v>
      </c>
      <c r="D3185" s="85">
        <v>8822</v>
      </c>
      <c r="E3185" s="85">
        <v>143178</v>
      </c>
      <c r="F3185" s="86">
        <v>14469.2</v>
      </c>
      <c r="G3185" s="87">
        <v>10.105743</v>
      </c>
    </row>
    <row r="3186" spans="1:7" x14ac:dyDescent="0.25">
      <c r="A3186" s="84" t="s">
        <v>2125</v>
      </c>
      <c r="B3186" s="84" t="s">
        <v>132</v>
      </c>
      <c r="C3186" s="84" t="s">
        <v>283</v>
      </c>
      <c r="D3186" s="85">
        <v>8959</v>
      </c>
      <c r="E3186" s="85">
        <v>145783</v>
      </c>
      <c r="F3186" s="86">
        <v>14406.6</v>
      </c>
      <c r="G3186" s="87">
        <v>9.8822221999999993</v>
      </c>
    </row>
    <row r="3187" spans="1:7" x14ac:dyDescent="0.25">
      <c r="A3187" s="84" t="s">
        <v>2126</v>
      </c>
      <c r="B3187" s="84" t="s">
        <v>132</v>
      </c>
      <c r="C3187" s="84" t="s">
        <v>283</v>
      </c>
      <c r="D3187" s="85">
        <v>1231</v>
      </c>
      <c r="E3187" s="85">
        <v>24044</v>
      </c>
      <c r="F3187" s="86">
        <v>2572.1999999999998</v>
      </c>
      <c r="G3187" s="87">
        <v>10.697887</v>
      </c>
    </row>
    <row r="3188" spans="1:7" x14ac:dyDescent="0.25">
      <c r="A3188" s="84" t="s">
        <v>2127</v>
      </c>
      <c r="B3188" s="84" t="s">
        <v>132</v>
      </c>
      <c r="C3188" s="84" t="s">
        <v>281</v>
      </c>
      <c r="D3188" s="85">
        <v>9266</v>
      </c>
      <c r="E3188" s="85">
        <v>196883</v>
      </c>
      <c r="F3188" s="86">
        <v>23455.7</v>
      </c>
      <c r="G3188" s="87">
        <v>11.913522</v>
      </c>
    </row>
    <row r="3189" spans="1:7" x14ac:dyDescent="0.25">
      <c r="A3189" s="84" t="s">
        <v>2128</v>
      </c>
      <c r="B3189" s="84" t="s">
        <v>132</v>
      </c>
      <c r="C3189" s="84" t="s">
        <v>278</v>
      </c>
      <c r="D3189" s="85">
        <v>104</v>
      </c>
      <c r="E3189" s="85">
        <v>959391</v>
      </c>
      <c r="F3189" s="86">
        <v>48507.5</v>
      </c>
      <c r="G3189" s="87">
        <v>5.0560720000000003</v>
      </c>
    </row>
    <row r="3190" spans="1:7" x14ac:dyDescent="0.25">
      <c r="A3190" s="84" t="s">
        <v>2129</v>
      </c>
      <c r="B3190" s="84" t="s">
        <v>132</v>
      </c>
      <c r="C3190" s="84" t="s">
        <v>278</v>
      </c>
      <c r="D3190" s="85">
        <v>11756</v>
      </c>
      <c r="E3190" s="85">
        <v>105201</v>
      </c>
      <c r="F3190" s="86">
        <v>13273</v>
      </c>
      <c r="G3190" s="87">
        <v>12.6168</v>
      </c>
    </row>
    <row r="3191" spans="1:7" x14ac:dyDescent="0.25">
      <c r="A3191" s="84" t="s">
        <v>2130</v>
      </c>
      <c r="B3191" s="84" t="s">
        <v>132</v>
      </c>
      <c r="C3191" s="84" t="s">
        <v>281</v>
      </c>
      <c r="D3191" s="85">
        <v>10057</v>
      </c>
      <c r="E3191" s="85">
        <v>214804</v>
      </c>
      <c r="F3191" s="86">
        <v>24881</v>
      </c>
      <c r="G3191" s="87">
        <v>11.583118000000001</v>
      </c>
    </row>
    <row r="3192" spans="1:7" x14ac:dyDescent="0.25">
      <c r="A3192" s="84" t="s">
        <v>1126</v>
      </c>
      <c r="B3192" s="84" t="s">
        <v>132</v>
      </c>
      <c r="C3192" s="84" t="s">
        <v>281</v>
      </c>
      <c r="D3192" s="85">
        <v>5271</v>
      </c>
      <c r="E3192" s="85">
        <v>53745</v>
      </c>
      <c r="F3192" s="86">
        <v>7674.2</v>
      </c>
      <c r="G3192" s="87">
        <v>14.27891</v>
      </c>
    </row>
    <row r="3193" spans="1:7" x14ac:dyDescent="0.25">
      <c r="A3193" s="84" t="s">
        <v>2131</v>
      </c>
      <c r="B3193" s="84" t="s">
        <v>132</v>
      </c>
      <c r="C3193" s="84" t="s">
        <v>281</v>
      </c>
      <c r="D3193" s="85">
        <v>11325</v>
      </c>
      <c r="E3193" s="85">
        <v>197462</v>
      </c>
      <c r="F3193" s="86">
        <v>25734</v>
      </c>
      <c r="G3193" s="87">
        <v>13.032381000000001</v>
      </c>
    </row>
    <row r="3194" spans="1:7" x14ac:dyDescent="0.25">
      <c r="A3194" s="84" t="s">
        <v>2132</v>
      </c>
      <c r="B3194" s="84" t="s">
        <v>132</v>
      </c>
      <c r="C3194" s="84" t="s">
        <v>283</v>
      </c>
      <c r="D3194" s="85">
        <v>1523</v>
      </c>
      <c r="E3194" s="85">
        <v>17010</v>
      </c>
      <c r="F3194" s="86">
        <v>2188.1</v>
      </c>
      <c r="G3194" s="87">
        <v>12.86361</v>
      </c>
    </row>
    <row r="3195" spans="1:7" x14ac:dyDescent="0.25">
      <c r="A3195" s="84" t="s">
        <v>2365</v>
      </c>
      <c r="B3195" s="84" t="s">
        <v>132</v>
      </c>
      <c r="C3195" s="84" t="s">
        <v>392</v>
      </c>
      <c r="D3195" s="85">
        <v>1</v>
      </c>
      <c r="E3195" s="85">
        <v>6119</v>
      </c>
      <c r="F3195" s="86">
        <v>630.70000000000005</v>
      </c>
      <c r="G3195" s="87">
        <v>10.30724</v>
      </c>
    </row>
    <row r="3196" spans="1:7" x14ac:dyDescent="0.25">
      <c r="A3196" s="84" t="s">
        <v>2133</v>
      </c>
      <c r="B3196" s="84" t="s">
        <v>132</v>
      </c>
      <c r="C3196" s="84" t="s">
        <v>283</v>
      </c>
      <c r="D3196" s="85">
        <v>7507</v>
      </c>
      <c r="E3196" s="85">
        <v>322633</v>
      </c>
      <c r="F3196" s="86">
        <v>25926.7</v>
      </c>
      <c r="G3196" s="87">
        <v>8.0359727999999997</v>
      </c>
    </row>
    <row r="3197" spans="1:7" x14ac:dyDescent="0.25">
      <c r="A3197" s="84" t="s">
        <v>2134</v>
      </c>
      <c r="B3197" s="84" t="s">
        <v>132</v>
      </c>
      <c r="C3197" s="84" t="s">
        <v>283</v>
      </c>
      <c r="D3197" s="85">
        <v>1576</v>
      </c>
      <c r="E3197" s="85">
        <v>18438</v>
      </c>
      <c r="F3197" s="86">
        <v>2329.6</v>
      </c>
      <c r="G3197" s="87">
        <v>12.634776</v>
      </c>
    </row>
    <row r="3198" spans="1:7" x14ac:dyDescent="0.25">
      <c r="A3198" s="84" t="s">
        <v>2135</v>
      </c>
      <c r="B3198" s="84" t="s">
        <v>132</v>
      </c>
      <c r="C3198" s="84" t="s">
        <v>281</v>
      </c>
      <c r="D3198" s="85">
        <v>7735</v>
      </c>
      <c r="E3198" s="85">
        <v>197275</v>
      </c>
      <c r="F3198" s="86">
        <v>21713</v>
      </c>
      <c r="G3198" s="87">
        <v>11.006463</v>
      </c>
    </row>
    <row r="3199" spans="1:7" x14ac:dyDescent="0.25">
      <c r="A3199" s="84" t="s">
        <v>2136</v>
      </c>
      <c r="B3199" s="84" t="s">
        <v>132</v>
      </c>
      <c r="C3199" s="84" t="s">
        <v>283</v>
      </c>
      <c r="D3199" s="85">
        <v>4136</v>
      </c>
      <c r="E3199" s="85">
        <v>96816</v>
      </c>
      <c r="F3199" s="86">
        <v>9376.5</v>
      </c>
      <c r="G3199" s="87">
        <v>9.6848661000000007</v>
      </c>
    </row>
    <row r="3200" spans="1:7" x14ac:dyDescent="0.25">
      <c r="A3200" s="84" t="s">
        <v>2137</v>
      </c>
      <c r="B3200" s="84" t="s">
        <v>132</v>
      </c>
      <c r="C3200" s="84" t="s">
        <v>281</v>
      </c>
      <c r="D3200" s="85">
        <v>9519</v>
      </c>
      <c r="E3200" s="85">
        <v>96695</v>
      </c>
      <c r="F3200" s="86">
        <v>14972.4</v>
      </c>
      <c r="G3200" s="87">
        <v>15.484151000000001</v>
      </c>
    </row>
    <row r="3201" spans="1:7" x14ac:dyDescent="0.25">
      <c r="A3201" s="84" t="s">
        <v>2138</v>
      </c>
      <c r="B3201" s="84" t="s">
        <v>132</v>
      </c>
      <c r="C3201" s="84" t="s">
        <v>283</v>
      </c>
      <c r="D3201" s="85">
        <v>1128</v>
      </c>
      <c r="E3201" s="85">
        <v>43558</v>
      </c>
      <c r="F3201" s="86">
        <v>3963.9</v>
      </c>
      <c r="G3201" s="87">
        <v>9.1002801000000009</v>
      </c>
    </row>
    <row r="3202" spans="1:7" x14ac:dyDescent="0.25">
      <c r="A3202" s="84" t="s">
        <v>2883</v>
      </c>
      <c r="B3202" s="84" t="s">
        <v>132</v>
      </c>
      <c r="C3202" s="84" t="s">
        <v>283</v>
      </c>
      <c r="D3202" s="85">
        <v>560</v>
      </c>
      <c r="E3202" s="85">
        <v>6486</v>
      </c>
      <c r="F3202" s="86">
        <v>676</v>
      </c>
      <c r="G3202" s="87">
        <v>10.422447999999999</v>
      </c>
    </row>
    <row r="3203" spans="1:7" x14ac:dyDescent="0.25">
      <c r="A3203" s="84" t="s">
        <v>2139</v>
      </c>
      <c r="B3203" s="84" t="s">
        <v>132</v>
      </c>
      <c r="C3203" s="84" t="s">
        <v>283</v>
      </c>
      <c r="D3203" s="85">
        <v>4210</v>
      </c>
      <c r="E3203" s="85">
        <v>62528</v>
      </c>
      <c r="F3203" s="86">
        <v>7476.2</v>
      </c>
      <c r="G3203" s="87">
        <v>11.956562999999999</v>
      </c>
    </row>
    <row r="3204" spans="1:7" x14ac:dyDescent="0.25">
      <c r="A3204" s="84" t="s">
        <v>401</v>
      </c>
      <c r="B3204" s="84" t="s">
        <v>132</v>
      </c>
      <c r="C3204" s="84" t="s">
        <v>392</v>
      </c>
      <c r="D3204" s="85">
        <v>3</v>
      </c>
      <c r="E3204" s="85">
        <v>505</v>
      </c>
      <c r="F3204" s="86">
        <v>39.4</v>
      </c>
      <c r="G3204" s="87">
        <v>7.8019802</v>
      </c>
    </row>
    <row r="3205" spans="1:7" x14ac:dyDescent="0.25">
      <c r="A3205" s="84" t="s">
        <v>2140</v>
      </c>
      <c r="B3205" s="84" t="s">
        <v>132</v>
      </c>
      <c r="C3205" s="84" t="s">
        <v>278</v>
      </c>
      <c r="D3205" s="85">
        <v>156833</v>
      </c>
      <c r="E3205" s="85">
        <v>3217067</v>
      </c>
      <c r="F3205" s="86">
        <v>393893</v>
      </c>
      <c r="G3205" s="87">
        <v>12.243854000000001</v>
      </c>
    </row>
    <row r="3206" spans="1:7" x14ac:dyDescent="0.25">
      <c r="A3206" s="84" t="s">
        <v>2141</v>
      </c>
      <c r="B3206" s="84" t="s">
        <v>132</v>
      </c>
      <c r="C3206" s="84" t="s">
        <v>283</v>
      </c>
      <c r="D3206" s="85">
        <v>18145</v>
      </c>
      <c r="E3206" s="85">
        <v>518927</v>
      </c>
      <c r="F3206" s="86">
        <v>41009</v>
      </c>
      <c r="G3206" s="87">
        <v>7.9026529999999999</v>
      </c>
    </row>
    <row r="3207" spans="1:7" x14ac:dyDescent="0.25">
      <c r="A3207" s="84" t="s">
        <v>2142</v>
      </c>
      <c r="B3207" s="84" t="s">
        <v>132</v>
      </c>
      <c r="C3207" s="84" t="s">
        <v>283</v>
      </c>
      <c r="D3207" s="85">
        <v>3926</v>
      </c>
      <c r="E3207" s="85">
        <v>174810</v>
      </c>
      <c r="F3207" s="86">
        <v>14824</v>
      </c>
      <c r="G3207" s="87">
        <v>8.4800640999999999</v>
      </c>
    </row>
    <row r="3208" spans="1:7" x14ac:dyDescent="0.25">
      <c r="A3208" s="84" t="s">
        <v>2143</v>
      </c>
      <c r="B3208" s="84" t="s">
        <v>132</v>
      </c>
      <c r="C3208" s="84" t="s">
        <v>278</v>
      </c>
      <c r="D3208" s="85">
        <v>5155</v>
      </c>
      <c r="E3208" s="85">
        <v>34858</v>
      </c>
      <c r="F3208" s="86">
        <v>5100.2</v>
      </c>
      <c r="G3208" s="87">
        <v>14.631361999999999</v>
      </c>
    </row>
    <row r="3209" spans="1:7" x14ac:dyDescent="0.25">
      <c r="A3209" s="84" t="s">
        <v>2390</v>
      </c>
      <c r="B3209" s="84" t="s">
        <v>132</v>
      </c>
      <c r="C3209" s="84" t="s">
        <v>278</v>
      </c>
      <c r="D3209" s="85">
        <v>252130</v>
      </c>
      <c r="E3209" s="85">
        <v>6650584</v>
      </c>
      <c r="F3209" s="86">
        <v>680718.9</v>
      </c>
      <c r="G3209" s="87">
        <v>10.235476</v>
      </c>
    </row>
    <row r="3210" spans="1:7" x14ac:dyDescent="0.25">
      <c r="A3210" s="84" t="s">
        <v>1154</v>
      </c>
      <c r="B3210" s="84" t="s">
        <v>132</v>
      </c>
      <c r="C3210" s="84" t="s">
        <v>278</v>
      </c>
      <c r="D3210" s="85">
        <v>13249</v>
      </c>
      <c r="E3210" s="85">
        <v>173790</v>
      </c>
      <c r="F3210" s="86">
        <v>20887.400000000001</v>
      </c>
      <c r="G3210" s="87">
        <v>12.018758</v>
      </c>
    </row>
    <row r="3211" spans="1:7" x14ac:dyDescent="0.25">
      <c r="A3211" s="84" t="s">
        <v>2144</v>
      </c>
      <c r="B3211" s="84" t="s">
        <v>132</v>
      </c>
      <c r="C3211" s="84" t="s">
        <v>281</v>
      </c>
      <c r="D3211" s="85">
        <v>17036</v>
      </c>
      <c r="E3211" s="85">
        <v>347036</v>
      </c>
      <c r="F3211" s="86">
        <v>39817</v>
      </c>
      <c r="G3211" s="87">
        <v>11.473449</v>
      </c>
    </row>
    <row r="3212" spans="1:7" x14ac:dyDescent="0.25">
      <c r="A3212" s="84" t="s">
        <v>2145</v>
      </c>
      <c r="B3212" s="84" t="s">
        <v>132</v>
      </c>
      <c r="C3212" s="84" t="s">
        <v>283</v>
      </c>
      <c r="D3212" s="85">
        <v>10064</v>
      </c>
      <c r="E3212" s="85">
        <v>222470</v>
      </c>
      <c r="F3212" s="86">
        <v>23267.8</v>
      </c>
      <c r="G3212" s="87">
        <v>10.458848</v>
      </c>
    </row>
    <row r="3213" spans="1:7" x14ac:dyDescent="0.25">
      <c r="A3213" s="84" t="s">
        <v>2146</v>
      </c>
      <c r="B3213" s="84" t="s">
        <v>132</v>
      </c>
      <c r="C3213" s="84" t="s">
        <v>281</v>
      </c>
      <c r="D3213" s="85">
        <v>9904</v>
      </c>
      <c r="E3213" s="85">
        <v>114259</v>
      </c>
      <c r="F3213" s="86">
        <v>15709</v>
      </c>
      <c r="G3213" s="87">
        <v>13.748589000000001</v>
      </c>
    </row>
    <row r="3214" spans="1:7" x14ac:dyDescent="0.25">
      <c r="A3214" s="84" t="s">
        <v>2147</v>
      </c>
      <c r="B3214" s="84" t="s">
        <v>132</v>
      </c>
      <c r="C3214" s="84" t="s">
        <v>283</v>
      </c>
      <c r="D3214" s="85">
        <v>1637</v>
      </c>
      <c r="E3214" s="85">
        <v>26229</v>
      </c>
      <c r="F3214" s="86">
        <v>3065.8</v>
      </c>
      <c r="G3214" s="87">
        <v>11.688589</v>
      </c>
    </row>
    <row r="3215" spans="1:7" x14ac:dyDescent="0.25">
      <c r="A3215" s="84" t="s">
        <v>2148</v>
      </c>
      <c r="B3215" s="84" t="s">
        <v>132</v>
      </c>
      <c r="C3215" s="84" t="s">
        <v>281</v>
      </c>
      <c r="D3215" s="85">
        <v>7633</v>
      </c>
      <c r="E3215" s="85">
        <v>120799</v>
      </c>
      <c r="F3215" s="86">
        <v>17707.8</v>
      </c>
      <c r="G3215" s="87">
        <v>14.658896</v>
      </c>
    </row>
    <row r="3216" spans="1:7" x14ac:dyDescent="0.25">
      <c r="A3216" s="84" t="s">
        <v>2149</v>
      </c>
      <c r="B3216" s="84" t="s">
        <v>132</v>
      </c>
      <c r="C3216" s="84" t="s">
        <v>278</v>
      </c>
      <c r="D3216" s="85">
        <v>2151</v>
      </c>
      <c r="E3216" s="85">
        <v>17044</v>
      </c>
      <c r="F3216" s="86">
        <v>2602</v>
      </c>
      <c r="G3216" s="87">
        <v>15.266368999999999</v>
      </c>
    </row>
    <row r="3217" spans="1:7" x14ac:dyDescent="0.25">
      <c r="A3217" s="84" t="s">
        <v>2150</v>
      </c>
      <c r="B3217" s="84" t="s">
        <v>132</v>
      </c>
      <c r="C3217" s="84" t="s">
        <v>281</v>
      </c>
      <c r="D3217" s="85">
        <v>20800</v>
      </c>
      <c r="E3217" s="85">
        <v>236611</v>
      </c>
      <c r="F3217" s="86">
        <v>32950.400000000001</v>
      </c>
      <c r="G3217" s="87">
        <v>13.925979999999999</v>
      </c>
    </row>
    <row r="3218" spans="1:7" x14ac:dyDescent="0.25">
      <c r="A3218" s="84" t="s">
        <v>2151</v>
      </c>
      <c r="B3218" s="84" t="s">
        <v>132</v>
      </c>
      <c r="C3218" s="84" t="s">
        <v>281</v>
      </c>
      <c r="D3218" s="85">
        <v>9240</v>
      </c>
      <c r="E3218" s="85">
        <v>67543</v>
      </c>
      <c r="F3218" s="86">
        <v>13393.9</v>
      </c>
      <c r="G3218" s="87">
        <v>19.830182000000001</v>
      </c>
    </row>
    <row r="3219" spans="1:7" x14ac:dyDescent="0.25">
      <c r="A3219" s="84" t="s">
        <v>2152</v>
      </c>
      <c r="B3219" s="84" t="s">
        <v>132</v>
      </c>
      <c r="C3219" s="84" t="s">
        <v>283</v>
      </c>
      <c r="D3219" s="85">
        <v>5129</v>
      </c>
      <c r="E3219" s="85">
        <v>234604</v>
      </c>
      <c r="F3219" s="86">
        <v>22122.9</v>
      </c>
      <c r="G3219" s="87">
        <v>9.4298903999999997</v>
      </c>
    </row>
    <row r="3220" spans="1:7" x14ac:dyDescent="0.25">
      <c r="A3220" s="84" t="s">
        <v>2153</v>
      </c>
      <c r="B3220" s="84" t="s">
        <v>132</v>
      </c>
      <c r="C3220" s="84" t="s">
        <v>283</v>
      </c>
      <c r="D3220" s="85">
        <v>5988</v>
      </c>
      <c r="E3220" s="85">
        <v>159181</v>
      </c>
      <c r="F3220" s="86">
        <v>14349</v>
      </c>
      <c r="G3220" s="87">
        <v>9.0142667999999997</v>
      </c>
    </row>
    <row r="3221" spans="1:7" x14ac:dyDescent="0.25">
      <c r="A3221" s="84" t="s">
        <v>2884</v>
      </c>
      <c r="B3221" s="84" t="s">
        <v>132</v>
      </c>
      <c r="C3221" s="84" t="s">
        <v>281</v>
      </c>
      <c r="D3221" s="85">
        <v>3769</v>
      </c>
      <c r="E3221" s="85">
        <v>48368</v>
      </c>
      <c r="F3221" s="86">
        <v>7929</v>
      </c>
      <c r="G3221" s="87">
        <v>16.393070000000002</v>
      </c>
    </row>
    <row r="3222" spans="1:7" x14ac:dyDescent="0.25">
      <c r="A3222" s="84" t="s">
        <v>2154</v>
      </c>
      <c r="B3222" s="84" t="s">
        <v>132</v>
      </c>
      <c r="C3222" s="84" t="s">
        <v>281</v>
      </c>
      <c r="D3222" s="85">
        <v>18259</v>
      </c>
      <c r="E3222" s="85">
        <v>281108</v>
      </c>
      <c r="F3222" s="86">
        <v>37615.800000000003</v>
      </c>
      <c r="G3222" s="87">
        <v>13.381263000000001</v>
      </c>
    </row>
    <row r="3223" spans="1:7" x14ac:dyDescent="0.25">
      <c r="A3223" s="84" t="s">
        <v>783</v>
      </c>
      <c r="B3223" s="84" t="s">
        <v>132</v>
      </c>
      <c r="C3223" s="84" t="s">
        <v>281</v>
      </c>
      <c r="D3223" s="85">
        <v>7480</v>
      </c>
      <c r="E3223" s="85">
        <v>303747</v>
      </c>
      <c r="F3223" s="86">
        <v>23649</v>
      </c>
      <c r="G3223" s="87">
        <v>7.7857558999999998</v>
      </c>
    </row>
    <row r="3224" spans="1:7" x14ac:dyDescent="0.25">
      <c r="A3224" s="84" t="s">
        <v>785</v>
      </c>
      <c r="B3224" s="84" t="s">
        <v>132</v>
      </c>
      <c r="C3224" s="84" t="s">
        <v>281</v>
      </c>
      <c r="D3224" s="85">
        <v>14188</v>
      </c>
      <c r="E3224" s="85">
        <v>226924</v>
      </c>
      <c r="F3224" s="86">
        <v>30024</v>
      </c>
      <c r="G3224" s="87">
        <v>13.230861000000001</v>
      </c>
    </row>
    <row r="3225" spans="1:7" x14ac:dyDescent="0.25">
      <c r="A3225" s="84" t="s">
        <v>2155</v>
      </c>
      <c r="B3225" s="84" t="s">
        <v>132</v>
      </c>
      <c r="C3225" s="84" t="s">
        <v>283</v>
      </c>
      <c r="D3225" s="85">
        <v>5721</v>
      </c>
      <c r="E3225" s="85">
        <v>286755</v>
      </c>
      <c r="F3225" s="86">
        <v>22490</v>
      </c>
      <c r="G3225" s="87">
        <v>7.8429320999999996</v>
      </c>
    </row>
    <row r="3226" spans="1:7" x14ac:dyDescent="0.25">
      <c r="A3226" s="84" t="s">
        <v>2156</v>
      </c>
      <c r="B3226" s="84" t="s">
        <v>132</v>
      </c>
      <c r="C3226" s="84" t="s">
        <v>283</v>
      </c>
      <c r="D3226" s="85">
        <v>2547</v>
      </c>
      <c r="E3226" s="85">
        <v>39839</v>
      </c>
      <c r="F3226" s="86">
        <v>4386.3</v>
      </c>
      <c r="G3226" s="87">
        <v>11.010066</v>
      </c>
    </row>
    <row r="3227" spans="1:7" x14ac:dyDescent="0.25">
      <c r="A3227" s="84" t="s">
        <v>2157</v>
      </c>
      <c r="B3227" s="84" t="s">
        <v>132</v>
      </c>
      <c r="C3227" s="84" t="s">
        <v>281</v>
      </c>
      <c r="D3227" s="85">
        <v>10916</v>
      </c>
      <c r="E3227" s="85">
        <v>192517</v>
      </c>
      <c r="F3227" s="86">
        <v>22881</v>
      </c>
      <c r="G3227" s="87">
        <v>11.885184000000001</v>
      </c>
    </row>
    <row r="3228" spans="1:7" x14ac:dyDescent="0.25">
      <c r="A3228" s="84" t="s">
        <v>2158</v>
      </c>
      <c r="B3228" s="84" t="s">
        <v>132</v>
      </c>
      <c r="C3228" s="84" t="s">
        <v>283</v>
      </c>
      <c r="D3228" s="85">
        <v>16401</v>
      </c>
      <c r="E3228" s="85">
        <v>285309</v>
      </c>
      <c r="F3228" s="86">
        <v>26788</v>
      </c>
      <c r="G3228" s="87">
        <v>9.3891185000000004</v>
      </c>
    </row>
    <row r="3229" spans="1:7" x14ac:dyDescent="0.25">
      <c r="A3229" s="84" t="s">
        <v>2437</v>
      </c>
      <c r="B3229" s="84" t="s">
        <v>132</v>
      </c>
      <c r="C3229" s="84" t="s">
        <v>278</v>
      </c>
      <c r="D3229" s="85">
        <v>14952</v>
      </c>
      <c r="E3229" s="85">
        <v>784218</v>
      </c>
      <c r="F3229" s="86">
        <v>57897</v>
      </c>
      <c r="G3229" s="87">
        <v>7.3827686000000003</v>
      </c>
    </row>
    <row r="3230" spans="1:7" x14ac:dyDescent="0.25">
      <c r="A3230" s="84" t="s">
        <v>2160</v>
      </c>
      <c r="B3230" s="84" t="s">
        <v>132</v>
      </c>
      <c r="C3230" s="84" t="s">
        <v>281</v>
      </c>
      <c r="D3230" s="85">
        <v>4414</v>
      </c>
      <c r="E3230" s="85">
        <v>69237</v>
      </c>
      <c r="F3230" s="86">
        <v>9750.2999999999993</v>
      </c>
      <c r="G3230" s="87">
        <v>14.082499</v>
      </c>
    </row>
    <row r="3231" spans="1:7" x14ac:dyDescent="0.25">
      <c r="A3231" s="84" t="s">
        <v>2161</v>
      </c>
      <c r="B3231" s="84" t="s">
        <v>132</v>
      </c>
      <c r="C3231" s="84" t="s">
        <v>283</v>
      </c>
      <c r="D3231" s="85">
        <v>6293</v>
      </c>
      <c r="E3231" s="85">
        <v>79997</v>
      </c>
      <c r="F3231" s="86">
        <v>8329.9</v>
      </c>
      <c r="G3231" s="87">
        <v>10.412765</v>
      </c>
    </row>
    <row r="3232" spans="1:7" x14ac:dyDescent="0.25">
      <c r="A3232" s="84" t="s">
        <v>2162</v>
      </c>
      <c r="B3232" s="84" t="s">
        <v>132</v>
      </c>
      <c r="C3232" s="84" t="s">
        <v>281</v>
      </c>
      <c r="D3232" s="85">
        <v>11237</v>
      </c>
      <c r="E3232" s="85">
        <v>152189</v>
      </c>
      <c r="F3232" s="86">
        <v>21550</v>
      </c>
      <c r="G3232" s="87">
        <v>14.160024999999999</v>
      </c>
    </row>
    <row r="3233" spans="1:7" x14ac:dyDescent="0.25">
      <c r="A3233" s="84" t="s">
        <v>2163</v>
      </c>
      <c r="B3233" s="84" t="s">
        <v>132</v>
      </c>
      <c r="C3233" s="84" t="s">
        <v>283</v>
      </c>
      <c r="D3233" s="85">
        <v>1980</v>
      </c>
      <c r="E3233" s="85">
        <v>25930</v>
      </c>
      <c r="F3233" s="86">
        <v>2900.7</v>
      </c>
      <c r="G3233" s="87">
        <v>11.186655999999999</v>
      </c>
    </row>
    <row r="3234" spans="1:7" x14ac:dyDescent="0.25">
      <c r="A3234" s="84" t="s">
        <v>2885</v>
      </c>
      <c r="B3234" s="84" t="s">
        <v>132</v>
      </c>
      <c r="C3234" s="84" t="s">
        <v>283</v>
      </c>
      <c r="D3234" s="85">
        <v>575</v>
      </c>
      <c r="E3234" s="85">
        <v>23528</v>
      </c>
      <c r="F3234" s="86">
        <v>1943</v>
      </c>
      <c r="G3234" s="87">
        <v>8.2582454999999992</v>
      </c>
    </row>
    <row r="3235" spans="1:7" x14ac:dyDescent="0.25">
      <c r="A3235" s="84" t="s">
        <v>2886</v>
      </c>
      <c r="B3235" s="84" t="s">
        <v>132</v>
      </c>
      <c r="C3235" s="84" t="s">
        <v>283</v>
      </c>
      <c r="D3235" s="85">
        <v>537</v>
      </c>
      <c r="E3235" s="85">
        <v>5460</v>
      </c>
      <c r="F3235" s="86">
        <v>664</v>
      </c>
      <c r="G3235" s="87">
        <v>12.161172000000001</v>
      </c>
    </row>
    <row r="3236" spans="1:7" x14ac:dyDescent="0.25">
      <c r="A3236" s="84" t="s">
        <v>2887</v>
      </c>
      <c r="B3236" s="84" t="s">
        <v>132</v>
      </c>
      <c r="C3236" s="84" t="s">
        <v>283</v>
      </c>
      <c r="D3236" s="85">
        <v>1396</v>
      </c>
      <c r="E3236" s="85">
        <v>15659</v>
      </c>
      <c r="F3236" s="86">
        <v>2050</v>
      </c>
      <c r="G3236" s="87">
        <v>13.091513000000001</v>
      </c>
    </row>
    <row r="3237" spans="1:7" x14ac:dyDescent="0.25">
      <c r="A3237" s="84" t="s">
        <v>2888</v>
      </c>
      <c r="B3237" s="84" t="s">
        <v>132</v>
      </c>
      <c r="C3237" s="84" t="s">
        <v>283</v>
      </c>
      <c r="D3237" s="85">
        <v>825</v>
      </c>
      <c r="E3237" s="85">
        <v>12758</v>
      </c>
      <c r="F3237" s="86">
        <v>1490</v>
      </c>
      <c r="G3237" s="87">
        <v>11.678947000000001</v>
      </c>
    </row>
    <row r="3238" spans="1:7" x14ac:dyDescent="0.25">
      <c r="A3238" s="84" t="s">
        <v>2889</v>
      </c>
      <c r="B3238" s="84" t="s">
        <v>132</v>
      </c>
      <c r="C3238" s="84" t="s">
        <v>283</v>
      </c>
      <c r="D3238" s="85">
        <v>581</v>
      </c>
      <c r="E3238" s="85">
        <v>16532</v>
      </c>
      <c r="F3238" s="86">
        <v>1421</v>
      </c>
      <c r="G3238" s="87">
        <v>8.5954511999999994</v>
      </c>
    </row>
    <row r="3239" spans="1:7" x14ac:dyDescent="0.25">
      <c r="A3239" s="84" t="s">
        <v>2890</v>
      </c>
      <c r="B3239" s="84" t="s">
        <v>132</v>
      </c>
      <c r="C3239" s="84" t="s">
        <v>283</v>
      </c>
      <c r="D3239" s="85">
        <v>1186</v>
      </c>
      <c r="E3239" s="85">
        <v>25040</v>
      </c>
      <c r="F3239" s="86">
        <v>2689</v>
      </c>
      <c r="G3239" s="87">
        <v>10.738818</v>
      </c>
    </row>
    <row r="3240" spans="1:7" x14ac:dyDescent="0.25">
      <c r="A3240" s="84" t="s">
        <v>2891</v>
      </c>
      <c r="B3240" s="84" t="s">
        <v>132</v>
      </c>
      <c r="C3240" s="84" t="s">
        <v>283</v>
      </c>
      <c r="D3240" s="85">
        <v>650</v>
      </c>
      <c r="E3240" s="85">
        <v>8139</v>
      </c>
      <c r="F3240" s="86">
        <v>995</v>
      </c>
      <c r="G3240" s="87">
        <v>12.225089000000001</v>
      </c>
    </row>
    <row r="3241" spans="1:7" x14ac:dyDescent="0.25">
      <c r="A3241" s="84" t="s">
        <v>2892</v>
      </c>
      <c r="B3241" s="84" t="s">
        <v>132</v>
      </c>
      <c r="C3241" s="84" t="s">
        <v>283</v>
      </c>
      <c r="D3241" s="85">
        <v>953</v>
      </c>
      <c r="E3241" s="85">
        <v>41728</v>
      </c>
      <c r="F3241" s="86">
        <v>4322</v>
      </c>
      <c r="G3241" s="87">
        <v>10.357554</v>
      </c>
    </row>
    <row r="3242" spans="1:7" x14ac:dyDescent="0.25">
      <c r="A3242" s="84" t="s">
        <v>2893</v>
      </c>
      <c r="B3242" s="84" t="s">
        <v>132</v>
      </c>
      <c r="C3242" s="84" t="s">
        <v>283</v>
      </c>
      <c r="D3242" s="85">
        <v>424</v>
      </c>
      <c r="E3242" s="85">
        <v>4002</v>
      </c>
      <c r="F3242" s="86">
        <v>330</v>
      </c>
      <c r="G3242" s="87">
        <v>8.2458770999999995</v>
      </c>
    </row>
    <row r="3243" spans="1:7" x14ac:dyDescent="0.25">
      <c r="A3243" s="84" t="s">
        <v>2164</v>
      </c>
      <c r="B3243" s="84" t="s">
        <v>132</v>
      </c>
      <c r="C3243" s="84" t="s">
        <v>283</v>
      </c>
      <c r="D3243" s="85">
        <v>3925</v>
      </c>
      <c r="E3243" s="85">
        <v>55128</v>
      </c>
      <c r="F3243" s="86">
        <v>5910</v>
      </c>
      <c r="G3243" s="87">
        <v>10.720504999999999</v>
      </c>
    </row>
    <row r="3244" spans="1:7" x14ac:dyDescent="0.25">
      <c r="A3244" s="84" t="s">
        <v>2165</v>
      </c>
      <c r="B3244" s="84" t="s">
        <v>132</v>
      </c>
      <c r="C3244" s="84" t="s">
        <v>283</v>
      </c>
      <c r="D3244" s="85">
        <v>1087</v>
      </c>
      <c r="E3244" s="85">
        <v>56236</v>
      </c>
      <c r="F3244" s="86">
        <v>4808.3999999999996</v>
      </c>
      <c r="G3244" s="87">
        <v>8.5503947999999994</v>
      </c>
    </row>
    <row r="3245" spans="1:7" x14ac:dyDescent="0.25">
      <c r="A3245" s="84" t="s">
        <v>2166</v>
      </c>
      <c r="B3245" s="84" t="s">
        <v>132</v>
      </c>
      <c r="C3245" s="84" t="s">
        <v>283</v>
      </c>
      <c r="D3245" s="85">
        <v>1367</v>
      </c>
      <c r="E3245" s="85">
        <v>24171</v>
      </c>
      <c r="F3245" s="86">
        <v>2502.9</v>
      </c>
      <c r="G3245" s="87">
        <v>10.354971000000001</v>
      </c>
    </row>
    <row r="3246" spans="1:7" x14ac:dyDescent="0.25">
      <c r="A3246" s="84" t="s">
        <v>2894</v>
      </c>
      <c r="B3246" s="84" t="s">
        <v>132</v>
      </c>
      <c r="C3246" s="84" t="s">
        <v>283</v>
      </c>
      <c r="D3246" s="85">
        <v>1317</v>
      </c>
      <c r="E3246" s="85">
        <v>20489</v>
      </c>
      <c r="F3246" s="86">
        <v>2406</v>
      </c>
      <c r="G3246" s="87">
        <v>11.742886</v>
      </c>
    </row>
    <row r="3247" spans="1:7" x14ac:dyDescent="0.25">
      <c r="A3247" s="84" t="s">
        <v>2167</v>
      </c>
      <c r="B3247" s="84" t="s">
        <v>132</v>
      </c>
      <c r="C3247" s="84" t="s">
        <v>283</v>
      </c>
      <c r="D3247" s="85">
        <v>2169</v>
      </c>
      <c r="E3247" s="85">
        <v>48757</v>
      </c>
      <c r="F3247" s="86">
        <v>4940.1000000000004</v>
      </c>
      <c r="G3247" s="87">
        <v>10.132084000000001</v>
      </c>
    </row>
    <row r="3248" spans="1:7" x14ac:dyDescent="0.25">
      <c r="A3248" s="84" t="s">
        <v>2895</v>
      </c>
      <c r="B3248" s="84" t="s">
        <v>132</v>
      </c>
      <c r="C3248" s="84" t="s">
        <v>283</v>
      </c>
      <c r="D3248" s="85">
        <v>1908</v>
      </c>
      <c r="E3248" s="85">
        <v>31437</v>
      </c>
      <c r="F3248" s="86">
        <v>3700.6</v>
      </c>
      <c r="G3248" s="87">
        <v>11.771478999999999</v>
      </c>
    </row>
    <row r="3249" spans="1:7" x14ac:dyDescent="0.25">
      <c r="A3249" s="84" t="s">
        <v>2896</v>
      </c>
      <c r="B3249" s="84" t="s">
        <v>132</v>
      </c>
      <c r="C3249" s="84" t="s">
        <v>283</v>
      </c>
      <c r="D3249" s="85">
        <v>876</v>
      </c>
      <c r="E3249" s="85">
        <v>17334</v>
      </c>
      <c r="F3249" s="86">
        <v>1661</v>
      </c>
      <c r="G3249" s="87">
        <v>9.5823237999999993</v>
      </c>
    </row>
    <row r="3250" spans="1:7" x14ac:dyDescent="0.25">
      <c r="A3250" s="84" t="s">
        <v>2897</v>
      </c>
      <c r="B3250" s="84" t="s">
        <v>132</v>
      </c>
      <c r="C3250" s="84" t="s">
        <v>283</v>
      </c>
      <c r="D3250" s="85">
        <v>1381</v>
      </c>
      <c r="E3250" s="85">
        <v>15364</v>
      </c>
      <c r="F3250" s="86">
        <v>2137.1999999999998</v>
      </c>
      <c r="G3250" s="87">
        <v>13.910439999999999</v>
      </c>
    </row>
    <row r="3251" spans="1:7" x14ac:dyDescent="0.25">
      <c r="A3251" s="84" t="s">
        <v>2898</v>
      </c>
      <c r="B3251" s="84" t="s">
        <v>132</v>
      </c>
      <c r="C3251" s="84" t="s">
        <v>283</v>
      </c>
      <c r="D3251" s="85">
        <v>410</v>
      </c>
      <c r="E3251" s="85">
        <v>4647</v>
      </c>
      <c r="F3251" s="86">
        <v>476</v>
      </c>
      <c r="G3251" s="87">
        <v>10.243168000000001</v>
      </c>
    </row>
    <row r="3252" spans="1:7" x14ac:dyDescent="0.25">
      <c r="A3252" s="84" t="s">
        <v>2168</v>
      </c>
      <c r="B3252" s="84" t="s">
        <v>132</v>
      </c>
      <c r="C3252" s="84" t="s">
        <v>283</v>
      </c>
      <c r="D3252" s="85">
        <v>6531</v>
      </c>
      <c r="E3252" s="85">
        <v>118605</v>
      </c>
      <c r="F3252" s="86">
        <v>12189.5</v>
      </c>
      <c r="G3252" s="87">
        <v>10.277391</v>
      </c>
    </row>
    <row r="3253" spans="1:7" x14ac:dyDescent="0.25">
      <c r="A3253" s="84" t="s">
        <v>2899</v>
      </c>
      <c r="B3253" s="84" t="s">
        <v>132</v>
      </c>
      <c r="C3253" s="84" t="s">
        <v>281</v>
      </c>
      <c r="D3253" s="85">
        <v>1079</v>
      </c>
      <c r="E3253" s="85">
        <v>9431</v>
      </c>
      <c r="F3253" s="86">
        <v>1407</v>
      </c>
      <c r="G3253" s="87">
        <v>14.918885</v>
      </c>
    </row>
    <row r="3254" spans="1:7" x14ac:dyDescent="0.25">
      <c r="A3254" s="84" t="s">
        <v>2169</v>
      </c>
      <c r="B3254" s="84" t="s">
        <v>132</v>
      </c>
      <c r="C3254" s="84" t="s">
        <v>283</v>
      </c>
      <c r="D3254" s="85">
        <v>1834</v>
      </c>
      <c r="E3254" s="85">
        <v>36838</v>
      </c>
      <c r="F3254" s="86">
        <v>3743.8</v>
      </c>
      <c r="G3254" s="87">
        <v>10.162875</v>
      </c>
    </row>
    <row r="3255" spans="1:7" x14ac:dyDescent="0.25">
      <c r="A3255" s="84" t="s">
        <v>2170</v>
      </c>
      <c r="B3255" s="84" t="s">
        <v>132</v>
      </c>
      <c r="C3255" s="84" t="s">
        <v>283</v>
      </c>
      <c r="D3255" s="85">
        <v>4410</v>
      </c>
      <c r="E3255" s="85">
        <v>107504</v>
      </c>
      <c r="F3255" s="86">
        <v>9690.6</v>
      </c>
      <c r="G3255" s="87">
        <v>9.0141761999999996</v>
      </c>
    </row>
    <row r="3256" spans="1:7" x14ac:dyDescent="0.25">
      <c r="A3256" s="84" t="s">
        <v>2438</v>
      </c>
      <c r="B3256" s="84" t="s">
        <v>132</v>
      </c>
      <c r="C3256" s="84" t="s">
        <v>278</v>
      </c>
      <c r="D3256" s="85">
        <v>847</v>
      </c>
      <c r="E3256" s="85">
        <v>11633</v>
      </c>
      <c r="F3256" s="86">
        <v>1776</v>
      </c>
      <c r="G3256" s="87">
        <v>15.266913000000001</v>
      </c>
    </row>
    <row r="3257" spans="1:7" x14ac:dyDescent="0.25">
      <c r="A3257" s="84" t="s">
        <v>2172</v>
      </c>
      <c r="B3257" s="84" t="s">
        <v>132</v>
      </c>
      <c r="C3257" s="84" t="s">
        <v>283</v>
      </c>
      <c r="D3257" s="85">
        <v>984</v>
      </c>
      <c r="E3257" s="85">
        <v>35197</v>
      </c>
      <c r="F3257" s="86">
        <v>3351.6</v>
      </c>
      <c r="G3257" s="87">
        <v>9.5224025000000001</v>
      </c>
    </row>
    <row r="3258" spans="1:7" x14ac:dyDescent="0.25">
      <c r="A3258" s="84" t="s">
        <v>2900</v>
      </c>
      <c r="B3258" s="84" t="s">
        <v>132</v>
      </c>
      <c r="C3258" s="84" t="s">
        <v>283</v>
      </c>
      <c r="D3258" s="85">
        <v>2116</v>
      </c>
      <c r="E3258" s="85">
        <v>68730</v>
      </c>
      <c r="F3258" s="86">
        <v>6920</v>
      </c>
      <c r="G3258" s="87">
        <v>10.068384</v>
      </c>
    </row>
    <row r="3259" spans="1:7" x14ac:dyDescent="0.25">
      <c r="A3259" s="84" t="s">
        <v>1069</v>
      </c>
      <c r="B3259" s="84" t="s">
        <v>132</v>
      </c>
      <c r="C3259" s="84" t="s">
        <v>278</v>
      </c>
      <c r="D3259" s="85">
        <v>1138054</v>
      </c>
      <c r="E3259" s="85">
        <v>23557333</v>
      </c>
      <c r="F3259" s="86">
        <v>2804381.6</v>
      </c>
      <c r="G3259" s="87">
        <v>11.904495000000001</v>
      </c>
    </row>
    <row r="3260" spans="1:7" x14ac:dyDescent="0.25">
      <c r="A3260" s="84" t="s">
        <v>2173</v>
      </c>
      <c r="B3260" s="84" t="s">
        <v>132</v>
      </c>
      <c r="C3260" s="84" t="s">
        <v>278</v>
      </c>
      <c r="D3260" s="85">
        <v>475545</v>
      </c>
      <c r="E3260" s="85">
        <v>11017009</v>
      </c>
      <c r="F3260" s="86">
        <v>1141881</v>
      </c>
      <c r="G3260" s="87">
        <v>10.364710000000001</v>
      </c>
    </row>
    <row r="3261" spans="1:7" x14ac:dyDescent="0.25">
      <c r="A3261" s="84" t="s">
        <v>2174</v>
      </c>
      <c r="B3261" s="84" t="s">
        <v>132</v>
      </c>
      <c r="C3261" s="84" t="s">
        <v>278</v>
      </c>
      <c r="D3261" s="85">
        <v>447493</v>
      </c>
      <c r="E3261" s="85">
        <v>10758317</v>
      </c>
      <c r="F3261" s="86">
        <v>961330.6</v>
      </c>
      <c r="G3261" s="87">
        <v>8.9356968999999999</v>
      </c>
    </row>
    <row r="3262" spans="1:7" x14ac:dyDescent="0.25">
      <c r="A3262" s="84" t="s">
        <v>2175</v>
      </c>
      <c r="B3262" s="84" t="s">
        <v>132</v>
      </c>
      <c r="C3262" s="84" t="s">
        <v>283</v>
      </c>
      <c r="D3262" s="85">
        <v>14847</v>
      </c>
      <c r="E3262" s="85">
        <v>261225</v>
      </c>
      <c r="F3262" s="86">
        <v>25416</v>
      </c>
      <c r="G3262" s="87">
        <v>9.7295435000000001</v>
      </c>
    </row>
    <row r="3263" spans="1:7" x14ac:dyDescent="0.25">
      <c r="A3263" s="84" t="s">
        <v>2901</v>
      </c>
      <c r="B3263" s="84" t="s">
        <v>132</v>
      </c>
      <c r="C3263" s="84" t="s">
        <v>283</v>
      </c>
      <c r="D3263" s="85">
        <v>407</v>
      </c>
      <c r="E3263" s="85">
        <v>4503</v>
      </c>
      <c r="F3263" s="86">
        <v>464.6</v>
      </c>
      <c r="G3263" s="87">
        <v>10.317565999999999</v>
      </c>
    </row>
    <row r="3264" spans="1:7" x14ac:dyDescent="0.25">
      <c r="A3264" s="84" t="s">
        <v>2023</v>
      </c>
      <c r="B3264" s="84" t="s">
        <v>129</v>
      </c>
      <c r="C3264" s="84" t="s">
        <v>278</v>
      </c>
      <c r="D3264" s="85">
        <v>421583</v>
      </c>
      <c r="E3264" s="85">
        <v>12741119</v>
      </c>
      <c r="F3264" s="86">
        <v>1178815</v>
      </c>
      <c r="G3264" s="87">
        <v>9.2520524000000002</v>
      </c>
    </row>
    <row r="3265" spans="1:7" x14ac:dyDescent="0.25">
      <c r="A3265" s="84" t="s">
        <v>2176</v>
      </c>
      <c r="B3265" s="84" t="s">
        <v>129</v>
      </c>
      <c r="C3265" s="84" t="s">
        <v>278</v>
      </c>
      <c r="D3265" s="85">
        <v>3956</v>
      </c>
      <c r="E3265" s="85">
        <v>51113</v>
      </c>
      <c r="F3265" s="86">
        <v>6446</v>
      </c>
      <c r="G3265" s="87">
        <v>12.611273000000001</v>
      </c>
    </row>
    <row r="3266" spans="1:7" x14ac:dyDescent="0.25">
      <c r="A3266" s="84" t="s">
        <v>2902</v>
      </c>
      <c r="B3266" s="84" t="s">
        <v>129</v>
      </c>
      <c r="C3266" s="84" t="s">
        <v>283</v>
      </c>
      <c r="D3266" s="85">
        <v>1809</v>
      </c>
      <c r="E3266" s="85">
        <v>30585</v>
      </c>
      <c r="F3266" s="86">
        <v>4490</v>
      </c>
      <c r="G3266" s="87">
        <v>14.680399</v>
      </c>
    </row>
    <row r="3267" spans="1:7" x14ac:dyDescent="0.25">
      <c r="A3267" s="84" t="s">
        <v>2035</v>
      </c>
      <c r="B3267" s="84" t="s">
        <v>129</v>
      </c>
      <c r="C3267" s="84" t="s">
        <v>281</v>
      </c>
      <c r="D3267" s="85">
        <v>485</v>
      </c>
      <c r="E3267" s="85">
        <v>2829</v>
      </c>
      <c r="F3267" s="86">
        <v>487.6</v>
      </c>
      <c r="G3267" s="87">
        <v>17.235772000000001</v>
      </c>
    </row>
    <row r="3268" spans="1:7" x14ac:dyDescent="0.25">
      <c r="A3268" s="84" t="s">
        <v>2903</v>
      </c>
      <c r="B3268" s="84" t="s">
        <v>129</v>
      </c>
      <c r="C3268" s="84" t="s">
        <v>281</v>
      </c>
      <c r="D3268" s="85">
        <v>6883</v>
      </c>
      <c r="E3268" s="85">
        <v>88190</v>
      </c>
      <c r="F3268" s="86">
        <v>14455</v>
      </c>
      <c r="G3268" s="87">
        <v>16.390747000000001</v>
      </c>
    </row>
    <row r="3269" spans="1:7" x14ac:dyDescent="0.25">
      <c r="A3269" s="84" t="s">
        <v>2177</v>
      </c>
      <c r="B3269" s="84" t="s">
        <v>129</v>
      </c>
      <c r="C3269" s="84" t="s">
        <v>278</v>
      </c>
      <c r="D3269" s="85">
        <v>391997</v>
      </c>
      <c r="E3269" s="85">
        <v>12325193</v>
      </c>
      <c r="F3269" s="86">
        <v>1010514.7</v>
      </c>
      <c r="G3269" s="87">
        <v>8.1987737999999997</v>
      </c>
    </row>
    <row r="3270" spans="1:7" x14ac:dyDescent="0.25">
      <c r="A3270" s="84" t="s">
        <v>2904</v>
      </c>
      <c r="B3270" s="84" t="s">
        <v>129</v>
      </c>
      <c r="C3270" s="84" t="s">
        <v>283</v>
      </c>
      <c r="D3270" s="85">
        <v>1779</v>
      </c>
      <c r="E3270" s="85">
        <v>35219</v>
      </c>
      <c r="F3270" s="86">
        <v>3083</v>
      </c>
      <c r="G3270" s="87">
        <v>8.7537976999999998</v>
      </c>
    </row>
    <row r="3271" spans="1:7" x14ac:dyDescent="0.25">
      <c r="A3271" s="84" t="s">
        <v>2388</v>
      </c>
      <c r="B3271" s="84" t="s">
        <v>129</v>
      </c>
      <c r="C3271" s="84" t="s">
        <v>278</v>
      </c>
      <c r="D3271" s="85">
        <v>144403</v>
      </c>
      <c r="E3271" s="85">
        <v>3698501</v>
      </c>
      <c r="F3271" s="86">
        <v>326614.40000000002</v>
      </c>
      <c r="G3271" s="87">
        <v>8.8309940000000005</v>
      </c>
    </row>
    <row r="3272" spans="1:7" x14ac:dyDescent="0.25">
      <c r="A3272" s="84" t="s">
        <v>2178</v>
      </c>
      <c r="B3272" s="84" t="s">
        <v>129</v>
      </c>
      <c r="C3272" s="84" t="s">
        <v>278</v>
      </c>
      <c r="D3272" s="85">
        <v>41558</v>
      </c>
      <c r="E3272" s="85">
        <v>4274264</v>
      </c>
      <c r="F3272" s="86">
        <v>278275</v>
      </c>
      <c r="G3272" s="87">
        <v>6.5104775999999998</v>
      </c>
    </row>
    <row r="3273" spans="1:7" x14ac:dyDescent="0.25">
      <c r="A3273" s="84" t="s">
        <v>1376</v>
      </c>
      <c r="B3273" s="84" t="s">
        <v>135</v>
      </c>
      <c r="C3273" s="84" t="s">
        <v>281</v>
      </c>
      <c r="D3273" s="85">
        <v>1</v>
      </c>
      <c r="E3273" s="85">
        <v>654</v>
      </c>
      <c r="F3273" s="86">
        <v>37</v>
      </c>
      <c r="G3273" s="87">
        <v>5.6574923999999998</v>
      </c>
    </row>
    <row r="3274" spans="1:7" x14ac:dyDescent="0.25">
      <c r="A3274" s="84" t="s">
        <v>1288</v>
      </c>
      <c r="B3274" s="84" t="s">
        <v>135</v>
      </c>
      <c r="C3274" s="84" t="s">
        <v>281</v>
      </c>
      <c r="D3274" s="85">
        <v>491</v>
      </c>
      <c r="E3274" s="85">
        <v>7171</v>
      </c>
      <c r="F3274" s="86">
        <v>850.6</v>
      </c>
      <c r="G3274" s="87">
        <v>11.861665</v>
      </c>
    </row>
    <row r="3275" spans="1:7" x14ac:dyDescent="0.25">
      <c r="A3275" s="84" t="s">
        <v>1289</v>
      </c>
      <c r="B3275" s="84" t="s">
        <v>135</v>
      </c>
      <c r="C3275" s="84" t="s">
        <v>281</v>
      </c>
      <c r="D3275" s="85">
        <v>299</v>
      </c>
      <c r="E3275" s="85">
        <v>4557</v>
      </c>
      <c r="F3275" s="86">
        <v>532</v>
      </c>
      <c r="G3275" s="87">
        <v>11.674346999999999</v>
      </c>
    </row>
    <row r="3276" spans="1:7" x14ac:dyDescent="0.25">
      <c r="A3276" s="84" t="s">
        <v>1290</v>
      </c>
      <c r="B3276" s="84" t="s">
        <v>135</v>
      </c>
      <c r="C3276" s="84" t="s">
        <v>281</v>
      </c>
      <c r="D3276" s="85">
        <v>3775</v>
      </c>
      <c r="E3276" s="85">
        <v>108431</v>
      </c>
      <c r="F3276" s="86">
        <v>12731</v>
      </c>
      <c r="G3276" s="87">
        <v>11.741107</v>
      </c>
    </row>
    <row r="3277" spans="1:7" x14ac:dyDescent="0.25">
      <c r="A3277" s="84" t="s">
        <v>1291</v>
      </c>
      <c r="B3277" s="84" t="s">
        <v>135</v>
      </c>
      <c r="C3277" s="84" t="s">
        <v>278</v>
      </c>
      <c r="D3277" s="85">
        <v>2646</v>
      </c>
      <c r="E3277" s="85">
        <v>169467</v>
      </c>
      <c r="F3277" s="86">
        <v>16325.6</v>
      </c>
      <c r="G3277" s="87">
        <v>9.6334979999999995</v>
      </c>
    </row>
    <row r="3278" spans="1:7" x14ac:dyDescent="0.25">
      <c r="A3278" s="84" t="s">
        <v>2006</v>
      </c>
      <c r="B3278" s="84" t="s">
        <v>135</v>
      </c>
      <c r="C3278" s="84" t="s">
        <v>281</v>
      </c>
      <c r="D3278" s="85">
        <v>4702</v>
      </c>
      <c r="E3278" s="85">
        <v>129512</v>
      </c>
      <c r="F3278" s="86">
        <v>11260.9</v>
      </c>
      <c r="G3278" s="87">
        <v>8.6948699999999999</v>
      </c>
    </row>
    <row r="3279" spans="1:7" x14ac:dyDescent="0.25">
      <c r="A3279" s="84" t="s">
        <v>2179</v>
      </c>
      <c r="B3279" s="84" t="s">
        <v>135</v>
      </c>
      <c r="C3279" s="84" t="s">
        <v>281</v>
      </c>
      <c r="D3279" s="85">
        <v>6330</v>
      </c>
      <c r="E3279" s="85">
        <v>110450</v>
      </c>
      <c r="F3279" s="86">
        <v>15280.1</v>
      </c>
      <c r="G3279" s="87">
        <v>13.834405</v>
      </c>
    </row>
    <row r="3280" spans="1:7" x14ac:dyDescent="0.25">
      <c r="A3280" s="84" t="s">
        <v>2439</v>
      </c>
      <c r="B3280" s="84" t="s">
        <v>135</v>
      </c>
      <c r="C3280" s="84" t="s">
        <v>278</v>
      </c>
      <c r="D3280" s="85">
        <v>43318</v>
      </c>
      <c r="E3280" s="85">
        <v>1676751</v>
      </c>
      <c r="F3280" s="86">
        <v>168806</v>
      </c>
      <c r="G3280" s="87">
        <v>10.067446</v>
      </c>
    </row>
    <row r="3281" spans="1:7" x14ac:dyDescent="0.25">
      <c r="A3281" s="84" t="s">
        <v>2181</v>
      </c>
      <c r="B3281" s="84" t="s">
        <v>135</v>
      </c>
      <c r="C3281" s="84" t="s">
        <v>283</v>
      </c>
      <c r="D3281" s="85">
        <v>7747</v>
      </c>
      <c r="E3281" s="85">
        <v>114925</v>
      </c>
      <c r="F3281" s="86">
        <v>12004</v>
      </c>
      <c r="G3281" s="87">
        <v>10.445073000000001</v>
      </c>
    </row>
    <row r="3282" spans="1:7" x14ac:dyDescent="0.25">
      <c r="A3282" s="84" t="s">
        <v>2905</v>
      </c>
      <c r="B3282" s="84" t="s">
        <v>135</v>
      </c>
      <c r="C3282" s="84" t="s">
        <v>283</v>
      </c>
      <c r="D3282" s="85">
        <v>82</v>
      </c>
      <c r="E3282" s="85">
        <v>675</v>
      </c>
      <c r="F3282" s="86">
        <v>85.2</v>
      </c>
      <c r="G3282" s="87">
        <v>12.622222000000001</v>
      </c>
    </row>
    <row r="3283" spans="1:7" x14ac:dyDescent="0.25">
      <c r="A3283" s="84" t="s">
        <v>2182</v>
      </c>
      <c r="B3283" s="84" t="s">
        <v>135</v>
      </c>
      <c r="C3283" s="84" t="s">
        <v>283</v>
      </c>
      <c r="D3283" s="85">
        <v>15787</v>
      </c>
      <c r="E3283" s="85">
        <v>325478</v>
      </c>
      <c r="F3283" s="86">
        <v>31832</v>
      </c>
      <c r="G3283" s="87">
        <v>9.7800773000000003</v>
      </c>
    </row>
    <row r="3284" spans="1:7" x14ac:dyDescent="0.25">
      <c r="A3284" s="84" t="s">
        <v>2906</v>
      </c>
      <c r="B3284" s="84" t="s">
        <v>135</v>
      </c>
      <c r="C3284" s="84" t="s">
        <v>283</v>
      </c>
      <c r="D3284" s="85">
        <v>708</v>
      </c>
      <c r="E3284" s="85">
        <v>9315</v>
      </c>
      <c r="F3284" s="86">
        <v>1157</v>
      </c>
      <c r="G3284" s="87">
        <v>12.420826999999999</v>
      </c>
    </row>
    <row r="3285" spans="1:7" x14ac:dyDescent="0.25">
      <c r="A3285" s="84" t="s">
        <v>2907</v>
      </c>
      <c r="B3285" s="84" t="s">
        <v>135</v>
      </c>
      <c r="C3285" s="84" t="s">
        <v>283</v>
      </c>
      <c r="D3285" s="85">
        <v>3325</v>
      </c>
      <c r="E3285" s="85">
        <v>48473</v>
      </c>
      <c r="F3285" s="86">
        <v>6583</v>
      </c>
      <c r="G3285" s="87">
        <v>13.580755999999999</v>
      </c>
    </row>
    <row r="3286" spans="1:7" x14ac:dyDescent="0.25">
      <c r="A3286" s="84" t="s">
        <v>2183</v>
      </c>
      <c r="B3286" s="84" t="s">
        <v>135</v>
      </c>
      <c r="C3286" s="84" t="s">
        <v>283</v>
      </c>
      <c r="D3286" s="85">
        <v>3896</v>
      </c>
      <c r="E3286" s="85">
        <v>80060</v>
      </c>
      <c r="F3286" s="86">
        <v>7869.4</v>
      </c>
      <c r="G3286" s="87">
        <v>9.8293780000000002</v>
      </c>
    </row>
    <row r="3287" spans="1:7" x14ac:dyDescent="0.25">
      <c r="A3287" s="84" t="s">
        <v>747</v>
      </c>
      <c r="B3287" s="84" t="s">
        <v>135</v>
      </c>
      <c r="C3287" s="84" t="s">
        <v>281</v>
      </c>
      <c r="D3287" s="85">
        <v>357</v>
      </c>
      <c r="E3287" s="85">
        <v>9809</v>
      </c>
      <c r="F3287" s="86">
        <v>957</v>
      </c>
      <c r="G3287" s="87">
        <v>9.7563461999999994</v>
      </c>
    </row>
    <row r="3288" spans="1:7" x14ac:dyDescent="0.25">
      <c r="A3288" s="84" t="s">
        <v>2184</v>
      </c>
      <c r="B3288" s="84" t="s">
        <v>135</v>
      </c>
      <c r="C3288" s="84" t="s">
        <v>281</v>
      </c>
      <c r="D3288" s="85">
        <v>2049</v>
      </c>
      <c r="E3288" s="85">
        <v>27084</v>
      </c>
      <c r="F3288" s="86">
        <v>4230</v>
      </c>
      <c r="G3288" s="87">
        <v>15.618077</v>
      </c>
    </row>
    <row r="3289" spans="1:7" x14ac:dyDescent="0.25">
      <c r="A3289" s="84" t="s">
        <v>2185</v>
      </c>
      <c r="B3289" s="84" t="s">
        <v>135</v>
      </c>
      <c r="C3289" s="84" t="s">
        <v>281</v>
      </c>
      <c r="D3289" s="85">
        <v>13347</v>
      </c>
      <c r="E3289" s="85">
        <v>739587</v>
      </c>
      <c r="F3289" s="86">
        <v>70575</v>
      </c>
      <c r="G3289" s="87">
        <v>9.5424878999999994</v>
      </c>
    </row>
    <row r="3290" spans="1:7" x14ac:dyDescent="0.25">
      <c r="A3290" s="84" t="s">
        <v>485</v>
      </c>
      <c r="B3290" s="84" t="s">
        <v>135</v>
      </c>
      <c r="C3290" s="84" t="s">
        <v>281</v>
      </c>
      <c r="D3290" s="85">
        <v>6328</v>
      </c>
      <c r="E3290" s="85">
        <v>181072</v>
      </c>
      <c r="F3290" s="86">
        <v>22313</v>
      </c>
      <c r="G3290" s="87">
        <v>12.322722000000001</v>
      </c>
    </row>
    <row r="3291" spans="1:7" x14ac:dyDescent="0.25">
      <c r="A3291" s="84" t="s">
        <v>751</v>
      </c>
      <c r="B3291" s="84" t="s">
        <v>135</v>
      </c>
      <c r="C3291" s="84" t="s">
        <v>281</v>
      </c>
      <c r="D3291" s="85">
        <v>26899</v>
      </c>
      <c r="E3291" s="85">
        <v>750164</v>
      </c>
      <c r="F3291" s="86">
        <v>47589</v>
      </c>
      <c r="G3291" s="87">
        <v>6.3438128000000003</v>
      </c>
    </row>
    <row r="3292" spans="1:7" x14ac:dyDescent="0.25">
      <c r="A3292" s="84" t="s">
        <v>2908</v>
      </c>
      <c r="B3292" s="84" t="s">
        <v>135</v>
      </c>
      <c r="C3292" s="84" t="s">
        <v>385</v>
      </c>
      <c r="D3292" s="85">
        <v>5</v>
      </c>
      <c r="E3292" s="85">
        <v>46</v>
      </c>
      <c r="F3292" s="86">
        <v>1.6</v>
      </c>
      <c r="G3292" s="87">
        <v>3.4782609</v>
      </c>
    </row>
    <row r="3293" spans="1:7" x14ac:dyDescent="0.25">
      <c r="A3293" s="84" t="s">
        <v>1303</v>
      </c>
      <c r="B3293" s="84" t="s">
        <v>135</v>
      </c>
      <c r="C3293" s="84" t="s">
        <v>278</v>
      </c>
      <c r="D3293" s="85">
        <v>16178</v>
      </c>
      <c r="E3293" s="85">
        <v>280968</v>
      </c>
      <c r="F3293" s="86">
        <v>26234</v>
      </c>
      <c r="G3293" s="87">
        <v>9.3370063000000005</v>
      </c>
    </row>
    <row r="3294" spans="1:7" x14ac:dyDescent="0.25">
      <c r="A3294" s="84" t="s">
        <v>2533</v>
      </c>
      <c r="B3294" s="84" t="s">
        <v>135</v>
      </c>
      <c r="C3294" s="84" t="s">
        <v>281</v>
      </c>
      <c r="D3294" s="85">
        <v>2122</v>
      </c>
      <c r="E3294" s="85">
        <v>104333</v>
      </c>
      <c r="F3294" s="86">
        <v>11871</v>
      </c>
      <c r="G3294" s="87">
        <v>11.377992000000001</v>
      </c>
    </row>
    <row r="3295" spans="1:7" x14ac:dyDescent="0.25">
      <c r="A3295" s="84" t="s">
        <v>1304</v>
      </c>
      <c r="B3295" s="84" t="s">
        <v>135</v>
      </c>
      <c r="C3295" s="84" t="s">
        <v>278</v>
      </c>
      <c r="D3295" s="85">
        <v>563</v>
      </c>
      <c r="E3295" s="85">
        <v>30952</v>
      </c>
      <c r="F3295" s="86">
        <v>5228.8999999999996</v>
      </c>
      <c r="G3295" s="87">
        <v>16.893577000000001</v>
      </c>
    </row>
    <row r="3296" spans="1:7" x14ac:dyDescent="0.25">
      <c r="A3296" s="84" t="s">
        <v>457</v>
      </c>
      <c r="B3296" s="84" t="s">
        <v>135</v>
      </c>
      <c r="C3296" s="84" t="s">
        <v>278</v>
      </c>
      <c r="D3296" s="85">
        <v>141499</v>
      </c>
      <c r="E3296" s="85">
        <v>9392641</v>
      </c>
      <c r="F3296" s="86">
        <v>670616.5</v>
      </c>
      <c r="G3296" s="87">
        <v>7.1398076000000001</v>
      </c>
    </row>
    <row r="3297" spans="1:7" x14ac:dyDescent="0.25">
      <c r="A3297" s="84" t="s">
        <v>2395</v>
      </c>
      <c r="B3297" s="84" t="s">
        <v>135</v>
      </c>
      <c r="C3297" s="84" t="s">
        <v>281</v>
      </c>
      <c r="D3297" s="85">
        <v>26953</v>
      </c>
      <c r="E3297" s="85">
        <v>2022576</v>
      </c>
      <c r="F3297" s="86">
        <v>165739.6</v>
      </c>
      <c r="G3297" s="87">
        <v>8.1944806999999997</v>
      </c>
    </row>
    <row r="3298" spans="1:7" x14ac:dyDescent="0.25">
      <c r="A3298" s="84" t="s">
        <v>2445</v>
      </c>
      <c r="B3298" s="84" t="s">
        <v>135</v>
      </c>
      <c r="C3298" s="84" t="s">
        <v>281</v>
      </c>
      <c r="D3298" s="85">
        <v>12</v>
      </c>
      <c r="E3298" s="85">
        <v>247</v>
      </c>
      <c r="F3298" s="86">
        <v>27</v>
      </c>
      <c r="G3298" s="87">
        <v>10.931174</v>
      </c>
    </row>
    <row r="3299" spans="1:7" x14ac:dyDescent="0.25">
      <c r="A3299" s="84" t="s">
        <v>2909</v>
      </c>
      <c r="B3299" s="84" t="s">
        <v>135</v>
      </c>
      <c r="C3299" s="84" t="s">
        <v>283</v>
      </c>
      <c r="D3299" s="85">
        <v>716</v>
      </c>
      <c r="E3299" s="85">
        <v>8733</v>
      </c>
      <c r="F3299" s="86">
        <v>1318.2</v>
      </c>
      <c r="G3299" s="87">
        <v>15.094469</v>
      </c>
    </row>
    <row r="3300" spans="1:7" x14ac:dyDescent="0.25">
      <c r="A3300" s="84" t="s">
        <v>2910</v>
      </c>
      <c r="B3300" s="84" t="s">
        <v>135</v>
      </c>
      <c r="C3300" s="84" t="s">
        <v>283</v>
      </c>
      <c r="D3300" s="85">
        <v>157</v>
      </c>
      <c r="E3300" s="85">
        <v>1188</v>
      </c>
      <c r="F3300" s="86">
        <v>166</v>
      </c>
      <c r="G3300" s="87">
        <v>13.973064000000001</v>
      </c>
    </row>
    <row r="3301" spans="1:7" x14ac:dyDescent="0.25">
      <c r="A3301" s="84" t="s">
        <v>2911</v>
      </c>
      <c r="B3301" s="84" t="s">
        <v>135</v>
      </c>
      <c r="C3301" s="84" t="s">
        <v>283</v>
      </c>
      <c r="D3301" s="85">
        <v>741</v>
      </c>
      <c r="E3301" s="85">
        <v>12443</v>
      </c>
      <c r="F3301" s="86">
        <v>2438</v>
      </c>
      <c r="G3301" s="87">
        <v>19.593346</v>
      </c>
    </row>
    <row r="3302" spans="1:7" x14ac:dyDescent="0.25">
      <c r="A3302" s="84" t="s">
        <v>2912</v>
      </c>
      <c r="B3302" s="84" t="s">
        <v>135</v>
      </c>
      <c r="C3302" s="84" t="s">
        <v>283</v>
      </c>
      <c r="D3302" s="85">
        <v>278</v>
      </c>
      <c r="E3302" s="85">
        <v>3468</v>
      </c>
      <c r="F3302" s="86">
        <v>513</v>
      </c>
      <c r="G3302" s="87">
        <v>14.792388000000001</v>
      </c>
    </row>
    <row r="3303" spans="1:7" x14ac:dyDescent="0.25">
      <c r="A3303" s="84" t="s">
        <v>2913</v>
      </c>
      <c r="B3303" s="84" t="s">
        <v>135</v>
      </c>
      <c r="C3303" s="84" t="s">
        <v>283</v>
      </c>
      <c r="D3303" s="85">
        <v>1164</v>
      </c>
      <c r="E3303" s="85">
        <v>16515</v>
      </c>
      <c r="F3303" s="86">
        <v>1873.5</v>
      </c>
      <c r="G3303" s="87">
        <v>11.344232999999999</v>
      </c>
    </row>
    <row r="3304" spans="1:7" x14ac:dyDescent="0.25">
      <c r="A3304" s="84" t="s">
        <v>2914</v>
      </c>
      <c r="B3304" s="84" t="s">
        <v>135</v>
      </c>
      <c r="C3304" s="84" t="s">
        <v>283</v>
      </c>
      <c r="D3304" s="85">
        <v>2498</v>
      </c>
      <c r="E3304" s="85">
        <v>34333</v>
      </c>
      <c r="F3304" s="86">
        <v>4065</v>
      </c>
      <c r="G3304" s="87">
        <v>11.839921</v>
      </c>
    </row>
    <row r="3305" spans="1:7" x14ac:dyDescent="0.25">
      <c r="A3305" s="84" t="s">
        <v>422</v>
      </c>
      <c r="B3305" s="84" t="s">
        <v>135</v>
      </c>
      <c r="C3305" s="84" t="s">
        <v>351</v>
      </c>
      <c r="D3305" s="85">
        <v>7</v>
      </c>
      <c r="E3305" s="85">
        <v>43940</v>
      </c>
      <c r="F3305" s="86">
        <v>1096.9000000000001</v>
      </c>
      <c r="G3305" s="87">
        <v>2.4963587</v>
      </c>
    </row>
    <row r="3306" spans="1:7" x14ac:dyDescent="0.25">
      <c r="A3306" s="84" t="s">
        <v>2915</v>
      </c>
      <c r="B3306" s="84" t="s">
        <v>135</v>
      </c>
      <c r="C3306" s="84" t="s">
        <v>281</v>
      </c>
      <c r="D3306" s="85">
        <v>3912</v>
      </c>
      <c r="E3306" s="85">
        <v>134481</v>
      </c>
      <c r="F3306" s="86">
        <v>15543</v>
      </c>
      <c r="G3306" s="87">
        <v>11.557767</v>
      </c>
    </row>
    <row r="3307" spans="1:7" x14ac:dyDescent="0.25">
      <c r="A3307" s="84" t="s">
        <v>2916</v>
      </c>
      <c r="B3307" s="84" t="s">
        <v>135</v>
      </c>
      <c r="C3307" s="84" t="s">
        <v>281</v>
      </c>
      <c r="D3307" s="85">
        <v>52</v>
      </c>
      <c r="E3307" s="85">
        <v>1072</v>
      </c>
      <c r="F3307" s="86">
        <v>153.1</v>
      </c>
      <c r="G3307" s="87">
        <v>14.281715999999999</v>
      </c>
    </row>
    <row r="3308" spans="1:7" x14ac:dyDescent="0.25">
      <c r="A3308" s="84" t="s">
        <v>1469</v>
      </c>
      <c r="B3308" s="84" t="s">
        <v>135</v>
      </c>
      <c r="C3308" s="84" t="s">
        <v>281</v>
      </c>
      <c r="D3308" s="85">
        <v>4822</v>
      </c>
      <c r="E3308" s="85">
        <v>171783</v>
      </c>
      <c r="F3308" s="86">
        <v>19317</v>
      </c>
      <c r="G3308" s="87">
        <v>11.245001</v>
      </c>
    </row>
    <row r="3309" spans="1:7" x14ac:dyDescent="0.25">
      <c r="A3309" s="84" t="s">
        <v>510</v>
      </c>
      <c r="B3309" s="84" t="s">
        <v>135</v>
      </c>
      <c r="C3309" s="84" t="s">
        <v>281</v>
      </c>
      <c r="D3309" s="85">
        <v>734</v>
      </c>
      <c r="E3309" s="85">
        <v>10142</v>
      </c>
      <c r="F3309" s="86">
        <v>1210.5999999999999</v>
      </c>
      <c r="G3309" s="87">
        <v>11.936502000000001</v>
      </c>
    </row>
    <row r="3310" spans="1:7" x14ac:dyDescent="0.25">
      <c r="A3310" s="84" t="s">
        <v>2186</v>
      </c>
      <c r="B3310" s="84" t="s">
        <v>115</v>
      </c>
      <c r="C3310" s="84" t="s">
        <v>1837</v>
      </c>
      <c r="D3310" s="85">
        <v>25</v>
      </c>
      <c r="E3310" s="85">
        <v>6817159</v>
      </c>
      <c r="F3310" s="86">
        <v>274409.40000000002</v>
      </c>
      <c r="G3310" s="87">
        <v>4.0252749999999997</v>
      </c>
    </row>
    <row r="3311" spans="1:7" x14ac:dyDescent="0.25">
      <c r="A3311" s="84" t="s">
        <v>2917</v>
      </c>
      <c r="B3311" s="84" t="s">
        <v>6</v>
      </c>
      <c r="C3311" s="84" t="s">
        <v>253</v>
      </c>
      <c r="D3311" s="85">
        <v>5542</v>
      </c>
      <c r="E3311" s="85">
        <v>87938</v>
      </c>
      <c r="F3311" s="86">
        <v>30194.1</v>
      </c>
      <c r="G3311" s="87" t="s">
        <v>2189</v>
      </c>
    </row>
    <row r="3312" spans="1:7" x14ac:dyDescent="0.25">
      <c r="A3312" s="84" t="s">
        <v>2917</v>
      </c>
      <c r="B3312" s="84" t="s">
        <v>8</v>
      </c>
      <c r="C3312" s="84" t="s">
        <v>253</v>
      </c>
      <c r="D3312" s="85">
        <v>-83099</v>
      </c>
      <c r="E3312" s="85">
        <v>0</v>
      </c>
      <c r="F3312" s="86">
        <v>0</v>
      </c>
      <c r="G3312" s="87" t="s">
        <v>2189</v>
      </c>
    </row>
    <row r="3313" spans="1:7" x14ac:dyDescent="0.25">
      <c r="A3313" s="84" t="s">
        <v>2917</v>
      </c>
      <c r="B3313" s="84" t="s">
        <v>15</v>
      </c>
      <c r="C3313" s="84" t="s">
        <v>253</v>
      </c>
      <c r="D3313" s="85">
        <v>-383660</v>
      </c>
      <c r="E3313" s="85">
        <v>0</v>
      </c>
      <c r="F3313" s="86">
        <v>0</v>
      </c>
      <c r="G3313" s="87" t="s">
        <v>2189</v>
      </c>
    </row>
    <row r="3314" spans="1:7" x14ac:dyDescent="0.25">
      <c r="A3314" s="84" t="s">
        <v>2917</v>
      </c>
      <c r="B3314" s="84" t="s">
        <v>16</v>
      </c>
      <c r="C3314" s="84" t="s">
        <v>253</v>
      </c>
      <c r="D3314" s="85">
        <v>-20602</v>
      </c>
      <c r="E3314" s="85">
        <v>7205</v>
      </c>
      <c r="F3314" s="86">
        <v>790.6</v>
      </c>
      <c r="G3314" s="87" t="s">
        <v>2189</v>
      </c>
    </row>
    <row r="3315" spans="1:7" x14ac:dyDescent="0.25">
      <c r="A3315" s="84" t="s">
        <v>2917</v>
      </c>
      <c r="B3315" s="84" t="s">
        <v>19</v>
      </c>
      <c r="C3315" s="84" t="s">
        <v>253</v>
      </c>
      <c r="D3315" s="85">
        <v>-24955</v>
      </c>
      <c r="E3315" s="85">
        <v>0</v>
      </c>
      <c r="F3315" s="86">
        <v>0</v>
      </c>
      <c r="G3315" s="87" t="s">
        <v>2189</v>
      </c>
    </row>
    <row r="3316" spans="1:7" x14ac:dyDescent="0.25">
      <c r="A3316" s="84" t="s">
        <v>2917</v>
      </c>
      <c r="B3316" s="84" t="s">
        <v>184</v>
      </c>
      <c r="C3316" s="84" t="s">
        <v>253</v>
      </c>
      <c r="D3316" s="85">
        <v>-533</v>
      </c>
      <c r="E3316" s="85">
        <v>0</v>
      </c>
      <c r="F3316" s="86">
        <v>0</v>
      </c>
      <c r="G3316" s="87" t="s">
        <v>2189</v>
      </c>
    </row>
    <row r="3317" spans="1:7" x14ac:dyDescent="0.25">
      <c r="A3317" s="84" t="s">
        <v>2917</v>
      </c>
      <c r="B3317" s="84" t="s">
        <v>22</v>
      </c>
      <c r="C3317" s="84" t="s">
        <v>253</v>
      </c>
      <c r="D3317" s="85">
        <v>-3749</v>
      </c>
      <c r="E3317" s="85">
        <v>0</v>
      </c>
      <c r="F3317" s="86">
        <v>0</v>
      </c>
      <c r="G3317" s="87" t="s">
        <v>2189</v>
      </c>
    </row>
    <row r="3318" spans="1:7" x14ac:dyDescent="0.25">
      <c r="A3318" s="84" t="s">
        <v>2917</v>
      </c>
      <c r="B3318" s="84" t="s">
        <v>24</v>
      </c>
      <c r="C3318" s="84" t="s">
        <v>253</v>
      </c>
      <c r="D3318" s="85">
        <v>-2323</v>
      </c>
      <c r="E3318" s="85">
        <v>0</v>
      </c>
      <c r="F3318" s="86">
        <v>0</v>
      </c>
      <c r="G3318" s="87" t="s">
        <v>2189</v>
      </c>
    </row>
    <row r="3319" spans="1:7" x14ac:dyDescent="0.25">
      <c r="A3319" s="84" t="s">
        <v>2917</v>
      </c>
      <c r="B3319" s="84" t="s">
        <v>27</v>
      </c>
      <c r="C3319" s="84" t="s">
        <v>253</v>
      </c>
      <c r="D3319" s="85">
        <v>3976</v>
      </c>
      <c r="E3319" s="85">
        <v>54759</v>
      </c>
      <c r="F3319" s="86">
        <v>5437.1</v>
      </c>
      <c r="G3319" s="87" t="s">
        <v>2189</v>
      </c>
    </row>
    <row r="3320" spans="1:7" x14ac:dyDescent="0.25">
      <c r="A3320" s="84" t="s">
        <v>2917</v>
      </c>
      <c r="B3320" s="84" t="s">
        <v>29</v>
      </c>
      <c r="C3320" s="84" t="s">
        <v>253</v>
      </c>
      <c r="D3320" s="85">
        <v>-17641</v>
      </c>
      <c r="E3320" s="85">
        <v>0</v>
      </c>
      <c r="F3320" s="86">
        <v>0</v>
      </c>
      <c r="G3320" s="87" t="s">
        <v>2189</v>
      </c>
    </row>
    <row r="3321" spans="1:7" x14ac:dyDescent="0.25">
      <c r="A3321" s="84" t="s">
        <v>2917</v>
      </c>
      <c r="B3321" s="84" t="s">
        <v>40</v>
      </c>
      <c r="C3321" s="84" t="s">
        <v>253</v>
      </c>
      <c r="D3321" s="85">
        <v>1562</v>
      </c>
      <c r="E3321" s="85">
        <v>29947</v>
      </c>
      <c r="F3321" s="86">
        <v>3587.6</v>
      </c>
      <c r="G3321" s="87" t="s">
        <v>2189</v>
      </c>
    </row>
    <row r="3322" spans="1:7" x14ac:dyDescent="0.25">
      <c r="A3322" s="84" t="s">
        <v>2917</v>
      </c>
      <c r="B3322" s="84" t="s">
        <v>32</v>
      </c>
      <c r="C3322" s="84" t="s">
        <v>253</v>
      </c>
      <c r="D3322" s="85">
        <v>52</v>
      </c>
      <c r="E3322" s="85">
        <v>794</v>
      </c>
      <c r="F3322" s="86">
        <v>70.3</v>
      </c>
      <c r="G3322" s="87" t="s">
        <v>2189</v>
      </c>
    </row>
    <row r="3323" spans="1:7" x14ac:dyDescent="0.25">
      <c r="A3323" s="84" t="s">
        <v>2917</v>
      </c>
      <c r="B3323" s="84" t="s">
        <v>35</v>
      </c>
      <c r="C3323" s="84" t="s">
        <v>253</v>
      </c>
      <c r="D3323" s="85">
        <v>-3641</v>
      </c>
      <c r="E3323" s="85">
        <v>0</v>
      </c>
      <c r="F3323" s="86">
        <v>0</v>
      </c>
      <c r="G3323" s="87" t="s">
        <v>2189</v>
      </c>
    </row>
    <row r="3324" spans="1:7" x14ac:dyDescent="0.25">
      <c r="A3324" s="84" t="s">
        <v>2917</v>
      </c>
      <c r="B3324" s="84" t="s">
        <v>37</v>
      </c>
      <c r="C3324" s="84" t="s">
        <v>253</v>
      </c>
      <c r="D3324" s="85">
        <v>4477</v>
      </c>
      <c r="E3324" s="85">
        <v>54477</v>
      </c>
      <c r="F3324" s="86">
        <v>5592.3</v>
      </c>
      <c r="G3324" s="87" t="s">
        <v>2189</v>
      </c>
    </row>
    <row r="3325" spans="1:7" x14ac:dyDescent="0.25">
      <c r="A3325" s="84" t="s">
        <v>2917</v>
      </c>
      <c r="B3325" s="84" t="s">
        <v>42</v>
      </c>
      <c r="C3325" s="84" t="s">
        <v>253</v>
      </c>
      <c r="D3325" s="85">
        <v>1378</v>
      </c>
      <c r="E3325" s="85">
        <v>15481</v>
      </c>
      <c r="F3325" s="86">
        <v>1501.6</v>
      </c>
      <c r="G3325" s="87" t="s">
        <v>2189</v>
      </c>
    </row>
    <row r="3326" spans="1:7" x14ac:dyDescent="0.25">
      <c r="A3326" s="84" t="s">
        <v>2917</v>
      </c>
      <c r="B3326" s="84" t="s">
        <v>48</v>
      </c>
      <c r="C3326" s="84" t="s">
        <v>253</v>
      </c>
      <c r="D3326" s="85">
        <v>2551</v>
      </c>
      <c r="E3326" s="85">
        <v>46959</v>
      </c>
      <c r="F3326" s="86">
        <v>3369.6</v>
      </c>
      <c r="G3326" s="87" t="s">
        <v>2189</v>
      </c>
    </row>
    <row r="3327" spans="1:7" x14ac:dyDescent="0.25">
      <c r="A3327" s="84" t="s">
        <v>2917</v>
      </c>
      <c r="B3327" s="84" t="s">
        <v>56</v>
      </c>
      <c r="C3327" s="84" t="s">
        <v>253</v>
      </c>
      <c r="D3327" s="85">
        <v>-53957</v>
      </c>
      <c r="E3327" s="85">
        <v>0</v>
      </c>
      <c r="F3327" s="86">
        <v>0</v>
      </c>
      <c r="G3327" s="87" t="s">
        <v>2189</v>
      </c>
    </row>
    <row r="3328" spans="1:7" x14ac:dyDescent="0.25">
      <c r="A3328" s="84" t="s">
        <v>2917</v>
      </c>
      <c r="B3328" s="84" t="s">
        <v>53</v>
      </c>
      <c r="C3328" s="84" t="s">
        <v>253</v>
      </c>
      <c r="D3328" s="85">
        <v>-52152</v>
      </c>
      <c r="E3328" s="85">
        <v>0</v>
      </c>
      <c r="F3328" s="86">
        <v>0</v>
      </c>
      <c r="G3328" s="87" t="s">
        <v>2189</v>
      </c>
    </row>
    <row r="3329" spans="1:7" x14ac:dyDescent="0.25">
      <c r="A3329" s="84" t="s">
        <v>2917</v>
      </c>
      <c r="B3329" s="84" t="s">
        <v>51</v>
      </c>
      <c r="C3329" s="84" t="s">
        <v>253</v>
      </c>
      <c r="D3329" s="85">
        <v>-5</v>
      </c>
      <c r="E3329" s="85">
        <v>0</v>
      </c>
      <c r="F3329" s="86">
        <v>0</v>
      </c>
      <c r="G3329" s="87" t="s">
        <v>2189</v>
      </c>
    </row>
    <row r="3330" spans="1:7" x14ac:dyDescent="0.25">
      <c r="A3330" s="84" t="s">
        <v>2917</v>
      </c>
      <c r="B3330" s="84" t="s">
        <v>59</v>
      </c>
      <c r="C3330" s="84" t="s">
        <v>253</v>
      </c>
      <c r="D3330" s="85">
        <v>-1</v>
      </c>
      <c r="E3330" s="85">
        <v>0</v>
      </c>
      <c r="F3330" s="86">
        <v>0</v>
      </c>
      <c r="G3330" s="87" t="s">
        <v>2189</v>
      </c>
    </row>
    <row r="3331" spans="1:7" x14ac:dyDescent="0.25">
      <c r="A3331" s="84" t="s">
        <v>2917</v>
      </c>
      <c r="B3331" s="84" t="s">
        <v>61</v>
      </c>
      <c r="C3331" s="84" t="s">
        <v>253</v>
      </c>
      <c r="D3331" s="85">
        <v>821</v>
      </c>
      <c r="E3331" s="85">
        <v>7789</v>
      </c>
      <c r="F3331" s="86">
        <v>887.1</v>
      </c>
      <c r="G3331" s="87" t="s">
        <v>2189</v>
      </c>
    </row>
    <row r="3332" spans="1:7" x14ac:dyDescent="0.25">
      <c r="A3332" s="84" t="s">
        <v>2917</v>
      </c>
      <c r="B3332" s="84" t="s">
        <v>67</v>
      </c>
      <c r="C3332" s="84" t="s">
        <v>253</v>
      </c>
      <c r="D3332" s="85">
        <v>6364</v>
      </c>
      <c r="E3332" s="85">
        <v>125136</v>
      </c>
      <c r="F3332" s="86">
        <v>12141.1</v>
      </c>
      <c r="G3332" s="87" t="s">
        <v>2189</v>
      </c>
    </row>
    <row r="3333" spans="1:7" x14ac:dyDescent="0.25">
      <c r="A3333" s="84" t="s">
        <v>2917</v>
      </c>
      <c r="B3333" s="84" t="s">
        <v>64</v>
      </c>
      <c r="C3333" s="84" t="s">
        <v>253</v>
      </c>
      <c r="D3333" s="85">
        <v>2535</v>
      </c>
      <c r="E3333" s="85">
        <v>38605</v>
      </c>
      <c r="F3333" s="86">
        <v>3632.5</v>
      </c>
      <c r="G3333" s="87" t="s">
        <v>2189</v>
      </c>
    </row>
    <row r="3334" spans="1:7" x14ac:dyDescent="0.25">
      <c r="A3334" s="84" t="s">
        <v>2917</v>
      </c>
      <c r="B3334" s="84" t="s">
        <v>89</v>
      </c>
      <c r="C3334" s="84" t="s">
        <v>253</v>
      </c>
      <c r="D3334" s="85">
        <v>270</v>
      </c>
      <c r="E3334" s="85">
        <v>3081</v>
      </c>
      <c r="F3334" s="86">
        <v>375.3</v>
      </c>
      <c r="G3334" s="87" t="s">
        <v>2189</v>
      </c>
    </row>
    <row r="3335" spans="1:7" x14ac:dyDescent="0.25">
      <c r="A3335" s="84" t="s">
        <v>2917</v>
      </c>
      <c r="B3335" s="84" t="s">
        <v>91</v>
      </c>
      <c r="C3335" s="84" t="s">
        <v>253</v>
      </c>
      <c r="D3335" s="85">
        <v>2117</v>
      </c>
      <c r="E3335" s="85">
        <v>44228</v>
      </c>
      <c r="F3335" s="86">
        <v>5454.3</v>
      </c>
      <c r="G3335" s="87" t="s">
        <v>2189</v>
      </c>
    </row>
    <row r="3336" spans="1:7" x14ac:dyDescent="0.25">
      <c r="A3336" s="84" t="s">
        <v>2917</v>
      </c>
      <c r="B3336" s="84" t="s">
        <v>72</v>
      </c>
      <c r="C3336" s="84" t="s">
        <v>253</v>
      </c>
      <c r="D3336" s="85">
        <v>240</v>
      </c>
      <c r="E3336" s="85">
        <v>7172</v>
      </c>
      <c r="F3336" s="86">
        <v>941.7</v>
      </c>
      <c r="G3336" s="87" t="s">
        <v>2189</v>
      </c>
    </row>
    <row r="3337" spans="1:7" x14ac:dyDescent="0.25">
      <c r="A3337" s="84" t="s">
        <v>2917</v>
      </c>
      <c r="B3337" s="84" t="s">
        <v>78</v>
      </c>
      <c r="C3337" s="84" t="s">
        <v>253</v>
      </c>
      <c r="D3337" s="85">
        <v>-1810</v>
      </c>
      <c r="E3337" s="85">
        <v>0</v>
      </c>
      <c r="F3337" s="86">
        <v>0</v>
      </c>
      <c r="G3337" s="87" t="s">
        <v>2189</v>
      </c>
    </row>
    <row r="3338" spans="1:7" x14ac:dyDescent="0.25">
      <c r="A3338" s="84" t="s">
        <v>2917</v>
      </c>
      <c r="B3338" s="84" t="s">
        <v>80</v>
      </c>
      <c r="C3338" s="84" t="s">
        <v>253</v>
      </c>
      <c r="D3338" s="85">
        <v>-60044</v>
      </c>
      <c r="E3338" s="85">
        <v>74152</v>
      </c>
      <c r="F3338" s="86">
        <v>15681.8</v>
      </c>
      <c r="G3338" s="87" t="s">
        <v>2189</v>
      </c>
    </row>
    <row r="3339" spans="1:7" x14ac:dyDescent="0.25">
      <c r="A3339" s="84" t="s">
        <v>2917</v>
      </c>
      <c r="B3339" s="84" t="s">
        <v>83</v>
      </c>
      <c r="C3339" s="84" t="s">
        <v>253</v>
      </c>
      <c r="D3339" s="85">
        <v>-4870</v>
      </c>
      <c r="E3339" s="85">
        <v>0</v>
      </c>
      <c r="F3339" s="86">
        <v>0</v>
      </c>
      <c r="G3339" s="87" t="s">
        <v>2189</v>
      </c>
    </row>
    <row r="3340" spans="1:7" x14ac:dyDescent="0.25">
      <c r="A3340" s="84" t="s">
        <v>2917</v>
      </c>
      <c r="B3340" s="84" t="s">
        <v>75</v>
      </c>
      <c r="C3340" s="84" t="s">
        <v>253</v>
      </c>
      <c r="D3340" s="85">
        <v>-24404</v>
      </c>
      <c r="E3340" s="85">
        <v>11319</v>
      </c>
      <c r="F3340" s="86">
        <v>1401.8</v>
      </c>
      <c r="G3340" s="87" t="s">
        <v>2189</v>
      </c>
    </row>
    <row r="3341" spans="1:7" x14ac:dyDescent="0.25">
      <c r="A3341" s="84" t="s">
        <v>2917</v>
      </c>
      <c r="B3341" s="84" t="s">
        <v>86</v>
      </c>
      <c r="C3341" s="84" t="s">
        <v>253</v>
      </c>
      <c r="D3341" s="85">
        <v>-53971</v>
      </c>
      <c r="E3341" s="85">
        <v>46786</v>
      </c>
      <c r="F3341" s="86">
        <v>5591.7</v>
      </c>
      <c r="G3341" s="87" t="s">
        <v>2189</v>
      </c>
    </row>
    <row r="3342" spans="1:7" x14ac:dyDescent="0.25">
      <c r="A3342" s="84" t="s">
        <v>2917</v>
      </c>
      <c r="B3342" s="84" t="s">
        <v>94</v>
      </c>
      <c r="C3342" s="84" t="s">
        <v>253</v>
      </c>
      <c r="D3342" s="85">
        <v>2714</v>
      </c>
      <c r="E3342" s="85">
        <v>69218</v>
      </c>
      <c r="F3342" s="86">
        <v>5841.5</v>
      </c>
      <c r="G3342" s="87" t="s">
        <v>2189</v>
      </c>
    </row>
    <row r="3343" spans="1:7" x14ac:dyDescent="0.25">
      <c r="A3343" s="84" t="s">
        <v>2917</v>
      </c>
      <c r="B3343" s="84" t="s">
        <v>96</v>
      </c>
      <c r="C3343" s="84" t="s">
        <v>253</v>
      </c>
      <c r="D3343" s="85">
        <v>8403</v>
      </c>
      <c r="E3343" s="85">
        <v>138428</v>
      </c>
      <c r="F3343" s="86">
        <v>15636.9</v>
      </c>
      <c r="G3343" s="87" t="s">
        <v>2189</v>
      </c>
    </row>
    <row r="3344" spans="1:7" x14ac:dyDescent="0.25">
      <c r="A3344" s="84" t="s">
        <v>2917</v>
      </c>
      <c r="B3344" s="84" t="s">
        <v>98</v>
      </c>
      <c r="C3344" s="84" t="s">
        <v>253</v>
      </c>
      <c r="D3344" s="85">
        <v>-3828</v>
      </c>
      <c r="E3344" s="85">
        <v>0</v>
      </c>
      <c r="F3344" s="86">
        <v>0</v>
      </c>
      <c r="G3344" s="87" t="s">
        <v>2189</v>
      </c>
    </row>
    <row r="3345" spans="1:7" x14ac:dyDescent="0.25">
      <c r="A3345" s="84" t="s">
        <v>2917</v>
      </c>
      <c r="B3345" s="84" t="s">
        <v>101</v>
      </c>
      <c r="C3345" s="84" t="s">
        <v>253</v>
      </c>
      <c r="D3345" s="85">
        <v>-11724</v>
      </c>
      <c r="E3345" s="85">
        <v>0</v>
      </c>
      <c r="F3345" s="86">
        <v>0</v>
      </c>
      <c r="G3345" s="87" t="s">
        <v>2189</v>
      </c>
    </row>
    <row r="3346" spans="1:7" x14ac:dyDescent="0.25">
      <c r="A3346" s="84" t="s">
        <v>2917</v>
      </c>
      <c r="B3346" s="84" t="s">
        <v>104</v>
      </c>
      <c r="C3346" s="84" t="s">
        <v>253</v>
      </c>
      <c r="D3346" s="85">
        <v>-1151</v>
      </c>
      <c r="E3346" s="85">
        <v>0</v>
      </c>
      <c r="F3346" s="86">
        <v>0</v>
      </c>
      <c r="G3346" s="87" t="s">
        <v>2189</v>
      </c>
    </row>
    <row r="3347" spans="1:7" x14ac:dyDescent="0.25">
      <c r="A3347" s="84" t="s">
        <v>2917</v>
      </c>
      <c r="B3347" s="84" t="s">
        <v>106</v>
      </c>
      <c r="C3347" s="84" t="s">
        <v>253</v>
      </c>
      <c r="D3347" s="85">
        <v>-7640</v>
      </c>
      <c r="E3347" s="85">
        <v>0</v>
      </c>
      <c r="F3347" s="86">
        <v>0</v>
      </c>
      <c r="G3347" s="87" t="s">
        <v>2189</v>
      </c>
    </row>
    <row r="3348" spans="1:7" x14ac:dyDescent="0.25">
      <c r="A3348" s="84" t="s">
        <v>2917</v>
      </c>
      <c r="B3348" s="84" t="s">
        <v>115</v>
      </c>
      <c r="C3348" s="84" t="s">
        <v>253</v>
      </c>
      <c r="D3348" s="85">
        <v>4649</v>
      </c>
      <c r="E3348" s="85">
        <v>312390</v>
      </c>
      <c r="F3348" s="86">
        <v>39638.6</v>
      </c>
      <c r="G3348" s="87" t="s">
        <v>2189</v>
      </c>
    </row>
    <row r="3349" spans="1:7" x14ac:dyDescent="0.25">
      <c r="A3349" s="84" t="s">
        <v>2917</v>
      </c>
      <c r="B3349" s="84" t="s">
        <v>117</v>
      </c>
      <c r="C3349" s="84" t="s">
        <v>253</v>
      </c>
      <c r="D3349" s="85">
        <v>1010</v>
      </c>
      <c r="E3349" s="85">
        <v>18920</v>
      </c>
      <c r="F3349" s="86">
        <v>2590.6999999999998</v>
      </c>
      <c r="G3349" s="87" t="s">
        <v>2189</v>
      </c>
    </row>
    <row r="3350" spans="1:7" x14ac:dyDescent="0.25">
      <c r="A3350" s="84" t="s">
        <v>2917</v>
      </c>
      <c r="B3350" s="84" t="s">
        <v>123</v>
      </c>
      <c r="C3350" s="84" t="s">
        <v>253</v>
      </c>
      <c r="D3350" s="85">
        <v>-68</v>
      </c>
      <c r="E3350" s="85">
        <v>0</v>
      </c>
      <c r="F3350" s="86">
        <v>0</v>
      </c>
      <c r="G3350" s="87" t="s">
        <v>2189</v>
      </c>
    </row>
    <row r="3351" spans="1:7" x14ac:dyDescent="0.25">
      <c r="A3351" s="84" t="s">
        <v>2917</v>
      </c>
      <c r="B3351" s="84" t="s">
        <v>120</v>
      </c>
      <c r="C3351" s="84" t="s">
        <v>253</v>
      </c>
      <c r="D3351" s="85">
        <v>-2623</v>
      </c>
      <c r="E3351" s="85">
        <v>0</v>
      </c>
      <c r="F3351" s="86">
        <v>0</v>
      </c>
      <c r="G3351" s="87" t="s">
        <v>2189</v>
      </c>
    </row>
    <row r="3352" spans="1:7" x14ac:dyDescent="0.25">
      <c r="A3352" s="84" t="s">
        <v>2917</v>
      </c>
      <c r="B3352" s="84" t="s">
        <v>126</v>
      </c>
      <c r="C3352" s="84" t="s">
        <v>253</v>
      </c>
      <c r="D3352" s="85">
        <v>4509</v>
      </c>
      <c r="E3352" s="85">
        <v>73097</v>
      </c>
      <c r="F3352" s="86">
        <v>5886.8</v>
      </c>
      <c r="G3352" s="87" t="s">
        <v>2189</v>
      </c>
    </row>
    <row r="3353" spans="1:7" x14ac:dyDescent="0.25">
      <c r="A3353" s="84" t="s">
        <v>2917</v>
      </c>
      <c r="B3353" s="84" t="s">
        <v>132</v>
      </c>
      <c r="C3353" s="84" t="s">
        <v>253</v>
      </c>
      <c r="D3353" s="85">
        <v>-4</v>
      </c>
      <c r="E3353" s="85">
        <v>0</v>
      </c>
      <c r="F3353" s="86">
        <v>0</v>
      </c>
      <c r="G3353" s="87" t="s">
        <v>2189</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2918</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2919</v>
      </c>
    </row>
    <row r="4" spans="1:59" ht="15" customHeight="1" x14ac:dyDescent="0.25">
      <c r="M4" s="65" t="s">
        <v>2920</v>
      </c>
    </row>
    <row r="5" spans="1:59" ht="15" customHeight="1" x14ac:dyDescent="0.25">
      <c r="M5" s="64" t="s">
        <v>2921</v>
      </c>
    </row>
    <row r="6" spans="1:59" ht="14.25" customHeight="1" x14ac:dyDescent="0.2">
      <c r="M6" s="63" t="s">
        <v>2922</v>
      </c>
    </row>
    <row r="24" spans="1:58" ht="15.75" customHeight="1" x14ac:dyDescent="0.25">
      <c r="C24" s="62" t="s">
        <v>2923</v>
      </c>
      <c r="BE24" s="48" t="s">
        <v>2924</v>
      </c>
    </row>
    <row r="25" spans="1:58" x14ac:dyDescent="0.2">
      <c r="C25" s="61" t="s">
        <v>174</v>
      </c>
      <c r="D25" s="60" t="s">
        <v>2925</v>
      </c>
      <c r="E25" s="59" t="s">
        <v>2926</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2927</v>
      </c>
    </row>
    <row r="26" spans="1:58" ht="12.6" customHeight="1" x14ac:dyDescent="0.2">
      <c r="A26" s="78">
        <f t="shared" ref="A26:A57" si="0">IF(E26="Total RPS",1,0)+IF(E26="Total RPS (Wtd. Avg.)",1,0)</f>
        <v>1</v>
      </c>
      <c r="B26" s="78">
        <f>INDEX('RPS by State'!F:F,MATCH('BNL_RPS Targets (%)'!C26,'RPS by State'!B:B,0))</f>
        <v>108604620</v>
      </c>
      <c r="C26" s="70" t="s">
        <v>8</v>
      </c>
      <c r="D26" s="71" t="s">
        <v>2928</v>
      </c>
      <c r="E26" s="52" t="s">
        <v>2929</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2929</v>
      </c>
    </row>
    <row r="27" spans="1:58" hidden="1" x14ac:dyDescent="0.2">
      <c r="A27" s="78">
        <f t="shared" si="0"/>
        <v>0</v>
      </c>
      <c r="B27" s="78">
        <f>INDEX('RPS by State'!F:F,MATCH('BNL_RPS Targets (%)'!C27,'RPS by State'!B:B,0))</f>
        <v>108604620</v>
      </c>
      <c r="C27" s="70" t="s">
        <v>8</v>
      </c>
      <c r="D27" s="72"/>
      <c r="E27" s="52" t="s">
        <v>2930</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2931</v>
      </c>
    </row>
    <row r="28" spans="1:58" ht="13.15" customHeight="1" x14ac:dyDescent="0.2">
      <c r="A28" s="78">
        <f t="shared" si="0"/>
        <v>1</v>
      </c>
      <c r="B28" s="78">
        <f>INDEX('RPS by State'!F:F,MATCH('BNL_RPS Targets (%)'!C28,'RPS by State'!B:B,0))</f>
        <v>197165106</v>
      </c>
      <c r="C28" s="54" t="s">
        <v>15</v>
      </c>
      <c r="D28" s="53" t="s">
        <v>2932</v>
      </c>
      <c r="E28" s="52" t="s">
        <v>2929</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2929</v>
      </c>
    </row>
    <row r="29" spans="1:58" ht="12.6" customHeight="1" x14ac:dyDescent="0.2">
      <c r="A29" s="78">
        <f t="shared" si="0"/>
        <v>1</v>
      </c>
      <c r="B29" s="78">
        <f>INDEX('RPS by State'!F:F,MATCH('BNL_RPS Targets (%)'!C29,'RPS by State'!B:B,0))</f>
        <v>56838472</v>
      </c>
      <c r="C29" s="70" t="s">
        <v>16</v>
      </c>
      <c r="D29" s="71" t="s">
        <v>2933</v>
      </c>
      <c r="E29" s="52" t="s">
        <v>2934</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2929</v>
      </c>
    </row>
    <row r="30" spans="1:58" hidden="1" x14ac:dyDescent="0.2">
      <c r="A30" s="78">
        <f t="shared" si="0"/>
        <v>0</v>
      </c>
      <c r="B30" s="78">
        <f>INDEX('RPS by State'!F:F,MATCH('BNL_RPS Targets (%)'!C30,'RPS by State'!B:B,0))</f>
        <v>56838472</v>
      </c>
      <c r="C30" s="70" t="s">
        <v>16</v>
      </c>
      <c r="D30" s="73"/>
      <c r="E30" s="52" t="s">
        <v>2935</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2936</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2937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2938</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2931</v>
      </c>
    </row>
    <row r="34" spans="1:58" hidden="1" x14ac:dyDescent="0.2">
      <c r="A34" s="78">
        <f t="shared" si="0"/>
        <v>0</v>
      </c>
      <c r="B34" s="78">
        <f>INDEX('RPS by State'!F:F,MATCH('BNL_RPS Targets (%)'!C34,'RPS by State'!B:B,0))</f>
        <v>56838472</v>
      </c>
      <c r="C34" s="70" t="s">
        <v>16</v>
      </c>
      <c r="D34" s="73"/>
      <c r="E34" s="52" t="s">
        <v>2935</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2939</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2940</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2941</v>
      </c>
      <c r="E37" s="52" t="s">
        <v>2929</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2929</v>
      </c>
    </row>
    <row r="38" spans="1:58" hidden="1" x14ac:dyDescent="0.2">
      <c r="A38" s="78">
        <f t="shared" si="0"/>
        <v>0</v>
      </c>
      <c r="B38" s="78">
        <f>INDEX('RPS by State'!F:F,MATCH('BNL_RPS Targets (%)'!C38,'RPS by State'!B:B,0))</f>
        <v>44079943</v>
      </c>
      <c r="C38" s="70" t="s">
        <v>19</v>
      </c>
      <c r="D38" s="73"/>
      <c r="E38" s="52" t="s">
        <v>2942</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2943</v>
      </c>
    </row>
    <row r="39" spans="1:58" hidden="1" x14ac:dyDescent="0.2">
      <c r="A39" s="78">
        <f t="shared" si="0"/>
        <v>0</v>
      </c>
      <c r="B39" s="78">
        <f>INDEX('RPS by State'!F:F,MATCH('BNL_RPS Targets (%)'!C39,'RPS by State'!B:B,0))</f>
        <v>44079943</v>
      </c>
      <c r="C39" s="70" t="s">
        <v>19</v>
      </c>
      <c r="D39" s="72"/>
      <c r="E39" s="52" t="s">
        <v>2944</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2945</v>
      </c>
    </row>
    <row r="40" spans="1:58" x14ac:dyDescent="0.2">
      <c r="A40" s="78">
        <f t="shared" si="0"/>
        <v>1</v>
      </c>
      <c r="B40" s="78">
        <f>INDEX('RPS by State'!F:F,MATCH('BNL_RPS Targets (%)'!C40,'RPS by State'!B:B,0))</f>
        <v>211101</v>
      </c>
      <c r="C40" s="70" t="s">
        <v>184</v>
      </c>
      <c r="D40" s="71" t="s">
        <v>2941</v>
      </c>
      <c r="E40" s="52" t="s">
        <v>2929</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184</v>
      </c>
      <c r="BF40" s="48" t="s">
        <v>2929</v>
      </c>
    </row>
    <row r="41" spans="1:58" hidden="1" x14ac:dyDescent="0.2">
      <c r="A41" s="78">
        <f t="shared" si="0"/>
        <v>0</v>
      </c>
      <c r="B41" s="78">
        <f>INDEX('RPS by State'!F:F,MATCH('BNL_RPS Targets (%)'!C41,'RPS by State'!B:B,0))</f>
        <v>211101</v>
      </c>
      <c r="C41" s="70" t="s">
        <v>184</v>
      </c>
      <c r="D41" s="73"/>
      <c r="E41" s="55" t="s">
        <v>2946</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184</v>
      </c>
      <c r="BF41" s="48" t="s">
        <v>2931</v>
      </c>
    </row>
    <row r="42" spans="1:58" hidden="1" x14ac:dyDescent="0.2">
      <c r="A42" s="78">
        <f t="shared" si="0"/>
        <v>0</v>
      </c>
      <c r="B42" s="78">
        <f>INDEX('RPS by State'!F:F,MATCH('BNL_RPS Targets (%)'!C42,'RPS by State'!B:B,0))</f>
        <v>211101</v>
      </c>
      <c r="C42" s="70" t="s">
        <v>184</v>
      </c>
      <c r="D42" s="73"/>
      <c r="E42" s="55" t="s">
        <v>2947</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184</v>
      </c>
      <c r="BF42" s="48" t="s">
        <v>2943</v>
      </c>
    </row>
    <row r="43" spans="1:58" hidden="1" x14ac:dyDescent="0.2">
      <c r="A43" s="78">
        <f t="shared" si="0"/>
        <v>0</v>
      </c>
      <c r="B43" s="78">
        <f>INDEX('RPS by State'!F:F,MATCH('BNL_RPS Targets (%)'!C43,'RPS by State'!B:B,0))</f>
        <v>211101</v>
      </c>
      <c r="C43" s="70" t="s">
        <v>184</v>
      </c>
      <c r="D43" s="72"/>
      <c r="E43" s="55" t="s">
        <v>2948</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184</v>
      </c>
      <c r="BF43" s="48" t="s">
        <v>2945</v>
      </c>
    </row>
    <row r="44" spans="1:58" x14ac:dyDescent="0.2">
      <c r="A44" s="78">
        <f t="shared" si="0"/>
        <v>1</v>
      </c>
      <c r="B44" s="78">
        <f>INDEX('RPS by State'!F:F,MATCH('BNL_RPS Targets (%)'!C44,'RPS by State'!B:B,0))</f>
        <v>4305126</v>
      </c>
      <c r="C44" s="70" t="s">
        <v>22</v>
      </c>
      <c r="D44" s="71" t="s">
        <v>2941</v>
      </c>
      <c r="E44" s="52" t="s">
        <v>2929</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2929</v>
      </c>
    </row>
    <row r="45" spans="1:58" hidden="1" x14ac:dyDescent="0.2">
      <c r="A45" s="78">
        <f t="shared" si="0"/>
        <v>0</v>
      </c>
      <c r="B45" s="78">
        <f>INDEX('RPS by State'!F:F,MATCH('BNL_RPS Targets (%)'!C45,'RPS by State'!B:B,0))</f>
        <v>4305126</v>
      </c>
      <c r="C45" s="70" t="s">
        <v>22</v>
      </c>
      <c r="D45" s="73"/>
      <c r="E45" s="55" t="s">
        <v>2946</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2931</v>
      </c>
    </row>
    <row r="46" spans="1:58" hidden="1" x14ac:dyDescent="0.2">
      <c r="A46" s="78">
        <f t="shared" si="0"/>
        <v>0</v>
      </c>
      <c r="B46" s="78">
        <f>INDEX('RPS by State'!F:F,MATCH('BNL_RPS Targets (%)'!C46,'RPS by State'!B:B,0))</f>
        <v>4305126</v>
      </c>
      <c r="C46" s="70" t="s">
        <v>22</v>
      </c>
      <c r="D46" s="73"/>
      <c r="E46" s="55" t="s">
        <v>2949</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2943</v>
      </c>
    </row>
    <row r="47" spans="1:58" hidden="1" x14ac:dyDescent="0.2">
      <c r="A47" s="78">
        <f t="shared" si="0"/>
        <v>0</v>
      </c>
      <c r="B47" s="78">
        <f>INDEX('RPS by State'!F:F,MATCH('BNL_RPS Targets (%)'!C47,'RPS by State'!B:B,0))</f>
        <v>4305126</v>
      </c>
      <c r="C47" s="70" t="s">
        <v>22</v>
      </c>
      <c r="D47" s="72"/>
      <c r="E47" s="55" t="s">
        <v>2950</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2945</v>
      </c>
    </row>
    <row r="48" spans="1:58" x14ac:dyDescent="0.2">
      <c r="A48" s="78">
        <f t="shared" si="0"/>
        <v>1</v>
      </c>
      <c r="B48" s="78">
        <f>INDEX('RPS by State'!F:F,MATCH('BNL_RPS Targets (%)'!C48,'RPS by State'!B:B,0))</f>
        <v>9182191</v>
      </c>
      <c r="C48" s="54" t="s">
        <v>29</v>
      </c>
      <c r="D48" s="53" t="s">
        <v>2941</v>
      </c>
      <c r="E48" s="52" t="s">
        <v>2929</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2929</v>
      </c>
    </row>
    <row r="49" spans="1:58" x14ac:dyDescent="0.2">
      <c r="A49" s="78">
        <f t="shared" si="0"/>
        <v>1</v>
      </c>
      <c r="B49" s="78">
        <f>INDEX('RPS by State'!F:F,MATCH('BNL_RPS Targets (%)'!C49,'RPS by State'!B:B,0))</f>
        <v>67207008</v>
      </c>
      <c r="C49" s="54" t="s">
        <v>40</v>
      </c>
      <c r="D49" s="55" t="s">
        <v>2951</v>
      </c>
      <c r="E49" s="52" t="s">
        <v>2929</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2929</v>
      </c>
    </row>
    <row r="50" spans="1:58" ht="12.6" customHeight="1" x14ac:dyDescent="0.2">
      <c r="A50" s="78">
        <f t="shared" si="0"/>
        <v>1</v>
      </c>
      <c r="B50" s="78">
        <f>INDEX('RPS by State'!F:F,MATCH('BNL_RPS Targets (%)'!C50,'RPS by State'!B:B,0))</f>
        <v>181637574</v>
      </c>
      <c r="C50" s="70" t="s">
        <v>35</v>
      </c>
      <c r="D50" s="71" t="s">
        <v>2952</v>
      </c>
      <c r="E50" s="52" t="s">
        <v>2929</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2929</v>
      </c>
    </row>
    <row r="51" spans="1:58" hidden="1" x14ac:dyDescent="0.2">
      <c r="A51" s="78">
        <f t="shared" si="0"/>
        <v>0</v>
      </c>
      <c r="B51" s="78">
        <f>INDEX('RPS by State'!F:F,MATCH('BNL_RPS Targets (%)'!C51,'RPS by State'!B:B,0))</f>
        <v>181637574</v>
      </c>
      <c r="C51" s="70" t="s">
        <v>35</v>
      </c>
      <c r="D51" s="73"/>
      <c r="E51" s="55" t="s">
        <v>2953</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2954</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2931</v>
      </c>
    </row>
    <row r="53" spans="1:58" hidden="1" x14ac:dyDescent="0.2">
      <c r="A53" s="78">
        <f t="shared" si="0"/>
        <v>0</v>
      </c>
      <c r="B53" s="78">
        <f>INDEX('RPS by State'!F:F,MATCH('BNL_RPS Targets (%)'!C53,'RPS by State'!B:B,0))</f>
        <v>181637574</v>
      </c>
      <c r="C53" s="70" t="s">
        <v>35</v>
      </c>
      <c r="D53" s="72"/>
      <c r="E53" s="55" t="s">
        <v>2955</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2956</v>
      </c>
      <c r="E54" s="52" t="s">
        <v>2929</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2929</v>
      </c>
    </row>
    <row r="55" spans="1:58" hidden="1" x14ac:dyDescent="0.2">
      <c r="A55" s="78">
        <f t="shared" si="0"/>
        <v>0</v>
      </c>
      <c r="B55" s="78">
        <f>INDEX('RPS by State'!F:F,MATCH('BNL_RPS Targets (%)'!C55,'RPS by State'!B:B,0))</f>
        <v>19477347</v>
      </c>
      <c r="C55" s="70" t="s">
        <v>56</v>
      </c>
      <c r="D55" s="73"/>
      <c r="E55" s="55" t="s">
        <v>2957</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2931</v>
      </c>
    </row>
    <row r="56" spans="1:58" hidden="1" x14ac:dyDescent="0.2">
      <c r="A56" s="78">
        <f t="shared" si="0"/>
        <v>0</v>
      </c>
      <c r="B56" s="78">
        <f>INDEX('RPS by State'!F:F,MATCH('BNL_RPS Targets (%)'!C56,'RPS by State'!B:B,0))</f>
        <v>19477347</v>
      </c>
      <c r="C56" s="70" t="s">
        <v>56</v>
      </c>
      <c r="D56" s="73"/>
      <c r="E56" s="55" t="s">
        <v>2958</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2943</v>
      </c>
    </row>
    <row r="57" spans="1:58" hidden="1" x14ac:dyDescent="0.2">
      <c r="A57" s="78">
        <f t="shared" si="0"/>
        <v>0</v>
      </c>
      <c r="B57" s="78">
        <f>INDEX('RPS by State'!F:F,MATCH('BNL_RPS Targets (%)'!C57,'RPS by State'!B:B,0))</f>
        <v>19477347</v>
      </c>
      <c r="C57" s="70" t="s">
        <v>56</v>
      </c>
      <c r="D57" s="73"/>
      <c r="E57" s="55" t="s">
        <v>2959</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2945</v>
      </c>
    </row>
    <row r="58" spans="1:58" hidden="1" x14ac:dyDescent="0.2">
      <c r="A58" s="78">
        <f t="shared" ref="A58:A89" si="1">IF(E58="Total RPS",1,0)+IF(E58="Total RPS (Wtd. Avg.)",1,0)</f>
        <v>0</v>
      </c>
      <c r="B58" s="78">
        <f>INDEX('RPS by State'!F:F,MATCH('BNL_RPS Targets (%)'!C58,'RPS by State'!B:B,0))</f>
        <v>19477347</v>
      </c>
      <c r="C58" s="70" t="s">
        <v>56</v>
      </c>
      <c r="D58" s="72"/>
      <c r="E58" s="55" t="s">
        <v>2960</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2945</v>
      </c>
    </row>
    <row r="59" spans="1:58" ht="12.6" customHeight="1" x14ac:dyDescent="0.2">
      <c r="A59" s="78">
        <f t="shared" si="1"/>
        <v>1</v>
      </c>
      <c r="B59" s="78">
        <f>INDEX('RPS by State'!F:F,MATCH('BNL_RPS Targets (%)'!C59,'RPS by State'!B:B,0))</f>
        <v>38235137</v>
      </c>
      <c r="C59" s="70" t="s">
        <v>53</v>
      </c>
      <c r="D59" s="71" t="s">
        <v>2961</v>
      </c>
      <c r="E59" s="52" t="s">
        <v>2929</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2929</v>
      </c>
    </row>
    <row r="60" spans="1:58" hidden="1" x14ac:dyDescent="0.2">
      <c r="A60" s="78">
        <f t="shared" si="1"/>
        <v>0</v>
      </c>
      <c r="B60" s="78">
        <f>INDEX('RPS by State'!F:F,MATCH('BNL_RPS Targets (%)'!C60,'RPS by State'!B:B,0))</f>
        <v>38235137</v>
      </c>
      <c r="C60" s="70" t="s">
        <v>53</v>
      </c>
      <c r="D60" s="73"/>
      <c r="E60" s="55" t="s">
        <v>2946</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2931</v>
      </c>
    </row>
    <row r="61" spans="1:58" hidden="1" x14ac:dyDescent="0.2">
      <c r="A61" s="78">
        <f t="shared" si="1"/>
        <v>0</v>
      </c>
      <c r="B61" s="78">
        <f>INDEX('RPS by State'!F:F,MATCH('BNL_RPS Targets (%)'!C61,'RPS by State'!B:B,0))</f>
        <v>38235137</v>
      </c>
      <c r="C61" s="70" t="s">
        <v>53</v>
      </c>
      <c r="D61" s="73"/>
      <c r="E61" s="55" t="s">
        <v>2962</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2963</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2943</v>
      </c>
    </row>
    <row r="63" spans="1:58" hidden="1" x14ac:dyDescent="0.2">
      <c r="A63" s="78">
        <f t="shared" si="1"/>
        <v>0</v>
      </c>
      <c r="B63" s="78">
        <f>INDEX('RPS by State'!F:F,MATCH('BNL_RPS Targets (%)'!C63,'RPS by State'!B:B,0))</f>
        <v>38235137</v>
      </c>
      <c r="C63" s="70" t="s">
        <v>53</v>
      </c>
      <c r="D63" s="72"/>
      <c r="E63" s="55" t="s">
        <v>2948</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2945</v>
      </c>
    </row>
    <row r="64" spans="1:58" x14ac:dyDescent="0.2">
      <c r="A64" s="78">
        <f t="shared" si="1"/>
        <v>1</v>
      </c>
      <c r="B64" s="78">
        <f>INDEX('RPS by State'!F:F,MATCH('BNL_RPS Targets (%)'!C64,'RPS by State'!B:B,0))</f>
        <v>10908150</v>
      </c>
      <c r="C64" s="70" t="s">
        <v>51</v>
      </c>
      <c r="D64" s="71" t="s">
        <v>2941</v>
      </c>
      <c r="E64" s="52" t="s">
        <v>2929</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2929</v>
      </c>
    </row>
    <row r="65" spans="1:58" hidden="1" x14ac:dyDescent="0.2">
      <c r="A65" s="78">
        <f t="shared" si="1"/>
        <v>0</v>
      </c>
      <c r="B65" s="78">
        <f>INDEX('RPS by State'!F:F,MATCH('BNL_RPS Targets (%)'!C65,'RPS by State'!B:B,0))</f>
        <v>10908150</v>
      </c>
      <c r="C65" s="70" t="s">
        <v>51</v>
      </c>
      <c r="D65" s="73"/>
      <c r="E65" s="55" t="s">
        <v>2964</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2943</v>
      </c>
    </row>
    <row r="66" spans="1:58" hidden="1" x14ac:dyDescent="0.2">
      <c r="A66" s="78">
        <f t="shared" si="1"/>
        <v>0</v>
      </c>
      <c r="B66" s="78">
        <f>INDEX('RPS by State'!F:F,MATCH('BNL_RPS Targets (%)'!C66,'RPS by State'!B:B,0))</f>
        <v>10908150</v>
      </c>
      <c r="C66" s="70" t="s">
        <v>51</v>
      </c>
      <c r="D66" s="73"/>
      <c r="E66" s="55" t="s">
        <v>2965</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2943</v>
      </c>
    </row>
    <row r="67" spans="1:58" hidden="1" x14ac:dyDescent="0.2">
      <c r="A67" s="78">
        <f t="shared" si="1"/>
        <v>0</v>
      </c>
      <c r="B67" s="78">
        <f>INDEX('RPS by State'!F:F,MATCH('BNL_RPS Targets (%)'!C67,'RPS by State'!B:B,0))</f>
        <v>10908150</v>
      </c>
      <c r="C67" s="70" t="s">
        <v>51</v>
      </c>
      <c r="D67" s="73"/>
      <c r="E67" s="55" t="s">
        <v>2966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2945</v>
      </c>
    </row>
    <row r="68" spans="1:58" hidden="1" x14ac:dyDescent="0.2">
      <c r="A68" s="78">
        <f t="shared" si="1"/>
        <v>0</v>
      </c>
      <c r="B68" s="78">
        <f>INDEX('RPS by State'!F:F,MATCH('BNL_RPS Targets (%)'!C68,'RPS by State'!B:B,0))</f>
        <v>10908150</v>
      </c>
      <c r="C68" s="70" t="s">
        <v>51</v>
      </c>
      <c r="D68" s="72"/>
      <c r="E68" s="55" t="s">
        <v>2950</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2945</v>
      </c>
    </row>
    <row r="69" spans="1:58" x14ac:dyDescent="0.2">
      <c r="A69" s="78">
        <f t="shared" si="1"/>
        <v>1</v>
      </c>
      <c r="B69" s="78">
        <f>INDEX('RPS by State'!F:F,MATCH('BNL_RPS Targets (%)'!C69,'RPS by State'!B:B,0))</f>
        <v>115513130</v>
      </c>
      <c r="C69" s="54" t="s">
        <v>59</v>
      </c>
      <c r="D69" s="55" t="s">
        <v>2967</v>
      </c>
      <c r="E69" s="55" t="s">
        <v>2929</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2929</v>
      </c>
    </row>
    <row r="70" spans="1:58" ht="12.6" customHeight="1" x14ac:dyDescent="0.2">
      <c r="A70" s="78">
        <f t="shared" si="1"/>
        <v>1</v>
      </c>
      <c r="B70" s="78">
        <f>INDEX('RPS by State'!F:F,MATCH('BNL_RPS Targets (%)'!C70,'RPS by State'!B:B,0))</f>
        <v>59195769</v>
      </c>
      <c r="C70" s="70" t="s">
        <v>61</v>
      </c>
      <c r="D70" s="71" t="s">
        <v>2968</v>
      </c>
      <c r="E70" s="52" t="s">
        <v>2934</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2929</v>
      </c>
    </row>
    <row r="71" spans="1:58" hidden="1" x14ac:dyDescent="0.2">
      <c r="A71" s="78">
        <f t="shared" si="1"/>
        <v>0</v>
      </c>
      <c r="B71" s="78">
        <f>INDEX('RPS by State'!F:F,MATCH('BNL_RPS Targets (%)'!C71,'RPS by State'!B:B,0))</f>
        <v>59195769</v>
      </c>
      <c r="C71" s="70" t="s">
        <v>61</v>
      </c>
      <c r="D71" s="73"/>
      <c r="E71" s="52" t="s">
        <v>2969</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2970</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2971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2972</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2931</v>
      </c>
    </row>
    <row r="75" spans="1:58" x14ac:dyDescent="0.2">
      <c r="A75" s="78">
        <f t="shared" si="1"/>
        <v>1</v>
      </c>
      <c r="B75" s="78">
        <f>INDEX('RPS by State'!F:F,MATCH('BNL_RPS Targets (%)'!C75,'RPS by State'!B:B,0))</f>
        <v>76941410</v>
      </c>
      <c r="C75" s="70" t="s">
        <v>67</v>
      </c>
      <c r="D75" s="71" t="s">
        <v>2941</v>
      </c>
      <c r="E75" s="52" t="s">
        <v>2929</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2929</v>
      </c>
    </row>
    <row r="76" spans="1:58" hidden="1" x14ac:dyDescent="0.2">
      <c r="A76" s="78">
        <f t="shared" si="1"/>
        <v>0</v>
      </c>
      <c r="B76" s="78">
        <f>INDEX('RPS by State'!F:F,MATCH('BNL_RPS Targets (%)'!C76,'RPS by State'!B:B,0))</f>
        <v>76941410</v>
      </c>
      <c r="C76" s="70" t="s">
        <v>67</v>
      </c>
      <c r="D76" s="72"/>
      <c r="E76" s="55" t="s">
        <v>2946</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2931</v>
      </c>
    </row>
    <row r="77" spans="1:58" x14ac:dyDescent="0.2">
      <c r="A77" s="78">
        <f t="shared" si="1"/>
        <v>1</v>
      </c>
      <c r="B77" s="78">
        <f>INDEX('RPS by State'!F:F,MATCH('BNL_RPS Targets (%)'!C77,'RPS by State'!B:B,0))</f>
        <v>24947923</v>
      </c>
      <c r="C77" s="54" t="s">
        <v>70</v>
      </c>
      <c r="D77" s="53" t="s">
        <v>2941</v>
      </c>
      <c r="E77" s="52" t="s">
        <v>2929</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2929</v>
      </c>
    </row>
    <row r="78" spans="1:58" ht="12.6" customHeight="1" x14ac:dyDescent="0.2">
      <c r="A78" s="78">
        <f t="shared" si="1"/>
        <v>1</v>
      </c>
      <c r="B78" s="78">
        <f>INDEX('RPS by State'!F:F,MATCH('BNL_RPS Targets (%)'!C78,'RPS by State'!B:B,0))</f>
        <v>129923364</v>
      </c>
      <c r="C78" s="70" t="s">
        <v>89</v>
      </c>
      <c r="D78" s="71" t="s">
        <v>2973</v>
      </c>
      <c r="E78" s="52" t="s">
        <v>2934</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2929</v>
      </c>
    </row>
    <row r="79" spans="1:58" hidden="1" x14ac:dyDescent="0.2">
      <c r="A79" s="78">
        <f t="shared" si="1"/>
        <v>0</v>
      </c>
      <c r="B79" s="78">
        <f>INDEX('RPS by State'!F:F,MATCH('BNL_RPS Targets (%)'!C79,'RPS by State'!B:B,0))</f>
        <v>129923364</v>
      </c>
      <c r="C79" s="70" t="s">
        <v>89</v>
      </c>
      <c r="D79" s="73"/>
      <c r="E79" s="52" t="s">
        <v>2935</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2974</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2975</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2931</v>
      </c>
    </row>
    <row r="82" spans="1:58" hidden="1" x14ac:dyDescent="0.2">
      <c r="A82" s="78">
        <f t="shared" si="1"/>
        <v>0</v>
      </c>
      <c r="B82" s="78">
        <f>INDEX('RPS by State'!F:F,MATCH('BNL_RPS Targets (%)'!C82,'RPS by State'!B:B,0))</f>
        <v>129923364</v>
      </c>
      <c r="C82" s="70" t="s">
        <v>89</v>
      </c>
      <c r="D82" s="73"/>
      <c r="E82" s="55" t="s">
        <v>2976</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2945</v>
      </c>
    </row>
    <row r="83" spans="1:58" hidden="1" x14ac:dyDescent="0.2">
      <c r="A83" s="78">
        <f t="shared" si="1"/>
        <v>0</v>
      </c>
      <c r="B83" s="78">
        <f>INDEX('RPS by State'!F:F,MATCH('BNL_RPS Targets (%)'!C83,'RPS by State'!B:B,0))</f>
        <v>129923364</v>
      </c>
      <c r="C83" s="70" t="s">
        <v>89</v>
      </c>
      <c r="D83" s="72"/>
      <c r="E83" s="55" t="s">
        <v>2977</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2945</v>
      </c>
    </row>
    <row r="84" spans="1:58" x14ac:dyDescent="0.2">
      <c r="A84" s="78">
        <f t="shared" si="1"/>
        <v>1</v>
      </c>
      <c r="B84" s="78">
        <f>INDEX('RPS by State'!F:F,MATCH('BNL_RPS Targets (%)'!C84,'RPS by State'!B:B,0))</f>
        <v>17193254</v>
      </c>
      <c r="C84" s="70" t="s">
        <v>78</v>
      </c>
      <c r="D84" s="71" t="s">
        <v>2941</v>
      </c>
      <c r="E84" s="52" t="s">
        <v>2929</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2929</v>
      </c>
    </row>
    <row r="85" spans="1:58" hidden="1" x14ac:dyDescent="0.2">
      <c r="A85" s="78">
        <f t="shared" si="1"/>
        <v>0</v>
      </c>
      <c r="B85" s="78">
        <f>INDEX('RPS by State'!F:F,MATCH('BNL_RPS Targets (%)'!C85,'RPS by State'!B:B,0))</f>
        <v>17193254</v>
      </c>
      <c r="C85" s="70" t="s">
        <v>78</v>
      </c>
      <c r="D85" s="73"/>
      <c r="E85" s="55" t="s">
        <v>2978</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2943</v>
      </c>
    </row>
    <row r="86" spans="1:58" hidden="1" x14ac:dyDescent="0.2">
      <c r="A86" s="78">
        <f t="shared" si="1"/>
        <v>0</v>
      </c>
      <c r="B86" s="78">
        <f>INDEX('RPS by State'!F:F,MATCH('BNL_RPS Targets (%)'!C86,'RPS by State'!B:B,0))</f>
        <v>17193254</v>
      </c>
      <c r="C86" s="70" t="s">
        <v>78</v>
      </c>
      <c r="D86" s="73"/>
      <c r="E86" s="55" t="s">
        <v>2979</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2945</v>
      </c>
    </row>
    <row r="87" spans="1:58" hidden="1" x14ac:dyDescent="0.2">
      <c r="A87" s="78">
        <f t="shared" si="1"/>
        <v>0</v>
      </c>
      <c r="B87" s="78">
        <f>INDEX('RPS by State'!F:F,MATCH('BNL_RPS Targets (%)'!C87,'RPS by State'!B:B,0))</f>
        <v>17193254</v>
      </c>
      <c r="C87" s="70" t="s">
        <v>78</v>
      </c>
      <c r="D87" s="73"/>
      <c r="E87" s="55" t="s">
        <v>2980</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2931</v>
      </c>
    </row>
    <row r="88" spans="1:58" hidden="1" x14ac:dyDescent="0.2">
      <c r="A88" s="78">
        <f t="shared" si="1"/>
        <v>0</v>
      </c>
      <c r="B88" s="78">
        <f>INDEX('RPS by State'!F:F,MATCH('BNL_RPS Targets (%)'!C88,'RPS by State'!B:B,0))</f>
        <v>17193254</v>
      </c>
      <c r="C88" s="70" t="s">
        <v>78</v>
      </c>
      <c r="D88" s="73"/>
      <c r="E88" s="55" t="s">
        <v>2981</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2945</v>
      </c>
    </row>
    <row r="89" spans="1:58" hidden="1" x14ac:dyDescent="0.2">
      <c r="A89" s="78">
        <f t="shared" si="1"/>
        <v>0</v>
      </c>
      <c r="B89" s="78">
        <f>INDEX('RPS by State'!F:F,MATCH('BNL_RPS Targets (%)'!C89,'RPS by State'!B:B,0))</f>
        <v>17193254</v>
      </c>
      <c r="C89" s="70" t="s">
        <v>78</v>
      </c>
      <c r="D89" s="72"/>
      <c r="E89" s="55" t="s">
        <v>2982</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2945</v>
      </c>
    </row>
    <row r="90" spans="1:58" ht="12.6" customHeight="1" x14ac:dyDescent="0.2">
      <c r="A90" s="78">
        <f t="shared" ref="A90:A122" si="2">IF(E90="Total RPS",1,0)+IF(E90="Total RPS (Wtd. Avg.)",1,0)</f>
        <v>1</v>
      </c>
      <c r="B90" s="78">
        <f>INDEX('RPS by State'!F:F,MATCH('BNL_RPS Targets (%)'!C90,'RPS by State'!B:B,0))</f>
        <v>61433792</v>
      </c>
      <c r="C90" s="70" t="s">
        <v>80</v>
      </c>
      <c r="D90" s="71" t="s">
        <v>2983</v>
      </c>
      <c r="E90" s="52" t="s">
        <v>2929</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2929</v>
      </c>
    </row>
    <row r="91" spans="1:58" hidden="1" x14ac:dyDescent="0.2">
      <c r="A91" s="78">
        <f t="shared" si="2"/>
        <v>0</v>
      </c>
      <c r="B91" s="78">
        <f>INDEX('RPS by State'!F:F,MATCH('BNL_RPS Targets (%)'!C91,'RPS by State'!B:B,0))</f>
        <v>61433792</v>
      </c>
      <c r="C91" s="70" t="s">
        <v>80</v>
      </c>
      <c r="D91" s="73"/>
      <c r="E91" s="55" t="s">
        <v>2946</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2931</v>
      </c>
    </row>
    <row r="92" spans="1:58" hidden="1" x14ac:dyDescent="0.2">
      <c r="A92" s="78">
        <f t="shared" si="2"/>
        <v>0</v>
      </c>
      <c r="B92" s="78">
        <f>INDEX('RPS by State'!F:F,MATCH('BNL_RPS Targets (%)'!C92,'RPS by State'!B:B,0))</f>
        <v>61433792</v>
      </c>
      <c r="C92" s="70" t="s">
        <v>80</v>
      </c>
      <c r="D92" s="73"/>
      <c r="E92" s="55" t="s">
        <v>2984</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2943</v>
      </c>
    </row>
    <row r="93" spans="1:58" hidden="1" x14ac:dyDescent="0.2">
      <c r="A93" s="78">
        <f t="shared" si="2"/>
        <v>0</v>
      </c>
      <c r="B93" s="78">
        <f>INDEX('RPS by State'!F:F,MATCH('BNL_RPS Targets (%)'!C93,'RPS by State'!B:B,0))</f>
        <v>61433792</v>
      </c>
      <c r="C93" s="70" t="s">
        <v>80</v>
      </c>
      <c r="D93" s="72"/>
      <c r="E93" s="55" t="s">
        <v>2944</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2945</v>
      </c>
    </row>
    <row r="94" spans="1:58" ht="12.6" customHeight="1" x14ac:dyDescent="0.2">
      <c r="A94" s="78">
        <f t="shared" si="2"/>
        <v>1</v>
      </c>
      <c r="B94" s="78">
        <f>INDEX('RPS by State'!F:F,MATCH('BNL_RPS Targets (%)'!C94,'RPS by State'!B:B,0))</f>
        <v>35192365</v>
      </c>
      <c r="C94" s="70" t="s">
        <v>83</v>
      </c>
      <c r="D94" s="71" t="s">
        <v>2985</v>
      </c>
      <c r="E94" s="52" t="s">
        <v>2934</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2929</v>
      </c>
    </row>
    <row r="95" spans="1:58" hidden="1" x14ac:dyDescent="0.2">
      <c r="A95" s="78">
        <f t="shared" si="2"/>
        <v>0</v>
      </c>
      <c r="B95" s="78">
        <f>INDEX('RPS by State'!F:F,MATCH('BNL_RPS Targets (%)'!C95,'RPS by State'!B:B,0))</f>
        <v>35192365</v>
      </c>
      <c r="C95" s="70" t="s">
        <v>83</v>
      </c>
      <c r="D95" s="73"/>
      <c r="E95" s="52" t="s">
        <v>2935</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2986</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2941</v>
      </c>
      <c r="E97" s="52" t="s">
        <v>2929</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2929</v>
      </c>
    </row>
    <row r="98" spans="1:58" ht="13.15" customHeight="1" x14ac:dyDescent="0.2">
      <c r="A98" s="78">
        <f t="shared" si="2"/>
        <v>1</v>
      </c>
      <c r="B98" s="78">
        <f>INDEX('RPS by State'!F:F,MATCH('BNL_RPS Targets (%)'!C98,'RPS by State'!B:B,0))</f>
        <v>124772248</v>
      </c>
      <c r="C98" s="70" t="s">
        <v>86</v>
      </c>
      <c r="D98" s="74" t="s">
        <v>2987</v>
      </c>
      <c r="E98" s="52" t="s">
        <v>2929</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2988</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2929</v>
      </c>
    </row>
    <row r="99" spans="1:58" ht="13.15" hidden="1" customHeight="1" x14ac:dyDescent="0.2">
      <c r="A99" s="78">
        <f t="shared" si="2"/>
        <v>0</v>
      </c>
      <c r="B99" s="78">
        <f>INDEX('RPS by State'!F:F,MATCH('BNL_RPS Targets (%)'!C99,'RPS by State'!B:B,0))</f>
        <v>124772248</v>
      </c>
      <c r="C99" s="70" t="s">
        <v>86</v>
      </c>
      <c r="D99" s="75"/>
      <c r="E99" s="52" t="s">
        <v>2989</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2941</v>
      </c>
      <c r="E100" s="52" t="s">
        <v>2929</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2929</v>
      </c>
    </row>
    <row r="101" spans="1:58" hidden="1" x14ac:dyDescent="0.2">
      <c r="A101" s="78">
        <f t="shared" si="2"/>
        <v>0</v>
      </c>
      <c r="B101" s="78">
        <f>INDEX('RPS by State'!F:F,MATCH('BNL_RPS Targets (%)'!C101,'RPS by State'!B:B,0))</f>
        <v>125947507</v>
      </c>
      <c r="C101" s="70" t="s">
        <v>94</v>
      </c>
      <c r="D101" s="72"/>
      <c r="E101" s="55" t="s">
        <v>2946</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2931</v>
      </c>
    </row>
    <row r="102" spans="1:58" ht="12.6" customHeight="1" x14ac:dyDescent="0.2">
      <c r="A102" s="78">
        <f t="shared" si="2"/>
        <v>1</v>
      </c>
      <c r="B102" s="78">
        <f>INDEX('RPS by State'!F:F,MATCH('BNL_RPS Targets (%)'!C102,'RPS by State'!B:B,0))</f>
        <v>61016874</v>
      </c>
      <c r="C102" s="70" t="s">
        <v>98</v>
      </c>
      <c r="D102" s="71" t="s">
        <v>2990</v>
      </c>
      <c r="E102" s="52" t="s">
        <v>2934</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2929</v>
      </c>
    </row>
    <row r="103" spans="1:58" hidden="1" x14ac:dyDescent="0.2">
      <c r="A103" s="78">
        <f t="shared" si="2"/>
        <v>0</v>
      </c>
      <c r="B103" s="78">
        <f>INDEX('RPS by State'!F:F,MATCH('BNL_RPS Targets (%)'!C103,'RPS by State'!B:B,0))</f>
        <v>61016874</v>
      </c>
      <c r="C103" s="70" t="s">
        <v>98</v>
      </c>
      <c r="D103" s="73"/>
      <c r="E103" s="52" t="s">
        <v>2991</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2992</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2993</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2994</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2995</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2972</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2931</v>
      </c>
    </row>
    <row r="109" spans="1:58" x14ac:dyDescent="0.2">
      <c r="A109" s="78">
        <f t="shared" si="2"/>
        <v>1</v>
      </c>
      <c r="B109" s="78">
        <f>INDEX('RPS by State'!F:F,MATCH('BNL_RPS Targets (%)'!C109,'RPS by State'!B:B,0))</f>
        <v>241331434</v>
      </c>
      <c r="C109" s="70" t="s">
        <v>101</v>
      </c>
      <c r="D109" s="71" t="s">
        <v>2941</v>
      </c>
      <c r="E109" s="52" t="s">
        <v>2929</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2929</v>
      </c>
    </row>
    <row r="110" spans="1:58" hidden="1" x14ac:dyDescent="0.2">
      <c r="A110" s="78">
        <f t="shared" si="2"/>
        <v>0</v>
      </c>
      <c r="B110" s="78">
        <f>INDEX('RPS by State'!F:F,MATCH('BNL_RPS Targets (%)'!C110,'RPS by State'!B:B,0))</f>
        <v>241331434</v>
      </c>
      <c r="C110" s="70" t="s">
        <v>101</v>
      </c>
      <c r="D110" s="73"/>
      <c r="E110" s="55" t="s">
        <v>2946</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2931</v>
      </c>
    </row>
    <row r="111" spans="1:58" hidden="1" x14ac:dyDescent="0.2">
      <c r="A111" s="78">
        <f t="shared" si="2"/>
        <v>0</v>
      </c>
      <c r="B111" s="78">
        <f>INDEX('RPS by State'!F:F,MATCH('BNL_RPS Targets (%)'!C111,'RPS by State'!B:B,0))</f>
        <v>241331434</v>
      </c>
      <c r="C111" s="70" t="s">
        <v>101</v>
      </c>
      <c r="D111" s="73"/>
      <c r="E111" s="55" t="s">
        <v>2947</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2943</v>
      </c>
    </row>
    <row r="112" spans="1:58" hidden="1" x14ac:dyDescent="0.2">
      <c r="A112" s="78">
        <f t="shared" si="2"/>
        <v>0</v>
      </c>
      <c r="B112" s="78">
        <f>INDEX('RPS by State'!F:F,MATCH('BNL_RPS Targets (%)'!C112,'RPS by State'!B:B,0))</f>
        <v>241331434</v>
      </c>
      <c r="C112" s="70" t="s">
        <v>101</v>
      </c>
      <c r="D112" s="72"/>
      <c r="E112" s="55" t="s">
        <v>2948</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2945</v>
      </c>
    </row>
    <row r="113" spans="1:58" x14ac:dyDescent="0.2">
      <c r="A113" s="78">
        <f t="shared" si="2"/>
        <v>1</v>
      </c>
      <c r="B113" s="78">
        <f>INDEX('RPS by State'!F:F,MATCH('BNL_RPS Targets (%)'!C113,'RPS by State'!B:B,0))</f>
        <v>9322650</v>
      </c>
      <c r="C113" s="70" t="s">
        <v>104</v>
      </c>
      <c r="D113" s="71" t="s">
        <v>2941</v>
      </c>
      <c r="E113" s="52" t="s">
        <v>2929</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2929</v>
      </c>
    </row>
    <row r="114" spans="1:58" hidden="1" x14ac:dyDescent="0.2">
      <c r="A114" s="78">
        <f t="shared" si="2"/>
        <v>0</v>
      </c>
      <c r="B114" s="78">
        <f>INDEX('RPS by State'!F:F,MATCH('BNL_RPS Targets (%)'!C114,'RPS by State'!B:B,0))</f>
        <v>9322650</v>
      </c>
      <c r="C114" s="70" t="s">
        <v>104</v>
      </c>
      <c r="D114" s="73"/>
      <c r="E114" s="55" t="s">
        <v>2996</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2943</v>
      </c>
    </row>
    <row r="115" spans="1:58" hidden="1" x14ac:dyDescent="0.2">
      <c r="A115" s="78">
        <f t="shared" si="2"/>
        <v>0</v>
      </c>
      <c r="B115" s="78">
        <f>INDEX('RPS by State'!F:F,MATCH('BNL_RPS Targets (%)'!C115,'RPS by State'!B:B,0))</f>
        <v>9322650</v>
      </c>
      <c r="C115" s="70" t="s">
        <v>104</v>
      </c>
      <c r="D115" s="72"/>
      <c r="E115" s="55" t="s">
        <v>2950</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2945</v>
      </c>
    </row>
    <row r="116" spans="1:58" x14ac:dyDescent="0.2">
      <c r="A116" s="78">
        <f t="shared" si="2"/>
        <v>1</v>
      </c>
      <c r="B116" s="78">
        <f>INDEX('RPS by State'!F:F,MATCH('BNL_RPS Targets (%)'!C116,'RPS by State'!B:B,0))</f>
        <v>481844256</v>
      </c>
      <c r="C116" s="54" t="s">
        <v>115</v>
      </c>
      <c r="D116" s="55" t="s">
        <v>2997</v>
      </c>
      <c r="E116" s="52" t="s">
        <v>2929</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2929</v>
      </c>
    </row>
    <row r="117" spans="1:58" ht="12.6" customHeight="1" x14ac:dyDescent="0.2">
      <c r="A117" s="78">
        <f t="shared" si="2"/>
        <v>1</v>
      </c>
      <c r="B117" s="78">
        <f>INDEX('RPS by State'!F:F,MATCH('BNL_RPS Targets (%)'!C117,'RPS by State'!B:B,0))</f>
        <v>93478182</v>
      </c>
      <c r="C117" s="70" t="s">
        <v>123</v>
      </c>
      <c r="D117" s="71" t="s">
        <v>2998</v>
      </c>
      <c r="E117" s="52" t="s">
        <v>2934</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2929</v>
      </c>
    </row>
    <row r="118" spans="1:58" hidden="1" x14ac:dyDescent="0.2">
      <c r="A118" s="78">
        <f t="shared" si="2"/>
        <v>0</v>
      </c>
      <c r="B118" s="78">
        <f>INDEX('RPS by State'!F:F,MATCH('BNL_RPS Targets (%)'!C118,'RPS by State'!B:B,0))</f>
        <v>93478182</v>
      </c>
      <c r="C118" s="70" t="s">
        <v>123</v>
      </c>
      <c r="D118" s="72"/>
      <c r="E118" s="55" t="s">
        <v>2999</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2931</v>
      </c>
    </row>
    <row r="119" spans="1:58" x14ac:dyDescent="0.2">
      <c r="A119" s="78">
        <f t="shared" si="2"/>
        <v>1</v>
      </c>
      <c r="B119" s="78">
        <f>INDEX('RPS by State'!F:F,MATCH('BNL_RPS Targets (%)'!C119,'RPS by State'!B:B,0))</f>
        <v>2107703</v>
      </c>
      <c r="C119" s="70" t="s">
        <v>120</v>
      </c>
      <c r="D119" s="71" t="s">
        <v>2941</v>
      </c>
      <c r="E119" s="52" t="s">
        <v>2929</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2929</v>
      </c>
    </row>
    <row r="120" spans="1:58" hidden="1" x14ac:dyDescent="0.2">
      <c r="A120" s="78">
        <f t="shared" si="2"/>
        <v>0</v>
      </c>
      <c r="B120" s="78">
        <f>INDEX('RPS by State'!F:F,MATCH('BNL_RPS Targets (%)'!C120,'RPS by State'!B:B,0))</f>
        <v>2107703</v>
      </c>
      <c r="C120" s="70" t="s">
        <v>120</v>
      </c>
      <c r="D120" s="72"/>
      <c r="E120" s="55" t="s">
        <v>2930</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2931</v>
      </c>
    </row>
    <row r="121" spans="1:58" x14ac:dyDescent="0.2">
      <c r="A121" s="78">
        <f t="shared" si="2"/>
        <v>1</v>
      </c>
      <c r="B121" s="78">
        <f>INDEX('RPS by State'!F:F,MATCH('BNL_RPS Targets (%)'!C121,'RPS by State'!B:B,0))</f>
        <v>110808401</v>
      </c>
      <c r="C121" s="54" t="s">
        <v>126</v>
      </c>
      <c r="D121" s="53" t="s">
        <v>2941</v>
      </c>
      <c r="E121" s="52" t="s">
        <v>2929</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2929</v>
      </c>
    </row>
    <row r="122" spans="1:58" x14ac:dyDescent="0.2">
      <c r="A122" s="78">
        <f t="shared" si="2"/>
        <v>1</v>
      </c>
      <c r="B122" s="78">
        <f>INDEX('RPS by State'!F:F,MATCH('BNL_RPS Targets (%)'!C122,'RPS by State'!B:B,0))</f>
        <v>64276480</v>
      </c>
      <c r="C122" s="54" t="s">
        <v>132</v>
      </c>
      <c r="D122" s="53" t="s">
        <v>2941</v>
      </c>
      <c r="E122" s="52" t="s">
        <v>2929</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2929</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2923</v>
      </c>
      <c r="BE2" t="s">
        <v>2924</v>
      </c>
    </row>
    <row r="3" spans="1:58" x14ac:dyDescent="0.25">
      <c r="A3" s="79" t="s">
        <v>3000</v>
      </c>
      <c r="B3" s="79" t="s">
        <v>3001</v>
      </c>
      <c r="C3" s="1" t="s">
        <v>174</v>
      </c>
      <c r="D3" s="1" t="s">
        <v>2925</v>
      </c>
      <c r="E3" s="1" t="s">
        <v>2926</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2927</v>
      </c>
    </row>
    <row r="4" spans="1:58" ht="12.6" customHeight="1" x14ac:dyDescent="0.25">
      <c r="A4" s="80">
        <v>1</v>
      </c>
      <c r="B4" s="80">
        <f>SUMIFS('EIA Net Generation'!$E:$E,'EIA Net Generation'!$B:$B,$C4,'EIA Net Generation'!$D:$D,"Total",'EIA Net Generation'!C:C,"Total Electric Power Industry")</f>
        <v>108604620</v>
      </c>
      <c r="C4" t="s">
        <v>8</v>
      </c>
      <c r="D4" t="s">
        <v>2928</v>
      </c>
      <c r="E4" t="s">
        <v>2929</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2929</v>
      </c>
    </row>
    <row r="5" spans="1:58" ht="13.15" customHeight="1" x14ac:dyDescent="0.25">
      <c r="A5" s="80">
        <v>1</v>
      </c>
      <c r="B5" s="80">
        <f>SUMIFS('EIA Net Generation'!$E:$E,'EIA Net Generation'!$B:$B,$C5,'EIA Net Generation'!$D:$D,"Total",'EIA Net Generation'!C:C,"Total Electric Power Industry")</f>
        <v>197165106</v>
      </c>
      <c r="C5" t="s">
        <v>15</v>
      </c>
      <c r="D5" t="s">
        <v>2932</v>
      </c>
      <c r="E5" t="s">
        <v>2929</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2929</v>
      </c>
    </row>
    <row r="6" spans="1:58" ht="12.6" customHeight="1" x14ac:dyDescent="0.25">
      <c r="A6" s="80">
        <v>1</v>
      </c>
      <c r="B6" s="80">
        <f>SUMIFS('EIA Net Generation'!$E:$E,'EIA Net Generation'!$B:$B,$C6,'EIA Net Generation'!$D:$D,"Total",'EIA Net Generation'!C:C,"Total Electric Power Industry")</f>
        <v>56838472</v>
      </c>
      <c r="C6" t="s">
        <v>16</v>
      </c>
      <c r="D6" t="s">
        <v>2933</v>
      </c>
      <c r="E6" t="s">
        <v>2934</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2929</v>
      </c>
    </row>
    <row r="7" spans="1:58" x14ac:dyDescent="0.25">
      <c r="A7" s="80">
        <v>1</v>
      </c>
      <c r="B7" s="80">
        <f>SUMIFS('EIA Net Generation'!$E:$E,'EIA Net Generation'!$B:$B,$C7,'EIA Net Generation'!$D:$D,"Total",'EIA Net Generation'!C:C,"Total Electric Power Industry")</f>
        <v>44079943</v>
      </c>
      <c r="C7" t="s">
        <v>19</v>
      </c>
      <c r="D7" t="s">
        <v>2941</v>
      </c>
      <c r="E7" t="s">
        <v>2929</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2929</v>
      </c>
    </row>
    <row r="8" spans="1:58" x14ac:dyDescent="0.25">
      <c r="A8" s="80">
        <v>1</v>
      </c>
      <c r="B8" s="80">
        <f>SUMIFS('EIA Net Generation'!$E:$E,'EIA Net Generation'!$B:$B,$C8,'EIA Net Generation'!$D:$D,"Total",'EIA Net Generation'!C:C,"Total Electric Power Industry")</f>
        <v>211101</v>
      </c>
      <c r="C8" t="s">
        <v>184</v>
      </c>
      <c r="D8" t="s">
        <v>2941</v>
      </c>
      <c r="E8" t="s">
        <v>2929</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184</v>
      </c>
      <c r="BF8" t="s">
        <v>2929</v>
      </c>
    </row>
    <row r="9" spans="1:58" x14ac:dyDescent="0.25">
      <c r="A9" s="80">
        <v>1</v>
      </c>
      <c r="B9" s="80">
        <f>SUMIFS('EIA Net Generation'!$E:$E,'EIA Net Generation'!$B:$B,$C9,'EIA Net Generation'!$D:$D,"Total",'EIA Net Generation'!C:C,"Total Electric Power Industry")</f>
        <v>4305126</v>
      </c>
      <c r="C9" t="s">
        <v>22</v>
      </c>
      <c r="D9" t="s">
        <v>2941</v>
      </c>
      <c r="E9" t="s">
        <v>2929</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2929</v>
      </c>
    </row>
    <row r="10" spans="1:58" x14ac:dyDescent="0.25">
      <c r="A10" s="80">
        <v>1</v>
      </c>
      <c r="B10" s="80">
        <f>SUMIFS('EIA Net Generation'!$E:$E,'EIA Net Generation'!$B:$B,$C10,'EIA Net Generation'!$D:$D,"Total",'EIA Net Generation'!C:C,"Total Electric Power Industry")</f>
        <v>9182191</v>
      </c>
      <c r="C10" t="s">
        <v>29</v>
      </c>
      <c r="D10" t="s">
        <v>2941</v>
      </c>
      <c r="E10" t="s">
        <v>2929</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2929</v>
      </c>
    </row>
    <row r="11" spans="1:58" x14ac:dyDescent="0.25">
      <c r="A11" s="80">
        <v>1</v>
      </c>
      <c r="B11" s="80">
        <f>SUMIFS('EIA Net Generation'!$E:$E,'EIA Net Generation'!$B:$B,$C11,'EIA Net Generation'!$D:$D,"Total",'EIA Net Generation'!C:C,"Total Electric Power Industry")</f>
        <v>67207008</v>
      </c>
      <c r="C11" t="s">
        <v>40</v>
      </c>
      <c r="D11" t="s">
        <v>2951</v>
      </c>
      <c r="E11" t="s">
        <v>2929</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2929</v>
      </c>
    </row>
    <row r="12" spans="1:58" ht="12.6" customHeight="1" x14ac:dyDescent="0.25">
      <c r="A12" s="80">
        <v>1</v>
      </c>
      <c r="B12" s="80">
        <f>SUMIFS('EIA Net Generation'!$E:$E,'EIA Net Generation'!$B:$B,$C12,'EIA Net Generation'!$D:$D,"Total",'EIA Net Generation'!C:C,"Total Electric Power Industry")</f>
        <v>181637574</v>
      </c>
      <c r="C12" t="s">
        <v>35</v>
      </c>
      <c r="D12" t="s">
        <v>2952</v>
      </c>
      <c r="E12" t="s">
        <v>2929</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2929</v>
      </c>
    </row>
    <row r="13" spans="1:58" ht="12.6" customHeight="1" x14ac:dyDescent="0.25">
      <c r="A13" s="80">
        <v>1</v>
      </c>
      <c r="B13" s="80">
        <f>SUMIFS('EIA Net Generation'!$E:$E,'EIA Net Generation'!$B:$B,$C13,'EIA Net Generation'!$D:$D,"Total",'EIA Net Generation'!C:C,"Total Electric Power Industry")</f>
        <v>19477347</v>
      </c>
      <c r="C13" t="s">
        <v>56</v>
      </c>
      <c r="D13" t="s">
        <v>2956</v>
      </c>
      <c r="E13" t="s">
        <v>2929</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2929</v>
      </c>
    </row>
    <row r="14" spans="1:58" ht="12.6" customHeight="1" x14ac:dyDescent="0.25">
      <c r="A14" s="80">
        <v>1</v>
      </c>
      <c r="B14" s="80">
        <f>SUMIFS('EIA Net Generation'!$E:$E,'EIA Net Generation'!$B:$B,$C14,'EIA Net Generation'!$D:$D,"Total",'EIA Net Generation'!C:C,"Total Electric Power Industry")</f>
        <v>38235137</v>
      </c>
      <c r="C14" t="s">
        <v>53</v>
      </c>
      <c r="D14" t="s">
        <v>2961</v>
      </c>
      <c r="E14" t="s">
        <v>2929</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2929</v>
      </c>
    </row>
    <row r="15" spans="1:58" x14ac:dyDescent="0.25">
      <c r="A15" s="80">
        <v>1</v>
      </c>
      <c r="B15" s="80">
        <f>SUMIFS('EIA Net Generation'!$E:$E,'EIA Net Generation'!$B:$B,$C15,'EIA Net Generation'!$D:$D,"Total",'EIA Net Generation'!C:C,"Total Electric Power Industry")</f>
        <v>10908150</v>
      </c>
      <c r="C15" t="s">
        <v>51</v>
      </c>
      <c r="D15" t="s">
        <v>2941</v>
      </c>
      <c r="E15" t="s">
        <v>2929</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2929</v>
      </c>
    </row>
    <row r="16" spans="1:58" x14ac:dyDescent="0.25">
      <c r="A16" s="80">
        <v>1</v>
      </c>
      <c r="B16" s="80">
        <f>SUMIFS('EIA Net Generation'!$E:$E,'EIA Net Generation'!$B:$B,$C16,'EIA Net Generation'!$D:$D,"Total",'EIA Net Generation'!C:C,"Total Electric Power Industry")</f>
        <v>115513130</v>
      </c>
      <c r="C16" t="s">
        <v>59</v>
      </c>
      <c r="D16" t="s">
        <v>2967</v>
      </c>
      <c r="E16" t="s">
        <v>2929</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2929</v>
      </c>
    </row>
    <row r="17" spans="1:58" ht="12.6" customHeight="1" x14ac:dyDescent="0.25">
      <c r="A17" s="80">
        <v>1</v>
      </c>
      <c r="B17" s="80">
        <f>SUMIFS('EIA Net Generation'!$E:$E,'EIA Net Generation'!$B:$B,$C17,'EIA Net Generation'!$D:$D,"Total",'EIA Net Generation'!C:C,"Total Electric Power Industry")</f>
        <v>59195769</v>
      </c>
      <c r="C17" t="s">
        <v>61</v>
      </c>
      <c r="D17" t="s">
        <v>2968</v>
      </c>
      <c r="E17" t="s">
        <v>2934</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2929</v>
      </c>
    </row>
    <row r="18" spans="1:58" x14ac:dyDescent="0.25">
      <c r="A18" s="80">
        <v>1</v>
      </c>
      <c r="B18" s="80">
        <f>SUMIFS('EIA Net Generation'!$E:$E,'EIA Net Generation'!$B:$B,$C18,'EIA Net Generation'!$D:$D,"Total",'EIA Net Generation'!C:C,"Total Electric Power Industry")</f>
        <v>76941410</v>
      </c>
      <c r="C18" t="s">
        <v>67</v>
      </c>
      <c r="D18" t="s">
        <v>2941</v>
      </c>
      <c r="E18" t="s">
        <v>2929</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2929</v>
      </c>
    </row>
    <row r="19" spans="1:58" x14ac:dyDescent="0.25">
      <c r="A19" s="80">
        <v>1</v>
      </c>
      <c r="B19" s="80">
        <f>SUMIFS('EIA Net Generation'!$E:$E,'EIA Net Generation'!$B:$B,$C19,'EIA Net Generation'!$D:$D,"Total",'EIA Net Generation'!C:C,"Total Electric Power Industry")</f>
        <v>24947923</v>
      </c>
      <c r="C19" t="s">
        <v>70</v>
      </c>
      <c r="D19" t="s">
        <v>2941</v>
      </c>
      <c r="E19" t="s">
        <v>2929</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2929</v>
      </c>
    </row>
    <row r="20" spans="1:58" ht="12.6" customHeight="1" x14ac:dyDescent="0.25">
      <c r="A20" s="80">
        <v>1</v>
      </c>
      <c r="B20" s="80">
        <f>SUMIFS('EIA Net Generation'!$E:$E,'EIA Net Generation'!$B:$B,$C20,'EIA Net Generation'!$D:$D,"Total",'EIA Net Generation'!C:C,"Total Electric Power Industry")</f>
        <v>129923364</v>
      </c>
      <c r="C20" t="s">
        <v>89</v>
      </c>
      <c r="D20" t="s">
        <v>2973</v>
      </c>
      <c r="E20" t="s">
        <v>2934</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2929</v>
      </c>
    </row>
    <row r="21" spans="1:58" x14ac:dyDescent="0.25">
      <c r="A21" s="80">
        <v>1</v>
      </c>
      <c r="B21" s="80">
        <f>SUMIFS('EIA Net Generation'!$E:$E,'EIA Net Generation'!$B:$B,$C21,'EIA Net Generation'!$D:$D,"Total",'EIA Net Generation'!C:C,"Total Electric Power Industry")</f>
        <v>17193254</v>
      </c>
      <c r="C21" t="s">
        <v>78</v>
      </c>
      <c r="D21" t="s">
        <v>2941</v>
      </c>
      <c r="E21" t="s">
        <v>2929</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2929</v>
      </c>
    </row>
    <row r="22" spans="1:58" ht="12.6" customHeight="1" x14ac:dyDescent="0.25">
      <c r="A22" s="80">
        <v>1</v>
      </c>
      <c r="B22" s="80">
        <f>SUMIFS('EIA Net Generation'!$E:$E,'EIA Net Generation'!$B:$B,$C22,'EIA Net Generation'!$D:$D,"Total",'EIA Net Generation'!C:C,"Total Electric Power Industry")</f>
        <v>61433792</v>
      </c>
      <c r="C22" t="s">
        <v>80</v>
      </c>
      <c r="D22" t="s">
        <v>2983</v>
      </c>
      <c r="E22" t="s">
        <v>2929</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2929</v>
      </c>
    </row>
    <row r="23" spans="1:58" ht="12.6" customHeight="1" x14ac:dyDescent="0.25">
      <c r="A23" s="80">
        <v>1</v>
      </c>
      <c r="B23" s="80">
        <f>SUMIFS('EIA Net Generation'!$E:$E,'EIA Net Generation'!$B:$B,$C23,'EIA Net Generation'!$D:$D,"Total",'EIA Net Generation'!C:C,"Total Electric Power Industry")</f>
        <v>35192365</v>
      </c>
      <c r="C23" t="s">
        <v>83</v>
      </c>
      <c r="D23" t="s">
        <v>2985</v>
      </c>
      <c r="E23" t="s">
        <v>2934</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2929</v>
      </c>
    </row>
    <row r="24" spans="1:58" ht="13.15" customHeight="1" x14ac:dyDescent="0.25">
      <c r="A24" s="80">
        <v>1</v>
      </c>
      <c r="B24" s="80">
        <f>SUMIFS('EIA Net Generation'!$E:$E,'EIA Net Generation'!$B:$B,$C24,'EIA Net Generation'!$D:$D,"Total",'EIA Net Generation'!C:C,"Total Electric Power Industry")</f>
        <v>41754584</v>
      </c>
      <c r="C24" t="s">
        <v>75</v>
      </c>
      <c r="D24" t="s">
        <v>2941</v>
      </c>
      <c r="E24" t="s">
        <v>2929</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2929</v>
      </c>
    </row>
    <row r="25" spans="1:58" ht="13.15" customHeight="1" x14ac:dyDescent="0.25">
      <c r="A25" s="80">
        <v>1</v>
      </c>
      <c r="B25" s="80">
        <f>SUMIFS('EIA Net Generation'!$E:$E,'EIA Net Generation'!$B:$B,$C25,'EIA Net Generation'!$D:$D,"Total",'EIA Net Generation'!C:C,"Total Electric Power Industry")</f>
        <v>124772248</v>
      </c>
      <c r="C25" t="s">
        <v>86</v>
      </c>
      <c r="D25" t="s">
        <v>2987</v>
      </c>
      <c r="E25" t="s">
        <v>2929</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2929</v>
      </c>
    </row>
    <row r="26" spans="1:58" x14ac:dyDescent="0.25">
      <c r="A26" s="80">
        <v>1</v>
      </c>
      <c r="B26" s="80">
        <f>SUMIFS('EIA Net Generation'!$E:$E,'EIA Net Generation'!$B:$B,$C26,'EIA Net Generation'!$D:$D,"Total",'EIA Net Generation'!C:C,"Total Electric Power Industry")</f>
        <v>125947507</v>
      </c>
      <c r="C26" t="s">
        <v>94</v>
      </c>
      <c r="D26" t="s">
        <v>2941</v>
      </c>
      <c r="E26" t="s">
        <v>2929</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2929</v>
      </c>
    </row>
    <row r="27" spans="1:58" ht="12.6" customHeight="1" x14ac:dyDescent="0.25">
      <c r="A27" s="80">
        <v>1</v>
      </c>
      <c r="B27" s="80">
        <f>SUMIFS('EIA Net Generation'!$E:$E,'EIA Net Generation'!$B:$B,$C27,'EIA Net Generation'!$D:$D,"Total",'EIA Net Generation'!C:C,"Total Electric Power Industry")</f>
        <v>61016874</v>
      </c>
      <c r="C27" t="s">
        <v>98</v>
      </c>
      <c r="D27" t="s">
        <v>2990</v>
      </c>
      <c r="E27" t="s">
        <v>2934</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2929</v>
      </c>
    </row>
    <row r="28" spans="1:58" x14ac:dyDescent="0.25">
      <c r="A28" s="80">
        <v>1</v>
      </c>
      <c r="B28" s="80">
        <f>SUMIFS('EIA Net Generation'!$E:$E,'EIA Net Generation'!$B:$B,$C28,'EIA Net Generation'!$D:$D,"Total",'EIA Net Generation'!C:C,"Total Electric Power Industry")</f>
        <v>241331434</v>
      </c>
      <c r="C28" t="s">
        <v>101</v>
      </c>
      <c r="D28" t="s">
        <v>2941</v>
      </c>
      <c r="E28" t="s">
        <v>2929</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2929</v>
      </c>
    </row>
    <row r="29" spans="1:58" x14ac:dyDescent="0.25">
      <c r="A29" s="80">
        <v>1</v>
      </c>
      <c r="B29" s="80">
        <f>SUMIFS('EIA Net Generation'!$E:$E,'EIA Net Generation'!$B:$B,$C29,'EIA Net Generation'!$D:$D,"Total",'EIA Net Generation'!C:C,"Total Electric Power Industry")</f>
        <v>9322650</v>
      </c>
      <c r="C29" t="s">
        <v>104</v>
      </c>
      <c r="D29" t="s">
        <v>2941</v>
      </c>
      <c r="E29" t="s">
        <v>2929</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2929</v>
      </c>
    </row>
    <row r="30" spans="1:58" x14ac:dyDescent="0.25">
      <c r="A30" s="80">
        <v>1</v>
      </c>
      <c r="B30" s="80">
        <f>SUMIFS('EIA Net Generation'!$E:$E,'EIA Net Generation'!$B:$B,$C30,'EIA Net Generation'!$D:$D,"Total",'EIA Net Generation'!C:C,"Total Electric Power Industry")</f>
        <v>481844256</v>
      </c>
      <c r="C30" t="s">
        <v>115</v>
      </c>
      <c r="D30" t="s">
        <v>2997</v>
      </c>
      <c r="E30" t="s">
        <v>2929</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2929</v>
      </c>
    </row>
    <row r="31" spans="1:58" ht="12.6" customHeight="1" x14ac:dyDescent="0.25">
      <c r="A31" s="80">
        <v>1</v>
      </c>
      <c r="B31" s="80">
        <f>SUMIFS('EIA Net Generation'!$E:$E,'EIA Net Generation'!$B:$B,$C31,'EIA Net Generation'!$D:$D,"Total",'EIA Net Generation'!C:C,"Total Electric Power Industry")</f>
        <v>93478182</v>
      </c>
      <c r="C31" t="s">
        <v>123</v>
      </c>
      <c r="D31" t="s">
        <v>2998</v>
      </c>
      <c r="E31" t="s">
        <v>2934</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2929</v>
      </c>
    </row>
    <row r="32" spans="1:58" x14ac:dyDescent="0.25">
      <c r="A32" s="80">
        <v>1</v>
      </c>
      <c r="B32" s="80">
        <f>SUMIFS('EIA Net Generation'!$E:$E,'EIA Net Generation'!$B:$B,$C32,'EIA Net Generation'!$D:$D,"Total",'EIA Net Generation'!C:C,"Total Electric Power Industry")</f>
        <v>2107703</v>
      </c>
      <c r="C32" t="s">
        <v>120</v>
      </c>
      <c r="D32" t="s">
        <v>2941</v>
      </c>
      <c r="E32" t="s">
        <v>2929</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2929</v>
      </c>
    </row>
    <row r="33" spans="1:58" x14ac:dyDescent="0.25">
      <c r="A33" s="80">
        <v>1</v>
      </c>
      <c r="B33" s="80">
        <f>SUMIFS('EIA Net Generation'!$E:$E,'EIA Net Generation'!$B:$B,$C33,'EIA Net Generation'!$D:$D,"Total",'EIA Net Generation'!C:C,"Total Electric Power Industry")</f>
        <v>110808401</v>
      </c>
      <c r="C33" t="s">
        <v>126</v>
      </c>
      <c r="D33" t="s">
        <v>2941</v>
      </c>
      <c r="E33" t="s">
        <v>2929</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2929</v>
      </c>
    </row>
    <row r="34" spans="1:58" x14ac:dyDescent="0.25">
      <c r="A34" s="80">
        <v>1</v>
      </c>
      <c r="B34" s="80">
        <f>SUMIFS('EIA Net Generation'!$E:$E,'EIA Net Generation'!$B:$B,$C34,'EIA Net Generation'!$D:$D,"Total",'EIA Net Generation'!C:C,"Total Electric Power Industry")</f>
        <v>64276480</v>
      </c>
      <c r="C34" t="s">
        <v>132</v>
      </c>
      <c r="D34" t="s">
        <v>2941</v>
      </c>
      <c r="E34" t="s">
        <v>2929</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2929</v>
      </c>
    </row>
    <row r="36" spans="1:58" x14ac:dyDescent="0.25">
      <c r="A36" s="1" t="s">
        <v>3002</v>
      </c>
    </row>
    <row r="37" spans="1:58" x14ac:dyDescent="0.25">
      <c r="C37" t="s">
        <v>2923</v>
      </c>
    </row>
    <row r="38" spans="1:58" x14ac:dyDescent="0.25">
      <c r="A38" s="79" t="s">
        <v>3000</v>
      </c>
      <c r="B38" s="79" t="s">
        <v>3001</v>
      </c>
      <c r="C38" s="1" t="s">
        <v>174</v>
      </c>
      <c r="D38" s="1" t="s">
        <v>2925</v>
      </c>
      <c r="E38" s="1" t="s">
        <v>2926</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2928</v>
      </c>
      <c r="E39" t="s">
        <v>2929</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2932</v>
      </c>
      <c r="E40" t="s">
        <v>2929</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2933</v>
      </c>
      <c r="E41" t="s">
        <v>2934</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2941</v>
      </c>
      <c r="E42" t="s">
        <v>2929</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184</v>
      </c>
      <c r="D43" t="s">
        <v>2941</v>
      </c>
      <c r="E43" t="s">
        <v>2929</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2941</v>
      </c>
      <c r="E44" t="s">
        <v>2929</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2941</v>
      </c>
      <c r="E45" t="s">
        <v>2929</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2951</v>
      </c>
      <c r="E46" t="s">
        <v>2929</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2952</v>
      </c>
      <c r="E47" t="s">
        <v>2929</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2956</v>
      </c>
      <c r="E48" t="s">
        <v>2929</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2961</v>
      </c>
      <c r="E49" t="s">
        <v>2929</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2941</v>
      </c>
      <c r="E50" t="s">
        <v>2929</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2967</v>
      </c>
      <c r="E51" t="s">
        <v>2929</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2968</v>
      </c>
      <c r="E52" t="s">
        <v>2934</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2941</v>
      </c>
      <c r="E53" t="s">
        <v>2929</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2941</v>
      </c>
      <c r="E54" t="s">
        <v>2929</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2973</v>
      </c>
      <c r="E55" t="s">
        <v>2934</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2941</v>
      </c>
      <c r="E56" t="s">
        <v>2929</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2983</v>
      </c>
      <c r="E57" t="s">
        <v>2929</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2985</v>
      </c>
      <c r="E58" t="s">
        <v>2934</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2941</v>
      </c>
      <c r="E59" t="s">
        <v>2929</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2987</v>
      </c>
      <c r="E60" t="s">
        <v>2929</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2941</v>
      </c>
      <c r="E61" t="s">
        <v>2929</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2990</v>
      </c>
      <c r="E62" t="s">
        <v>2934</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2941</v>
      </c>
      <c r="E63" t="s">
        <v>2929</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2941</v>
      </c>
      <c r="E64" t="s">
        <v>2929</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2997</v>
      </c>
      <c r="E65" t="s">
        <v>2929</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2998</v>
      </c>
      <c r="E66" t="s">
        <v>2934</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2941</v>
      </c>
      <c r="E67" t="s">
        <v>2929</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2941</v>
      </c>
      <c r="E68" t="s">
        <v>2929</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2941</v>
      </c>
      <c r="E69" t="s">
        <v>2929</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3002</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R55"/>
  <sheetViews>
    <sheetView zoomScaleNormal="100" workbookViewId="0">
      <pane ySplit="2" topLeftCell="A3" activePane="bottomLeft" state="frozen"/>
      <selection pane="bottomLeft" activeCell="P3" sqref="P1:P1048576"/>
    </sheetView>
  </sheetViews>
  <sheetFormatPr defaultRowHeight="15" x14ac:dyDescent="0.25"/>
  <cols>
    <col min="1" max="1" width="16.5703125" customWidth="1"/>
    <col min="2" max="2" width="7.85546875" customWidth="1"/>
    <col min="3" max="3" width="20" style="6" customWidth="1"/>
    <col min="4" max="5" width="10" style="6" customWidth="1"/>
    <col min="6" max="6" width="10" style="2" customWidth="1"/>
    <col min="7" max="7" width="16.140625" style="2" customWidth="1"/>
    <col min="8" max="8" width="12.42578125" customWidth="1"/>
    <col min="9" max="13" width="12.42578125" hidden="1" customWidth="1"/>
    <col min="14" max="44" width="12.42578125" customWidth="1"/>
  </cols>
  <sheetData>
    <row r="1" spans="1:44" x14ac:dyDescent="0.25">
      <c r="H1" s="8" t="s">
        <v>173</v>
      </c>
      <c r="I1" s="8"/>
      <c r="J1" s="9"/>
      <c r="K1" s="9"/>
      <c r="L1" s="9"/>
      <c r="M1" s="9"/>
      <c r="N1" s="9"/>
      <c r="O1" s="9"/>
      <c r="P1" s="9"/>
      <c r="Q1" s="9"/>
      <c r="R1" s="9"/>
      <c r="S1" s="9"/>
      <c r="T1" s="9"/>
      <c r="U1" s="9"/>
      <c r="V1" s="9"/>
      <c r="W1" s="9"/>
      <c r="X1" s="9"/>
    </row>
    <row r="2" spans="1:44" ht="30" customHeight="1" x14ac:dyDescent="0.25">
      <c r="A2" s="7" t="s">
        <v>174</v>
      </c>
      <c r="B2" s="7" t="s">
        <v>175</v>
      </c>
      <c r="C2" s="18" t="s">
        <v>176</v>
      </c>
      <c r="D2" s="18" t="s">
        <v>177</v>
      </c>
      <c r="E2" s="18" t="s">
        <v>178</v>
      </c>
      <c r="F2" s="18" t="s">
        <v>179</v>
      </c>
      <c r="G2" s="124" t="s">
        <v>3006</v>
      </c>
      <c r="H2" s="88">
        <v>2014</v>
      </c>
      <c r="I2" s="88">
        <v>2015</v>
      </c>
      <c r="J2" s="88">
        <v>2016</v>
      </c>
      <c r="K2" s="88">
        <v>2017</v>
      </c>
      <c r="L2" s="88">
        <v>2018</v>
      </c>
      <c r="M2" s="88">
        <v>2019</v>
      </c>
      <c r="N2" s="88">
        <v>2020</v>
      </c>
      <c r="O2" s="88">
        <v>2021</v>
      </c>
      <c r="P2" s="88">
        <v>2022</v>
      </c>
      <c r="Q2" s="88">
        <v>2023</v>
      </c>
      <c r="R2" s="88">
        <v>2024</v>
      </c>
      <c r="S2" s="88">
        <v>2025</v>
      </c>
      <c r="T2" s="88">
        <v>2026</v>
      </c>
      <c r="U2" s="88">
        <v>2027</v>
      </c>
      <c r="V2" s="88">
        <v>2028</v>
      </c>
      <c r="W2" s="88">
        <v>2029</v>
      </c>
      <c r="X2" s="88">
        <v>2030</v>
      </c>
      <c r="Y2" s="88">
        <v>2031</v>
      </c>
      <c r="Z2" s="88">
        <v>2032</v>
      </c>
      <c r="AA2" s="88">
        <v>2033</v>
      </c>
      <c r="AB2" s="88">
        <v>2034</v>
      </c>
      <c r="AC2" s="88">
        <v>2035</v>
      </c>
      <c r="AD2" s="88">
        <v>2036</v>
      </c>
      <c r="AE2" s="88">
        <v>2037</v>
      </c>
      <c r="AF2" s="88">
        <v>2038</v>
      </c>
      <c r="AG2" s="88">
        <v>2039</v>
      </c>
      <c r="AH2" s="88">
        <v>2040</v>
      </c>
      <c r="AI2" s="88">
        <v>2041</v>
      </c>
      <c r="AJ2" s="88">
        <v>2042</v>
      </c>
      <c r="AK2" s="88">
        <v>2043</v>
      </c>
      <c r="AL2" s="88">
        <v>2044</v>
      </c>
      <c r="AM2" s="88">
        <v>2045</v>
      </c>
      <c r="AN2" s="88">
        <v>2046</v>
      </c>
      <c r="AO2" s="88">
        <v>2047</v>
      </c>
      <c r="AP2" s="88">
        <v>2048</v>
      </c>
      <c r="AQ2" s="88">
        <v>2049</v>
      </c>
      <c r="AR2" s="88">
        <v>2050</v>
      </c>
    </row>
    <row r="3" spans="1:44" x14ac:dyDescent="0.25">
      <c r="A3" s="116" t="s">
        <v>2</v>
      </c>
      <c r="B3" t="s">
        <v>3</v>
      </c>
      <c r="F3" s="10">
        <f>SUMIFS('EIA Net Generation'!$E:$E,'EIA Net Generation'!$B:$B,$B3,'EIA Net Generation'!$D:$D,"Total",'EIA Net Generation'!C:C,"Total Electric Power Industry")</f>
        <v>142733330</v>
      </c>
      <c r="G3" s="125" t="b">
        <f>SUM(O3:AR3)&gt;0</f>
        <v>0</v>
      </c>
      <c r="H3" s="89">
        <v>0</v>
      </c>
      <c r="I3" s="90">
        <v>0</v>
      </c>
      <c r="J3" s="90">
        <v>0</v>
      </c>
      <c r="K3" s="90">
        <v>0</v>
      </c>
      <c r="L3" s="90">
        <v>0</v>
      </c>
      <c r="M3" s="90">
        <v>0</v>
      </c>
      <c r="N3" s="90">
        <v>0</v>
      </c>
      <c r="O3" s="126">
        <v>0</v>
      </c>
      <c r="P3" s="126">
        <v>0</v>
      </c>
      <c r="Q3" s="126">
        <v>0</v>
      </c>
      <c r="R3" s="126">
        <v>0</v>
      </c>
      <c r="S3" s="126">
        <v>0</v>
      </c>
      <c r="T3" s="126">
        <v>0</v>
      </c>
      <c r="U3" s="126">
        <v>0</v>
      </c>
      <c r="V3" s="126">
        <v>0</v>
      </c>
      <c r="W3" s="126">
        <v>0</v>
      </c>
      <c r="X3" s="126">
        <v>0</v>
      </c>
      <c r="Y3" s="126">
        <v>0</v>
      </c>
      <c r="Z3" s="126">
        <v>0</v>
      </c>
      <c r="AA3" s="126">
        <v>0</v>
      </c>
      <c r="AB3" s="126">
        <v>0</v>
      </c>
      <c r="AC3" s="126">
        <v>0</v>
      </c>
      <c r="AD3" s="126">
        <v>0</v>
      </c>
      <c r="AE3" s="126">
        <v>0</v>
      </c>
      <c r="AF3" s="126">
        <v>0</v>
      </c>
      <c r="AG3" s="126">
        <v>0</v>
      </c>
      <c r="AH3" s="126">
        <v>0</v>
      </c>
      <c r="AI3" s="126">
        <v>0</v>
      </c>
      <c r="AJ3" s="126">
        <v>0</v>
      </c>
      <c r="AK3" s="126">
        <v>0</v>
      </c>
      <c r="AL3" s="126">
        <v>0</v>
      </c>
      <c r="AM3" s="126">
        <v>0</v>
      </c>
      <c r="AN3" s="126">
        <v>0</v>
      </c>
      <c r="AO3" s="126">
        <v>0</v>
      </c>
      <c r="AP3" s="126">
        <v>0</v>
      </c>
      <c r="AQ3" s="126">
        <v>0</v>
      </c>
      <c r="AR3" s="126">
        <v>0</v>
      </c>
    </row>
    <row r="4" spans="1:44" x14ac:dyDescent="0.25">
      <c r="A4" s="116" t="s">
        <v>5</v>
      </c>
      <c r="B4" t="s">
        <v>6</v>
      </c>
      <c r="F4" s="10">
        <f>SUMIFS('EIA Net Generation'!$E:$E,'EIA Net Generation'!$B:$B,$B4,'EIA Net Generation'!$D:$D,"Total",'EIA Net Generation'!C:C,"Total Electric Power Industry")</f>
        <v>6595818</v>
      </c>
      <c r="G4" s="125" t="b">
        <f t="shared" ref="G4:G52" si="0">SUM(O4:AR4)&gt;0</f>
        <v>0</v>
      </c>
      <c r="H4" s="89">
        <v>0</v>
      </c>
      <c r="I4" s="90">
        <v>0</v>
      </c>
      <c r="J4" s="90">
        <v>0</v>
      </c>
      <c r="K4" s="90">
        <v>0</v>
      </c>
      <c r="L4" s="90">
        <v>0</v>
      </c>
      <c r="M4" s="90">
        <v>0</v>
      </c>
      <c r="N4" s="90">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c r="AG4" s="126">
        <v>0</v>
      </c>
      <c r="AH4" s="126">
        <v>0</v>
      </c>
      <c r="AI4" s="126">
        <v>0</v>
      </c>
      <c r="AJ4" s="126">
        <v>0</v>
      </c>
      <c r="AK4" s="126">
        <v>0</v>
      </c>
      <c r="AL4" s="126">
        <v>0</v>
      </c>
      <c r="AM4" s="126">
        <v>0</v>
      </c>
      <c r="AN4" s="126">
        <v>0</v>
      </c>
      <c r="AO4" s="126">
        <v>0</v>
      </c>
      <c r="AP4" s="126">
        <v>0</v>
      </c>
      <c r="AQ4" s="126">
        <v>0</v>
      </c>
      <c r="AR4" s="126">
        <v>0</v>
      </c>
    </row>
    <row r="5" spans="1:44" ht="30" customHeight="1" x14ac:dyDescent="0.25">
      <c r="A5" s="116" t="s">
        <v>7</v>
      </c>
      <c r="B5" t="s">
        <v>8</v>
      </c>
      <c r="C5" s="5" t="s">
        <v>180</v>
      </c>
      <c r="F5" s="10">
        <f>SUMIFS('EIA Net Generation'!$E:$E,'EIA Net Generation'!$B:$B,$B5,'EIA Net Generation'!$D:$D,"Total",'EIA Net Generation'!C:C,"Total Electric Power Industry")</f>
        <v>108604620</v>
      </c>
      <c r="G5" s="125" t="b">
        <f t="shared" si="0"/>
        <v>1</v>
      </c>
      <c r="H5" s="91">
        <v>4.4999999999999998E-2</v>
      </c>
      <c r="I5" s="91">
        <v>0.05</v>
      </c>
      <c r="J5" s="91">
        <v>0.06</v>
      </c>
      <c r="K5" s="91">
        <v>7.0000000000000007E-2</v>
      </c>
      <c r="L5" s="91">
        <v>0.08</v>
      </c>
      <c r="M5" s="91">
        <v>0.09</v>
      </c>
      <c r="N5" s="91">
        <v>0.1</v>
      </c>
      <c r="O5" s="127">
        <v>0.11</v>
      </c>
      <c r="P5" s="127">
        <v>0.12</v>
      </c>
      <c r="Q5" s="127">
        <v>0.13</v>
      </c>
      <c r="R5" s="127">
        <v>0.14000000000000001</v>
      </c>
      <c r="S5" s="127">
        <v>0.15</v>
      </c>
      <c r="T5" s="128">
        <f t="shared" ref="T5:AR5" si="1">$S5</f>
        <v>0.15</v>
      </c>
      <c r="U5" s="128">
        <f t="shared" si="1"/>
        <v>0.15</v>
      </c>
      <c r="V5" s="128">
        <f t="shared" si="1"/>
        <v>0.15</v>
      </c>
      <c r="W5" s="128">
        <f t="shared" si="1"/>
        <v>0.15</v>
      </c>
      <c r="X5" s="128">
        <f t="shared" si="1"/>
        <v>0.15</v>
      </c>
      <c r="Y5" s="128">
        <f t="shared" si="1"/>
        <v>0.15</v>
      </c>
      <c r="Z5" s="128">
        <f t="shared" si="1"/>
        <v>0.15</v>
      </c>
      <c r="AA5" s="128">
        <f t="shared" si="1"/>
        <v>0.15</v>
      </c>
      <c r="AB5" s="128">
        <f t="shared" si="1"/>
        <v>0.15</v>
      </c>
      <c r="AC5" s="128">
        <f t="shared" si="1"/>
        <v>0.15</v>
      </c>
      <c r="AD5" s="128">
        <f t="shared" si="1"/>
        <v>0.15</v>
      </c>
      <c r="AE5" s="128">
        <f t="shared" si="1"/>
        <v>0.15</v>
      </c>
      <c r="AF5" s="128">
        <f t="shared" si="1"/>
        <v>0.15</v>
      </c>
      <c r="AG5" s="128">
        <f t="shared" si="1"/>
        <v>0.15</v>
      </c>
      <c r="AH5" s="128">
        <f t="shared" si="1"/>
        <v>0.15</v>
      </c>
      <c r="AI5" s="128">
        <f t="shared" si="1"/>
        <v>0.15</v>
      </c>
      <c r="AJ5" s="128">
        <f t="shared" si="1"/>
        <v>0.15</v>
      </c>
      <c r="AK5" s="128">
        <f t="shared" si="1"/>
        <v>0.15</v>
      </c>
      <c r="AL5" s="128">
        <f t="shared" si="1"/>
        <v>0.15</v>
      </c>
      <c r="AM5" s="128">
        <f t="shared" si="1"/>
        <v>0.15</v>
      </c>
      <c r="AN5" s="128">
        <f t="shared" si="1"/>
        <v>0.15</v>
      </c>
      <c r="AO5" s="128">
        <f t="shared" si="1"/>
        <v>0.15</v>
      </c>
      <c r="AP5" s="128">
        <f t="shared" si="1"/>
        <v>0.15</v>
      </c>
      <c r="AQ5" s="128">
        <f t="shared" si="1"/>
        <v>0.15</v>
      </c>
      <c r="AR5" s="128">
        <f t="shared" si="1"/>
        <v>0.15</v>
      </c>
    </row>
    <row r="6" spans="1:44" x14ac:dyDescent="0.25">
      <c r="A6" s="116" t="s">
        <v>11</v>
      </c>
      <c r="B6" t="s">
        <v>12</v>
      </c>
      <c r="F6" s="10">
        <f>SUMIFS('EIA Net Generation'!$E:$E,'EIA Net Generation'!$B:$B,$B6,'EIA Net Generation'!$D:$D,"Total",'EIA Net Generation'!C:C,"Total Electric Power Industry")</f>
        <v>61100068</v>
      </c>
      <c r="G6" s="125" t="b">
        <f t="shared" si="0"/>
        <v>0</v>
      </c>
      <c r="H6" s="89">
        <v>0</v>
      </c>
      <c r="I6" s="90">
        <v>0</v>
      </c>
      <c r="J6" s="90">
        <v>0</v>
      </c>
      <c r="K6" s="90">
        <v>0</v>
      </c>
      <c r="L6" s="90">
        <v>0</v>
      </c>
      <c r="M6" s="90">
        <v>0</v>
      </c>
      <c r="N6" s="90">
        <v>0</v>
      </c>
      <c r="O6" s="126">
        <v>0</v>
      </c>
      <c r="P6" s="126">
        <v>0</v>
      </c>
      <c r="Q6" s="126">
        <v>0</v>
      </c>
      <c r="R6" s="126">
        <v>0</v>
      </c>
      <c r="S6" s="126">
        <v>0</v>
      </c>
      <c r="T6" s="126">
        <v>0</v>
      </c>
      <c r="U6" s="126">
        <v>0</v>
      </c>
      <c r="V6" s="126">
        <v>0</v>
      </c>
      <c r="W6" s="126">
        <v>0</v>
      </c>
      <c r="X6" s="126">
        <v>0</v>
      </c>
      <c r="Y6" s="126">
        <v>0</v>
      </c>
      <c r="Z6" s="126">
        <v>0</v>
      </c>
      <c r="AA6" s="126">
        <v>0</v>
      </c>
      <c r="AB6" s="126">
        <v>0</v>
      </c>
      <c r="AC6" s="126">
        <v>0</v>
      </c>
      <c r="AD6" s="126">
        <v>0</v>
      </c>
      <c r="AE6" s="126">
        <v>0</v>
      </c>
      <c r="AF6" s="126">
        <v>0</v>
      </c>
      <c r="AG6" s="126">
        <v>0</v>
      </c>
      <c r="AH6" s="126">
        <v>0</v>
      </c>
      <c r="AI6" s="126">
        <v>0</v>
      </c>
      <c r="AJ6" s="126">
        <v>0</v>
      </c>
      <c r="AK6" s="126">
        <v>0</v>
      </c>
      <c r="AL6" s="126">
        <v>0</v>
      </c>
      <c r="AM6" s="126">
        <v>0</v>
      </c>
      <c r="AN6" s="126">
        <v>0</v>
      </c>
      <c r="AO6" s="126">
        <v>0</v>
      </c>
      <c r="AP6" s="126">
        <v>0</v>
      </c>
      <c r="AQ6" s="126">
        <v>0</v>
      </c>
      <c r="AR6" s="126">
        <v>0</v>
      </c>
    </row>
    <row r="7" spans="1:44" ht="60" customHeight="1" x14ac:dyDescent="0.25">
      <c r="A7" s="116" t="s">
        <v>14</v>
      </c>
      <c r="B7" t="s">
        <v>15</v>
      </c>
      <c r="C7" s="5" t="s">
        <v>3003</v>
      </c>
      <c r="D7" s="6">
        <v>1</v>
      </c>
      <c r="E7" s="6">
        <v>1</v>
      </c>
      <c r="F7" s="10">
        <f>SUMIFS('EIA Net Generation'!$E:$E,'EIA Net Generation'!$B:$B,$B7,'EIA Net Generation'!$D:$D,"Total",'EIA Net Generation'!C:C,"Total Electric Power Industry")</f>
        <v>197165106</v>
      </c>
      <c r="G7" s="125" t="b">
        <f t="shared" si="0"/>
        <v>1</v>
      </c>
      <c r="H7" s="121">
        <f>(0.25-0.2)/3+0.2</f>
        <v>0.21666666666666667</v>
      </c>
      <c r="I7" s="92">
        <f>$H7+($J7-$H7)*(I$2-$H$2)/($J$2-$H$2)</f>
        <v>0.21827760974229587</v>
      </c>
      <c r="J7" s="121">
        <f>25%*SUM('Extra State Data'!B70:B71)/'Extra State Data'!B72</f>
        <v>0.2198885528179251</v>
      </c>
      <c r="K7" s="92">
        <f>$J7+($N7-$J7)*(K$2-$J$2)/($N$2-$J$2)</f>
        <v>0.23747963704335912</v>
      </c>
      <c r="L7" s="92">
        <f>$J7+($N7-$J7)*(L$2-$J$2)/($N$2-$J$2)</f>
        <v>0.2550707212687931</v>
      </c>
      <c r="M7" s="92">
        <f>$J7+($N7-$J7)*(M$2-$J$2)/($N$2-$J$2)</f>
        <v>0.27266180549422714</v>
      </c>
      <c r="N7" s="122">
        <f>33%*SUM('Extra State Data'!B70:B71)/'Extra State Data'!B72</f>
        <v>0.29025288971966112</v>
      </c>
      <c r="O7" s="128">
        <f>$N7+($R7-$N7)*(O$2-$N$2)/($R$2-$N$2)</f>
        <v>0.31444063052963289</v>
      </c>
      <c r="P7" s="128">
        <f>$N7+($R7-$N7)*(P$2-$N$2)/($R$2-$N$2)</f>
        <v>0.33862837133960466</v>
      </c>
      <c r="Q7" s="128">
        <f>$N7+($R7-$N7)*(Q$2-$N$2)/($R$2-$N$2)</f>
        <v>0.36281611214957638</v>
      </c>
      <c r="R7" s="129">
        <f>44%*SUM('Extra State Data'!B70:B71)/'Extra State Data'!B72</f>
        <v>0.38700385295954814</v>
      </c>
      <c r="S7" s="128">
        <f>$R7+($U7-$R7)*(S$2-$R$2)/($U$2-$R$2)</f>
        <v>0.41045863192679349</v>
      </c>
      <c r="T7" s="128">
        <f>$R7+($U7-$R7)*(T$2-$R$2)/($U$2-$R$2)</f>
        <v>0.43391341089403884</v>
      </c>
      <c r="U7" s="129">
        <f>52%*SUM('Extra State Data'!B70:B71)/'Extra State Data'!B72</f>
        <v>0.45736818986128419</v>
      </c>
      <c r="V7" s="128">
        <f>$U7+($X7-$U7)*(V$2-$U$2)/($X$2-$U$2)</f>
        <v>0.48082296882852954</v>
      </c>
      <c r="W7" s="128">
        <f>$U7+($X7-$U7)*(W$2-$U$2)/($X$2-$U$2)</f>
        <v>0.50427774779577483</v>
      </c>
      <c r="X7" s="129">
        <f>60%*SUM('Extra State Data'!B70:B71)/'Extra State Data'!B72</f>
        <v>0.52773252676302018</v>
      </c>
      <c r="Y7" s="126">
        <f>($AC$7-$X$7)/COUNT($Y$2:$AC$2)+X7</f>
        <v>0.58050577943932224</v>
      </c>
      <c r="Z7" s="126">
        <f t="shared" ref="Z7:AA7" si="2">($AC$7-$X$7)/COUNT($Y$2:$AC$2)+Y7</f>
        <v>0.63327903211562431</v>
      </c>
      <c r="AA7" s="126">
        <f t="shared" si="2"/>
        <v>0.68605228479192637</v>
      </c>
      <c r="AB7" s="126">
        <f>($AC$7-$X$7)/COUNT($Y$2:$AC$2)+AA7</f>
        <v>0.73882553746822843</v>
      </c>
      <c r="AC7" s="129">
        <f>90%*SUM('Extra State Data'!B70:B71)/'Extra State Data'!B72</f>
        <v>0.79159879014453038</v>
      </c>
      <c r="AD7" s="126">
        <f>($AH$7-$AC$7)/COUNT($AC$2:$AH$2)+AC7</f>
        <v>0.79892840857179459</v>
      </c>
      <c r="AE7" s="126">
        <f t="shared" ref="AE7:AG7" si="3">($AH$7-$AC$7)/COUNT($AC$2:$AH$2)+AD7</f>
        <v>0.8062580269990588</v>
      </c>
      <c r="AF7" s="126">
        <f t="shared" si="3"/>
        <v>0.813587645426323</v>
      </c>
      <c r="AG7" s="126">
        <f t="shared" si="3"/>
        <v>0.82091726385358721</v>
      </c>
      <c r="AH7" s="129">
        <f>95%*SUM('Extra State Data'!B70:B71)/'Extra State Data'!B72</f>
        <v>0.8355765007081154</v>
      </c>
      <c r="AI7" s="126">
        <f>($AM$7-$AH$7)/COUNT($AH$2:$AM$2)+AH7</f>
        <v>0.84290611913537961</v>
      </c>
      <c r="AJ7" s="126">
        <f t="shared" ref="AJ7:AL7" si="4">($AM$7-$AH$7)/COUNT($AH$2:$AM$2)+AI7</f>
        <v>0.85023573756264381</v>
      </c>
      <c r="AK7" s="126">
        <f t="shared" si="4"/>
        <v>0.85756535598990802</v>
      </c>
      <c r="AL7" s="126">
        <f t="shared" si="4"/>
        <v>0.86489497441717222</v>
      </c>
      <c r="AM7" s="129">
        <f>100%*SUM('Extra State Data'!B70:B71)/'Extra State Data'!B72</f>
        <v>0.87955421127170041</v>
      </c>
      <c r="AN7" s="126">
        <f>AM7</f>
        <v>0.87955421127170041</v>
      </c>
      <c r="AO7" s="126">
        <f>AN7</f>
        <v>0.87955421127170041</v>
      </c>
      <c r="AP7" s="126">
        <f>AO7</f>
        <v>0.87955421127170041</v>
      </c>
      <c r="AQ7" s="126">
        <f>AP7</f>
        <v>0.87955421127170041</v>
      </c>
      <c r="AR7" s="126">
        <f>AQ7</f>
        <v>0.87955421127170041</v>
      </c>
    </row>
    <row r="8" spans="1:44" ht="75" customHeight="1" x14ac:dyDescent="0.25">
      <c r="A8" s="116" t="s">
        <v>1</v>
      </c>
      <c r="B8" t="s">
        <v>16</v>
      </c>
      <c r="C8" s="6" t="s">
        <v>181</v>
      </c>
      <c r="F8" s="10">
        <f>SUMIFS('EIA Net Generation'!$E:$E,'EIA Net Generation'!$B:$B,$B8,'EIA Net Generation'!$D:$D,"Total",'EIA Net Generation'!C:C,"Total Electric Power Industry")</f>
        <v>56838472</v>
      </c>
      <c r="G8" s="125" t="b">
        <f t="shared" si="0"/>
        <v>1</v>
      </c>
      <c r="H8" s="122">
        <f>(0.12*'Extra State Data'!B22+0.03*SUM('Extra State Data'!B23:B24))/SUM('Extra State Data'!B22:B24)</f>
        <v>8.0983742006074402E-2</v>
      </c>
      <c r="I8" s="121">
        <f>(0.2*'Extra State Data'!B22+0.06*SUM('Extra State Data'!B23:B24))/SUM('Extra State Data'!B22:B24)</f>
        <v>0.13930804312056017</v>
      </c>
      <c r="J8" s="92">
        <f>$I8+($N8-$I8)*(J$2-$I$2)/($N$2-$I$2)</f>
        <v>0.15844101516513959</v>
      </c>
      <c r="K8" s="92">
        <f>$I8+($N8-$I8)*(K$2-$I$2)/($N$2-$I$2)</f>
        <v>0.17757398720971901</v>
      </c>
      <c r="L8" s="92">
        <f>$I8+($N8-$I8)*(L$2-$I$2)/($N$2-$I$2)</f>
        <v>0.19670695925429846</v>
      </c>
      <c r="M8" s="92">
        <f>$I8+($N8-$I8)*(M$2-$I$2)/($N$2-$I$2)</f>
        <v>0.21583993129887788</v>
      </c>
      <c r="N8" s="123">
        <f>(0.3*'Extra State Data'!B22+0.15*SUM('Extra State Data'!B23:B24))/SUM('Extra State Data'!B22:B24)</f>
        <v>0.2349729033434573</v>
      </c>
      <c r="O8" s="126">
        <f t="shared" ref="O8:AQ8" si="5">($AR$8-$N$8)/COUNT($O$2:$AR$2)+N8</f>
        <v>0.24459804811642005</v>
      </c>
      <c r="P8" s="126">
        <f t="shared" si="5"/>
        <v>0.25422319288938283</v>
      </c>
      <c r="Q8" s="126">
        <f t="shared" si="5"/>
        <v>0.26384833766234561</v>
      </c>
      <c r="R8" s="126">
        <f t="shared" si="5"/>
        <v>0.27347348243530839</v>
      </c>
      <c r="S8" s="126">
        <f t="shared" si="5"/>
        <v>0.28309862720827117</v>
      </c>
      <c r="T8" s="126">
        <f t="shared" si="5"/>
        <v>0.29272377198123395</v>
      </c>
      <c r="U8" s="126">
        <f t="shared" si="5"/>
        <v>0.30234891675419673</v>
      </c>
      <c r="V8" s="126">
        <f t="shared" si="5"/>
        <v>0.31197406152715951</v>
      </c>
      <c r="W8" s="126">
        <f t="shared" si="5"/>
        <v>0.32159920630012229</v>
      </c>
      <c r="X8" s="126">
        <f t="shared" si="5"/>
        <v>0.33122435107308507</v>
      </c>
      <c r="Y8" s="126">
        <f t="shared" si="5"/>
        <v>0.34084949584604785</v>
      </c>
      <c r="Z8" s="126">
        <f t="shared" si="5"/>
        <v>0.35047464061901062</v>
      </c>
      <c r="AA8" s="126">
        <f t="shared" si="5"/>
        <v>0.3600997853919734</v>
      </c>
      <c r="AB8" s="126">
        <f t="shared" si="5"/>
        <v>0.36972493016493618</v>
      </c>
      <c r="AC8" s="126">
        <f t="shared" si="5"/>
        <v>0.37935007493789896</v>
      </c>
      <c r="AD8" s="126">
        <f t="shared" si="5"/>
        <v>0.38897521971086174</v>
      </c>
      <c r="AE8" s="126">
        <f t="shared" si="5"/>
        <v>0.39860036448382452</v>
      </c>
      <c r="AF8" s="126">
        <f t="shared" si="5"/>
        <v>0.4082255092567873</v>
      </c>
      <c r="AG8" s="126">
        <f t="shared" si="5"/>
        <v>0.41785065402975008</v>
      </c>
      <c r="AH8" s="126">
        <f t="shared" si="5"/>
        <v>0.42747579880271286</v>
      </c>
      <c r="AI8" s="126">
        <f t="shared" si="5"/>
        <v>0.43710094357567564</v>
      </c>
      <c r="AJ8" s="126">
        <f t="shared" si="5"/>
        <v>0.44672608834863842</v>
      </c>
      <c r="AK8" s="126">
        <f t="shared" si="5"/>
        <v>0.4563512331216012</v>
      </c>
      <c r="AL8" s="126">
        <f t="shared" si="5"/>
        <v>0.46597637789456398</v>
      </c>
      <c r="AM8" s="126">
        <f t="shared" si="5"/>
        <v>0.47560152266752675</v>
      </c>
      <c r="AN8" s="126">
        <f t="shared" si="5"/>
        <v>0.48522666744048953</v>
      </c>
      <c r="AO8" s="126">
        <f t="shared" si="5"/>
        <v>0.49485181221345231</v>
      </c>
      <c r="AP8" s="126">
        <f t="shared" si="5"/>
        <v>0.50447695698641504</v>
      </c>
      <c r="AQ8" s="126">
        <f t="shared" si="5"/>
        <v>0.51410210175937776</v>
      </c>
      <c r="AR8" s="130">
        <f>1*('Extra State Data'!B25/'Extra State Data'!B26)</f>
        <v>0.52372724653233993</v>
      </c>
    </row>
    <row r="9" spans="1:44" ht="30" customHeight="1" x14ac:dyDescent="0.25">
      <c r="A9" s="116" t="s">
        <v>18</v>
      </c>
      <c r="B9" t="s">
        <v>19</v>
      </c>
      <c r="C9" s="5" t="s">
        <v>182</v>
      </c>
      <c r="F9" s="10">
        <f>SUMIFS('EIA Net Generation'!$E:$E,'EIA Net Generation'!$B:$B,$B9,'EIA Net Generation'!$D:$D,"Total",'EIA Net Generation'!C:C,"Total Electric Power Industry")</f>
        <v>44079943</v>
      </c>
      <c r="G9" s="125" t="b">
        <f t="shared" si="0"/>
        <v>1</v>
      </c>
      <c r="H9" s="94">
        <v>0.18</v>
      </c>
      <c r="I9" s="91">
        <v>0.19500000000000001</v>
      </c>
      <c r="J9" s="91">
        <v>0.21</v>
      </c>
      <c r="K9" s="91">
        <v>0.22500000000000001</v>
      </c>
      <c r="L9" s="91">
        <v>0.25</v>
      </c>
      <c r="M9" s="91">
        <v>0.27500000000000002</v>
      </c>
      <c r="N9" s="91">
        <v>0.28999999999999998</v>
      </c>
      <c r="O9" s="127">
        <v>0.30499999999999999</v>
      </c>
      <c r="P9" s="127">
        <v>0.32</v>
      </c>
      <c r="Q9" s="127">
        <v>0.34</v>
      </c>
      <c r="R9" s="127">
        <v>0.36</v>
      </c>
      <c r="S9" s="127">
        <v>0.38</v>
      </c>
      <c r="T9" s="127">
        <f>($X$9-$S$9)/COUNT($T$2:$X$2)+S9</f>
        <v>0.4</v>
      </c>
      <c r="U9" s="127">
        <f>($X$9-$S$9)/COUNT($T$2:$X$2)+T9</f>
        <v>0.42000000000000004</v>
      </c>
      <c r="V9" s="127">
        <f>($X$9-$S$9)/COUNT($T$2:$X$2)+U9</f>
        <v>0.44000000000000006</v>
      </c>
      <c r="W9" s="127">
        <f>($X$9-$S$9)/COUNT($T$2:$X$2)+V9</f>
        <v>0.46000000000000008</v>
      </c>
      <c r="X9" s="127">
        <v>0.48</v>
      </c>
      <c r="Y9" s="126">
        <f t="shared" ref="Y9:AR9" si="6">$N9</f>
        <v>0.28999999999999998</v>
      </c>
      <c r="Z9" s="126">
        <f t="shared" si="6"/>
        <v>0.28999999999999998</v>
      </c>
      <c r="AA9" s="126">
        <f t="shared" si="6"/>
        <v>0.28999999999999998</v>
      </c>
      <c r="AB9" s="126">
        <f t="shared" si="6"/>
        <v>0.28999999999999998</v>
      </c>
      <c r="AC9" s="126">
        <f t="shared" si="6"/>
        <v>0.28999999999999998</v>
      </c>
      <c r="AD9" s="126">
        <f t="shared" si="6"/>
        <v>0.28999999999999998</v>
      </c>
      <c r="AE9" s="126">
        <f t="shared" si="6"/>
        <v>0.28999999999999998</v>
      </c>
      <c r="AF9" s="126">
        <f t="shared" si="6"/>
        <v>0.28999999999999998</v>
      </c>
      <c r="AG9" s="126">
        <f t="shared" si="6"/>
        <v>0.28999999999999998</v>
      </c>
      <c r="AH9" s="126">
        <f t="shared" si="6"/>
        <v>0.28999999999999998</v>
      </c>
      <c r="AI9" s="126">
        <f t="shared" si="6"/>
        <v>0.28999999999999998</v>
      </c>
      <c r="AJ9" s="126">
        <f t="shared" si="6"/>
        <v>0.28999999999999998</v>
      </c>
      <c r="AK9" s="126">
        <f t="shared" si="6"/>
        <v>0.28999999999999998</v>
      </c>
      <c r="AL9" s="126">
        <f t="shared" si="6"/>
        <v>0.28999999999999998</v>
      </c>
      <c r="AM9" s="126">
        <f t="shared" si="6"/>
        <v>0.28999999999999998</v>
      </c>
      <c r="AN9" s="126">
        <f t="shared" si="6"/>
        <v>0.28999999999999998</v>
      </c>
      <c r="AO9" s="126">
        <f t="shared" si="6"/>
        <v>0.28999999999999998</v>
      </c>
      <c r="AP9" s="126">
        <f t="shared" si="6"/>
        <v>0.28999999999999998</v>
      </c>
      <c r="AQ9" s="126">
        <f t="shared" si="6"/>
        <v>0.28999999999999998</v>
      </c>
      <c r="AR9" s="126">
        <f t="shared" si="6"/>
        <v>0.28999999999999998</v>
      </c>
    </row>
    <row r="10" spans="1:44" ht="30" customHeight="1" x14ac:dyDescent="0.25">
      <c r="A10" s="116" t="s">
        <v>21</v>
      </c>
      <c r="B10" t="s">
        <v>22</v>
      </c>
      <c r="C10" s="5" t="s">
        <v>180</v>
      </c>
      <c r="F10" s="10">
        <f>SUMIFS('EIA Net Generation'!$E:$E,'EIA Net Generation'!$B:$B,$B10,'EIA Net Generation'!$D:$D,"Total",'EIA Net Generation'!C:C,"Total Electric Power Industry")</f>
        <v>4305126</v>
      </c>
      <c r="G10" s="125" t="b">
        <f t="shared" si="0"/>
        <v>1</v>
      </c>
      <c r="H10" s="91">
        <v>0.115</v>
      </c>
      <c r="I10" s="91">
        <v>0.13</v>
      </c>
      <c r="J10" s="91">
        <v>0.14499999999999999</v>
      </c>
      <c r="K10" s="91">
        <v>0.16</v>
      </c>
      <c r="L10" s="91">
        <v>0.17499999999999999</v>
      </c>
      <c r="M10" s="91">
        <v>0.19</v>
      </c>
      <c r="N10" s="91">
        <v>0.2</v>
      </c>
      <c r="O10" s="127">
        <v>0.21</v>
      </c>
      <c r="P10" s="127">
        <v>0.22</v>
      </c>
      <c r="Q10" s="127">
        <v>0.23</v>
      </c>
      <c r="R10" s="127">
        <v>0.24</v>
      </c>
      <c r="S10" s="127">
        <v>0.25</v>
      </c>
      <c r="T10" s="126">
        <f t="shared" ref="T10:AB10" si="7">$S10</f>
        <v>0.25</v>
      </c>
      <c r="U10" s="126">
        <f t="shared" si="7"/>
        <v>0.25</v>
      </c>
      <c r="V10" s="126">
        <f t="shared" si="7"/>
        <v>0.25</v>
      </c>
      <c r="W10" s="126">
        <f t="shared" si="7"/>
        <v>0.25</v>
      </c>
      <c r="X10" s="131">
        <v>0.28000000000000003</v>
      </c>
      <c r="Y10" s="126">
        <f t="shared" si="7"/>
        <v>0.25</v>
      </c>
      <c r="Z10" s="126">
        <f t="shared" si="7"/>
        <v>0.25</v>
      </c>
      <c r="AA10" s="126">
        <f t="shared" si="7"/>
        <v>0.25</v>
      </c>
      <c r="AB10" s="126">
        <f t="shared" si="7"/>
        <v>0.25</v>
      </c>
      <c r="AC10" s="131">
        <v>0.4</v>
      </c>
      <c r="AD10" s="126">
        <f>AC10</f>
        <v>0.4</v>
      </c>
      <c r="AE10" s="126">
        <f t="shared" ref="AE10:AR10" si="8">AD10</f>
        <v>0.4</v>
      </c>
      <c r="AF10" s="126">
        <f t="shared" si="8"/>
        <v>0.4</v>
      </c>
      <c r="AG10" s="126">
        <f t="shared" si="8"/>
        <v>0.4</v>
      </c>
      <c r="AH10" s="126">
        <f t="shared" si="8"/>
        <v>0.4</v>
      </c>
      <c r="AI10" s="126">
        <f t="shared" si="8"/>
        <v>0.4</v>
      </c>
      <c r="AJ10" s="126">
        <f t="shared" si="8"/>
        <v>0.4</v>
      </c>
      <c r="AK10" s="126">
        <f t="shared" si="8"/>
        <v>0.4</v>
      </c>
      <c r="AL10" s="126">
        <f t="shared" si="8"/>
        <v>0.4</v>
      </c>
      <c r="AM10" s="126">
        <f t="shared" si="8"/>
        <v>0.4</v>
      </c>
      <c r="AN10" s="126">
        <f t="shared" si="8"/>
        <v>0.4</v>
      </c>
      <c r="AO10" s="126">
        <f t="shared" si="8"/>
        <v>0.4</v>
      </c>
      <c r="AP10" s="126">
        <f t="shared" si="8"/>
        <v>0.4</v>
      </c>
      <c r="AQ10" s="126">
        <f t="shared" si="8"/>
        <v>0.4</v>
      </c>
      <c r="AR10" s="126">
        <f t="shared" si="8"/>
        <v>0.4</v>
      </c>
    </row>
    <row r="11" spans="1:44" ht="30" customHeight="1" x14ac:dyDescent="0.25">
      <c r="B11" t="s">
        <v>184</v>
      </c>
      <c r="C11" s="5" t="s">
        <v>185</v>
      </c>
      <c r="E11" s="6">
        <v>1</v>
      </c>
      <c r="F11" s="10">
        <f>SUMIFS('EIA Net Generation'!$E:$E,'EIA Net Generation'!$B:$B,$B11,'EIA Net Generation'!$D:$D,"Total",'EIA Net Generation'!C:C,"Total Electric Power Industry")</f>
        <v>211101</v>
      </c>
      <c r="G11" s="125" t="b">
        <f t="shared" si="0"/>
        <v>1</v>
      </c>
      <c r="H11" s="94">
        <v>0.08</v>
      </c>
      <c r="I11" s="91">
        <v>9.5000000000000001E-2</v>
      </c>
      <c r="J11" s="91">
        <v>0.115</v>
      </c>
      <c r="K11" s="91">
        <v>0.13500000000000001</v>
      </c>
      <c r="L11" s="91">
        <v>0.155</v>
      </c>
      <c r="M11" s="91">
        <v>0.17499999999999999</v>
      </c>
      <c r="N11" s="94">
        <v>0.2</v>
      </c>
      <c r="O11" s="131">
        <v>0.26250000000000001</v>
      </c>
      <c r="P11" s="131">
        <v>0.32500000000000001</v>
      </c>
      <c r="Q11" s="131">
        <v>0.38750000000000001</v>
      </c>
      <c r="R11" s="131">
        <v>0.45</v>
      </c>
      <c r="S11" s="131">
        <v>0.52</v>
      </c>
      <c r="T11" s="131">
        <v>0.59</v>
      </c>
      <c r="U11" s="131">
        <v>0.66</v>
      </c>
      <c r="V11" s="131">
        <v>0.73</v>
      </c>
      <c r="W11" s="131">
        <v>0.8</v>
      </c>
      <c r="X11" s="131">
        <v>0.87</v>
      </c>
      <c r="Y11" s="131">
        <v>0.94</v>
      </c>
      <c r="Z11" s="131">
        <v>1</v>
      </c>
      <c r="AA11" s="126">
        <f t="shared" ref="AA11:AR11" si="9">$Z11</f>
        <v>1</v>
      </c>
      <c r="AB11" s="126">
        <f t="shared" si="9"/>
        <v>1</v>
      </c>
      <c r="AC11" s="126">
        <f t="shared" si="9"/>
        <v>1</v>
      </c>
      <c r="AD11" s="126">
        <f t="shared" si="9"/>
        <v>1</v>
      </c>
      <c r="AE11" s="126">
        <f t="shared" si="9"/>
        <v>1</v>
      </c>
      <c r="AF11" s="126">
        <f t="shared" si="9"/>
        <v>1</v>
      </c>
      <c r="AG11" s="126">
        <f t="shared" si="9"/>
        <v>1</v>
      </c>
      <c r="AH11" s="126">
        <f t="shared" si="9"/>
        <v>1</v>
      </c>
      <c r="AI11" s="126">
        <f t="shared" si="9"/>
        <v>1</v>
      </c>
      <c r="AJ11" s="126">
        <f t="shared" si="9"/>
        <v>1</v>
      </c>
      <c r="AK11" s="126">
        <f t="shared" si="9"/>
        <v>1</v>
      </c>
      <c r="AL11" s="126">
        <f t="shared" si="9"/>
        <v>1</v>
      </c>
      <c r="AM11" s="126">
        <f t="shared" si="9"/>
        <v>1</v>
      </c>
      <c r="AN11" s="126">
        <f t="shared" si="9"/>
        <v>1</v>
      </c>
      <c r="AO11" s="126">
        <f t="shared" si="9"/>
        <v>1</v>
      </c>
      <c r="AP11" s="126">
        <f t="shared" si="9"/>
        <v>1</v>
      </c>
      <c r="AQ11" s="126">
        <f t="shared" si="9"/>
        <v>1</v>
      </c>
      <c r="AR11" s="126">
        <f t="shared" si="9"/>
        <v>1</v>
      </c>
    </row>
    <row r="12" spans="1:44" x14ac:dyDescent="0.25">
      <c r="A12" s="116" t="s">
        <v>23</v>
      </c>
      <c r="B12" t="s">
        <v>24</v>
      </c>
      <c r="C12" s="6" t="s">
        <v>186</v>
      </c>
      <c r="F12" s="10">
        <f>SUMIFS('EIA Net Generation'!$E:$E,'EIA Net Generation'!$B:$B,$B12,'EIA Net Generation'!$D:$D,"Total",'EIA Net Generation'!C:C,"Total Electric Power Industry")</f>
        <v>247906982</v>
      </c>
      <c r="G12" s="125" t="b">
        <f t="shared" si="0"/>
        <v>1</v>
      </c>
      <c r="H12" s="93">
        <f>0.15*SUMIFS('EIA 2017 ESRAP Table 10'!$E$4:$E$2216,'EIA 2017 ESRAP Table 10'!B4:B2216,"FL",'EIA 2017 ESRAP Table 10'!A4:A2216,"JEA")/SUMIF('EIA 2017 ESRAP Table 10'!B4:B2216,"FL",'EIA 2017 ESRAP Table 10'!E4:E2216)</f>
        <v>7.624062566612755E-3</v>
      </c>
      <c r="I12" s="93">
        <f t="shared" ref="I12:AR12" si="10">H12</f>
        <v>7.624062566612755E-3</v>
      </c>
      <c r="J12" s="90">
        <f t="shared" si="10"/>
        <v>7.624062566612755E-3</v>
      </c>
      <c r="K12" s="90">
        <f t="shared" si="10"/>
        <v>7.624062566612755E-3</v>
      </c>
      <c r="L12" s="90">
        <f t="shared" si="10"/>
        <v>7.624062566612755E-3</v>
      </c>
      <c r="M12" s="90">
        <f t="shared" si="10"/>
        <v>7.624062566612755E-3</v>
      </c>
      <c r="N12" s="90">
        <f t="shared" si="10"/>
        <v>7.624062566612755E-3</v>
      </c>
      <c r="O12" s="126">
        <f t="shared" si="10"/>
        <v>7.624062566612755E-3</v>
      </c>
      <c r="P12" s="126">
        <f t="shared" si="10"/>
        <v>7.624062566612755E-3</v>
      </c>
      <c r="Q12" s="126">
        <f t="shared" si="10"/>
        <v>7.624062566612755E-3</v>
      </c>
      <c r="R12" s="126">
        <f t="shared" si="10"/>
        <v>7.624062566612755E-3</v>
      </c>
      <c r="S12" s="126">
        <f t="shared" si="10"/>
        <v>7.624062566612755E-3</v>
      </c>
      <c r="T12" s="126">
        <f t="shared" si="10"/>
        <v>7.624062566612755E-3</v>
      </c>
      <c r="U12" s="126">
        <f t="shared" si="10"/>
        <v>7.624062566612755E-3</v>
      </c>
      <c r="V12" s="126">
        <f t="shared" si="10"/>
        <v>7.624062566612755E-3</v>
      </c>
      <c r="W12" s="126">
        <f t="shared" si="10"/>
        <v>7.624062566612755E-3</v>
      </c>
      <c r="X12" s="126">
        <f t="shared" si="10"/>
        <v>7.624062566612755E-3</v>
      </c>
      <c r="Y12" s="126">
        <f t="shared" si="10"/>
        <v>7.624062566612755E-3</v>
      </c>
      <c r="Z12" s="126">
        <f t="shared" si="10"/>
        <v>7.624062566612755E-3</v>
      </c>
      <c r="AA12" s="126">
        <f t="shared" si="10"/>
        <v>7.624062566612755E-3</v>
      </c>
      <c r="AB12" s="126">
        <f t="shared" si="10"/>
        <v>7.624062566612755E-3</v>
      </c>
      <c r="AC12" s="126">
        <f t="shared" si="10"/>
        <v>7.624062566612755E-3</v>
      </c>
      <c r="AD12" s="126">
        <f t="shared" si="10"/>
        <v>7.624062566612755E-3</v>
      </c>
      <c r="AE12" s="126">
        <f t="shared" si="10"/>
        <v>7.624062566612755E-3</v>
      </c>
      <c r="AF12" s="126">
        <f t="shared" si="10"/>
        <v>7.624062566612755E-3</v>
      </c>
      <c r="AG12" s="126">
        <f t="shared" si="10"/>
        <v>7.624062566612755E-3</v>
      </c>
      <c r="AH12" s="126">
        <f t="shared" si="10"/>
        <v>7.624062566612755E-3</v>
      </c>
      <c r="AI12" s="126">
        <f t="shared" si="10"/>
        <v>7.624062566612755E-3</v>
      </c>
      <c r="AJ12" s="126">
        <f t="shared" si="10"/>
        <v>7.624062566612755E-3</v>
      </c>
      <c r="AK12" s="126">
        <f t="shared" si="10"/>
        <v>7.624062566612755E-3</v>
      </c>
      <c r="AL12" s="126">
        <f t="shared" si="10"/>
        <v>7.624062566612755E-3</v>
      </c>
      <c r="AM12" s="126">
        <f t="shared" si="10"/>
        <v>7.624062566612755E-3</v>
      </c>
      <c r="AN12" s="126">
        <f t="shared" si="10"/>
        <v>7.624062566612755E-3</v>
      </c>
      <c r="AO12" s="126">
        <f t="shared" si="10"/>
        <v>7.624062566612755E-3</v>
      </c>
      <c r="AP12" s="126">
        <f t="shared" si="10"/>
        <v>7.624062566612755E-3</v>
      </c>
      <c r="AQ12" s="126">
        <f t="shared" si="10"/>
        <v>7.624062566612755E-3</v>
      </c>
      <c r="AR12" s="126">
        <f t="shared" si="10"/>
        <v>7.624062566612755E-3</v>
      </c>
    </row>
    <row r="13" spans="1:44" x14ac:dyDescent="0.25">
      <c r="A13" s="116" t="s">
        <v>26</v>
      </c>
      <c r="B13" t="s">
        <v>27</v>
      </c>
      <c r="F13" s="10">
        <f>SUMIFS('EIA Net Generation'!$E:$E,'EIA Net Generation'!$B:$B,$B13,'EIA Net Generation'!$D:$D,"Total",'EIA Net Generation'!C:C,"Total Electric Power Industry")</f>
        <v>124200528</v>
      </c>
      <c r="G13" s="125" t="b">
        <f t="shared" si="0"/>
        <v>0</v>
      </c>
      <c r="H13" s="89">
        <v>0</v>
      </c>
      <c r="I13" s="90">
        <v>0</v>
      </c>
      <c r="J13" s="90">
        <v>0</v>
      </c>
      <c r="K13" s="90">
        <v>0</v>
      </c>
      <c r="L13" s="90">
        <v>0</v>
      </c>
      <c r="M13" s="90">
        <v>0</v>
      </c>
      <c r="N13" s="90">
        <v>0</v>
      </c>
      <c r="O13" s="126">
        <v>0</v>
      </c>
      <c r="P13" s="126">
        <v>0</v>
      </c>
      <c r="Q13" s="126">
        <v>0</v>
      </c>
      <c r="R13" s="126">
        <v>0</v>
      </c>
      <c r="S13" s="126">
        <v>0</v>
      </c>
      <c r="T13" s="126">
        <v>0</v>
      </c>
      <c r="U13" s="126">
        <v>0</v>
      </c>
      <c r="V13" s="126">
        <v>0</v>
      </c>
      <c r="W13" s="126">
        <v>0</v>
      </c>
      <c r="X13" s="126">
        <v>0</v>
      </c>
      <c r="Y13" s="126">
        <v>0</v>
      </c>
      <c r="Z13" s="126">
        <v>0</v>
      </c>
      <c r="AA13" s="126">
        <v>0</v>
      </c>
      <c r="AB13" s="126">
        <v>0</v>
      </c>
      <c r="AC13" s="126">
        <v>0</v>
      </c>
      <c r="AD13" s="126">
        <v>0</v>
      </c>
      <c r="AE13" s="126">
        <v>0</v>
      </c>
      <c r="AF13" s="126">
        <v>0</v>
      </c>
      <c r="AG13" s="126">
        <v>0</v>
      </c>
      <c r="AH13" s="126">
        <v>0</v>
      </c>
      <c r="AI13" s="126">
        <v>0</v>
      </c>
      <c r="AJ13" s="126">
        <v>0</v>
      </c>
      <c r="AK13" s="126">
        <v>0</v>
      </c>
      <c r="AL13" s="126">
        <v>0</v>
      </c>
      <c r="AM13" s="126">
        <v>0</v>
      </c>
      <c r="AN13" s="126">
        <v>0</v>
      </c>
      <c r="AO13" s="126">
        <v>0</v>
      </c>
      <c r="AP13" s="126">
        <v>0</v>
      </c>
      <c r="AQ13" s="126">
        <v>0</v>
      </c>
      <c r="AR13" s="126">
        <v>0</v>
      </c>
    </row>
    <row r="14" spans="1:44" ht="30" customHeight="1" x14ac:dyDescent="0.25">
      <c r="A14" s="116" t="s">
        <v>28</v>
      </c>
      <c r="B14" t="s">
        <v>29</v>
      </c>
      <c r="C14" s="5" t="s">
        <v>187</v>
      </c>
      <c r="F14" s="10">
        <f>SUMIFS('EIA Net Generation'!$E:$E,'EIA Net Generation'!$B:$B,$B14,'EIA Net Generation'!$D:$D,"Total",'EIA Net Generation'!C:C,"Total Electric Power Industry")</f>
        <v>9182191</v>
      </c>
      <c r="G14" s="125" t="b">
        <f t="shared" si="0"/>
        <v>1</v>
      </c>
      <c r="H14" s="95">
        <f>0.1+(0.15-0.1)*(4/5)</f>
        <v>0.14000000000000001</v>
      </c>
      <c r="I14" s="94">
        <v>0.15</v>
      </c>
      <c r="J14" s="90">
        <f>$I14+($N14-$I14)*(J$2-$I$2)/($N$2-$I$2)</f>
        <v>0.18</v>
      </c>
      <c r="K14" s="90">
        <f>$I14+($N14-$I14)*(K$2-$I$2)/($N$2-$I$2)</f>
        <v>0.21</v>
      </c>
      <c r="L14" s="90">
        <f>$I14+($N14-$I14)*(L$2-$I$2)/($N$2-$I$2)</f>
        <v>0.24</v>
      </c>
      <c r="M14" s="90">
        <f>$I14+($N14-$I14)*(M$2-$I$2)/($N$2-$I$2)</f>
        <v>0.27</v>
      </c>
      <c r="N14" s="94">
        <v>0.3</v>
      </c>
      <c r="O14" s="128">
        <f t="shared" ref="O14:W14" si="11">$N14+($X14-$N14)*(O$2-$N$2)/($X$2-$N$2)</f>
        <v>0.31</v>
      </c>
      <c r="P14" s="128">
        <f t="shared" si="11"/>
        <v>0.32</v>
      </c>
      <c r="Q14" s="128">
        <f t="shared" si="11"/>
        <v>0.33</v>
      </c>
      <c r="R14" s="128">
        <f t="shared" si="11"/>
        <v>0.34</v>
      </c>
      <c r="S14" s="128">
        <f t="shared" si="11"/>
        <v>0.35000000000000003</v>
      </c>
      <c r="T14" s="128">
        <f t="shared" si="11"/>
        <v>0.36</v>
      </c>
      <c r="U14" s="128">
        <f t="shared" si="11"/>
        <v>0.37</v>
      </c>
      <c r="V14" s="128">
        <f t="shared" si="11"/>
        <v>0.38</v>
      </c>
      <c r="W14" s="128">
        <f t="shared" si="11"/>
        <v>0.39</v>
      </c>
      <c r="X14" s="131">
        <v>0.4</v>
      </c>
      <c r="Y14" s="128">
        <f t="shared" ref="Y14:AG14" si="12">$X14+($AH14-$X14)*(Y$2-$X$2)/($AH$2-$X$2)</f>
        <v>0.43</v>
      </c>
      <c r="Z14" s="128">
        <f t="shared" si="12"/>
        <v>0.46</v>
      </c>
      <c r="AA14" s="128">
        <f t="shared" si="12"/>
        <v>0.49</v>
      </c>
      <c r="AB14" s="128">
        <f t="shared" si="12"/>
        <v>0.52</v>
      </c>
      <c r="AC14" s="128">
        <f t="shared" si="12"/>
        <v>0.55000000000000004</v>
      </c>
      <c r="AD14" s="128">
        <f t="shared" si="12"/>
        <v>0.57999999999999996</v>
      </c>
      <c r="AE14" s="128">
        <f t="shared" si="12"/>
        <v>0.61</v>
      </c>
      <c r="AF14" s="128">
        <f t="shared" si="12"/>
        <v>0.6399999999999999</v>
      </c>
      <c r="AG14" s="128">
        <f t="shared" si="12"/>
        <v>0.66999999999999993</v>
      </c>
      <c r="AH14" s="131">
        <v>0.7</v>
      </c>
      <c r="AI14" s="128">
        <f>$AH14+($AM14-$AH14)*(AI$2-$AH$2)/($AM$2-$AH$2)</f>
        <v>0.76</v>
      </c>
      <c r="AJ14" s="128">
        <f>$AH14+($AM14-$AH14)*(AJ$2-$AH$2)/($AM$2-$AH$2)</f>
        <v>0.82</v>
      </c>
      <c r="AK14" s="128">
        <f>$AH14+($AM14-$AH14)*(AK$2-$AH$2)/($AM$2-$AH$2)</f>
        <v>0.88</v>
      </c>
      <c r="AL14" s="128">
        <f>$AH14+($AM14-$AH14)*(AL$2-$AH$2)/($AM$2-$AH$2)</f>
        <v>0.94</v>
      </c>
      <c r="AM14" s="131">
        <v>1</v>
      </c>
      <c r="AN14" s="126">
        <f>$AM14</f>
        <v>1</v>
      </c>
      <c r="AO14" s="126">
        <f>$AM14</f>
        <v>1</v>
      </c>
      <c r="AP14" s="126">
        <f>$AM14</f>
        <v>1</v>
      </c>
      <c r="AQ14" s="126">
        <f>$AM14</f>
        <v>1</v>
      </c>
      <c r="AR14" s="126">
        <f>$AM14</f>
        <v>1</v>
      </c>
    </row>
    <row r="15" spans="1:44" ht="15.75" thickBot="1" x14ac:dyDescent="0.3">
      <c r="A15" s="116" t="s">
        <v>31</v>
      </c>
      <c r="B15" t="s">
        <v>32</v>
      </c>
      <c r="F15" s="10">
        <f>SUMIFS('EIA Net Generation'!$E:$E,'EIA Net Generation'!$B:$B,$B15,'EIA Net Generation'!$D:$D,"Total",'EIA Net Generation'!C:C,"Total Electric Power Industry")</f>
        <v>16836473</v>
      </c>
      <c r="G15" s="125" t="b">
        <f t="shared" si="0"/>
        <v>0</v>
      </c>
      <c r="H15" s="89">
        <v>0</v>
      </c>
      <c r="I15" s="90">
        <v>0</v>
      </c>
      <c r="J15" s="90">
        <v>0</v>
      </c>
      <c r="K15" s="90">
        <v>0</v>
      </c>
      <c r="L15" s="90">
        <v>0</v>
      </c>
      <c r="M15" s="90">
        <v>0</v>
      </c>
      <c r="N15" s="90">
        <v>0</v>
      </c>
      <c r="O15" s="126">
        <v>0</v>
      </c>
      <c r="P15" s="126">
        <v>0</v>
      </c>
      <c r="Q15" s="126">
        <v>0</v>
      </c>
      <c r="R15" s="126">
        <v>0</v>
      </c>
      <c r="S15" s="126">
        <v>0</v>
      </c>
      <c r="T15" s="126">
        <v>0</v>
      </c>
      <c r="U15" s="126">
        <v>0</v>
      </c>
      <c r="V15" s="126">
        <v>0</v>
      </c>
      <c r="W15" s="126">
        <v>0</v>
      </c>
      <c r="X15" s="126">
        <v>0</v>
      </c>
      <c r="Y15" s="126">
        <v>0</v>
      </c>
      <c r="Z15" s="126">
        <v>0</v>
      </c>
      <c r="AA15" s="126">
        <v>0</v>
      </c>
      <c r="AB15" s="126">
        <v>0</v>
      </c>
      <c r="AC15" s="126">
        <v>0</v>
      </c>
      <c r="AD15" s="126">
        <v>0</v>
      </c>
      <c r="AE15" s="126">
        <v>0</v>
      </c>
      <c r="AF15" s="126">
        <v>0</v>
      </c>
      <c r="AG15" s="126">
        <v>0</v>
      </c>
      <c r="AH15" s="132">
        <v>0</v>
      </c>
      <c r="AI15" s="126">
        <v>0</v>
      </c>
      <c r="AJ15" s="126">
        <v>0</v>
      </c>
      <c r="AK15" s="126">
        <v>0</v>
      </c>
      <c r="AL15" s="126">
        <v>0</v>
      </c>
      <c r="AM15" s="126">
        <v>0</v>
      </c>
      <c r="AN15" s="126">
        <v>0</v>
      </c>
      <c r="AO15" s="126">
        <v>0</v>
      </c>
      <c r="AP15" s="126">
        <v>0</v>
      </c>
      <c r="AQ15" s="126">
        <v>0</v>
      </c>
      <c r="AR15" s="132">
        <v>0</v>
      </c>
    </row>
    <row r="16" spans="1:44" ht="45" customHeight="1" thickBot="1" x14ac:dyDescent="0.3">
      <c r="A16" s="116" t="s">
        <v>34</v>
      </c>
      <c r="B16" t="s">
        <v>35</v>
      </c>
      <c r="C16" s="5" t="s">
        <v>3004</v>
      </c>
      <c r="F16" s="10">
        <f>SUMIFS('EIA Net Generation'!$E:$E,'EIA Net Generation'!$B:$B,$B16,'EIA Net Generation'!$D:$D,"Total",'EIA Net Generation'!C:C,"Total Electric Power Industry")</f>
        <v>181637574</v>
      </c>
      <c r="G16" s="125" t="b">
        <f t="shared" si="0"/>
        <v>1</v>
      </c>
      <c r="H16" s="90">
        <v>0.08</v>
      </c>
      <c r="I16" s="92">
        <v>0.09</v>
      </c>
      <c r="J16" s="90">
        <v>0.1</v>
      </c>
      <c r="K16" s="90">
        <v>0.115</v>
      </c>
      <c r="L16" s="90">
        <v>0.13</v>
      </c>
      <c r="M16" s="90">
        <v>0.14499999999999999</v>
      </c>
      <c r="N16" s="90">
        <v>0.16</v>
      </c>
      <c r="O16" s="126">
        <v>0.17499999999999999</v>
      </c>
      <c r="P16" s="126">
        <v>0.19</v>
      </c>
      <c r="Q16" s="126">
        <v>0.20499999999999999</v>
      </c>
      <c r="R16" s="126">
        <v>0.22</v>
      </c>
      <c r="S16" s="126">
        <v>0.23499999999999999</v>
      </c>
      <c r="T16" s="126">
        <v>0.25</v>
      </c>
      <c r="U16" s="126">
        <v>0.25</v>
      </c>
      <c r="V16" s="126">
        <v>0.25</v>
      </c>
      <c r="W16" s="126">
        <v>0.25</v>
      </c>
      <c r="X16" s="126">
        <v>0.4</v>
      </c>
      <c r="Y16" s="126">
        <f t="shared" ref="Y16:AG16" si="13">$X16+($AH16-$X16)*(Y$2-$X$2)/($AH$2-$X$2)</f>
        <v>0.41000000000000003</v>
      </c>
      <c r="Z16" s="126">
        <f t="shared" si="13"/>
        <v>0.42000000000000004</v>
      </c>
      <c r="AA16" s="126">
        <f t="shared" si="13"/>
        <v>0.43</v>
      </c>
      <c r="AB16" s="126">
        <f t="shared" si="13"/>
        <v>0.44</v>
      </c>
      <c r="AC16" s="126">
        <f t="shared" si="13"/>
        <v>0.45</v>
      </c>
      <c r="AD16" s="126">
        <f t="shared" si="13"/>
        <v>0.46</v>
      </c>
      <c r="AE16" s="126">
        <f t="shared" si="13"/>
        <v>0.47</v>
      </c>
      <c r="AF16" s="126">
        <f t="shared" si="13"/>
        <v>0.48</v>
      </c>
      <c r="AG16" s="133">
        <f t="shared" si="13"/>
        <v>0.49</v>
      </c>
      <c r="AH16" s="134">
        <v>0.5</v>
      </c>
      <c r="AI16" s="135">
        <f>($AR$16-$AH$16)/(COUNTA($AH$2:$AR$2)-1)+AH16</f>
        <v>0.55000000000000004</v>
      </c>
      <c r="AJ16" s="135">
        <f t="shared" ref="AJ16:AQ16" si="14">($AR$16-$AH$16)/(COUNTA($AH$2:$AR$2)-1)+AI16</f>
        <v>0.60000000000000009</v>
      </c>
      <c r="AK16" s="135">
        <f t="shared" si="14"/>
        <v>0.65000000000000013</v>
      </c>
      <c r="AL16" s="135">
        <f t="shared" si="14"/>
        <v>0.70000000000000018</v>
      </c>
      <c r="AM16" s="135">
        <f t="shared" si="14"/>
        <v>0.75000000000000022</v>
      </c>
      <c r="AN16" s="135">
        <f t="shared" si="14"/>
        <v>0.80000000000000027</v>
      </c>
      <c r="AO16" s="135">
        <f t="shared" si="14"/>
        <v>0.85000000000000031</v>
      </c>
      <c r="AP16" s="135">
        <f t="shared" si="14"/>
        <v>0.90000000000000036</v>
      </c>
      <c r="AQ16" s="135">
        <f t="shared" si="14"/>
        <v>0.9500000000000004</v>
      </c>
      <c r="AR16" s="134">
        <v>1</v>
      </c>
    </row>
    <row r="17" spans="1:44" x14ac:dyDescent="0.25">
      <c r="A17" s="116" t="s">
        <v>36</v>
      </c>
      <c r="B17" t="s">
        <v>37</v>
      </c>
      <c r="C17" s="5" t="s">
        <v>188</v>
      </c>
      <c r="F17" s="10">
        <f>SUMIFS('EIA Net Generation'!$E:$E,'EIA Net Generation'!$B:$B,$B17,'EIA Net Generation'!$D:$D,"Total",'EIA Net Generation'!C:C,"Total Electric Power Industry")</f>
        <v>94164796</v>
      </c>
      <c r="G17" s="125" t="b">
        <f t="shared" si="0"/>
        <v>1</v>
      </c>
      <c r="H17" s="94">
        <v>0.04</v>
      </c>
      <c r="I17" s="92">
        <f>$H17+($M17-$H17)*(I$2-$H$2)/($M$2-$H$2)</f>
        <v>4.5999999999999999E-2</v>
      </c>
      <c r="J17" s="92">
        <f>$H17+($M17-$H17)*(J$2-$H$2)/($M$2-$H$2)</f>
        <v>5.2000000000000005E-2</v>
      </c>
      <c r="K17" s="92">
        <f>$H17+($M17-$H17)*(K$2-$H$2)/($M$2-$H$2)</f>
        <v>5.800000000000001E-2</v>
      </c>
      <c r="L17" s="92">
        <f>$H17+($M17-$H17)*(L$2-$H$2)/($M$2-$H$2)</f>
        <v>6.4000000000000001E-2</v>
      </c>
      <c r="M17" s="91">
        <v>7.0000000000000007E-2</v>
      </c>
      <c r="N17" s="92">
        <f>$M17+($S17-$M17)*(N$2-$M$2)/($S$2-$M$2)</f>
        <v>7.5000000000000011E-2</v>
      </c>
      <c r="O17" s="128">
        <f>$M17+($S17-$M17)*(O$2-$M$2)/($S$2-$M$2)</f>
        <v>0.08</v>
      </c>
      <c r="P17" s="128">
        <f>$M17+($S17-$M17)*(P$2-$M$2)/($S$2-$M$2)</f>
        <v>8.5000000000000006E-2</v>
      </c>
      <c r="Q17" s="128">
        <f>$M17+($S17-$M17)*(Q$2-$M$2)/($S$2-$M$2)</f>
        <v>9.0000000000000011E-2</v>
      </c>
      <c r="R17" s="128">
        <f>$M17+($S17-$M17)*(R$2-$M$2)/($S$2-$M$2)</f>
        <v>9.5000000000000001E-2</v>
      </c>
      <c r="S17" s="131">
        <v>0.1</v>
      </c>
      <c r="T17" s="126">
        <f t="shared" ref="T17:AR17" si="15">$S17</f>
        <v>0.1</v>
      </c>
      <c r="U17" s="126">
        <f t="shared" si="15"/>
        <v>0.1</v>
      </c>
      <c r="V17" s="126">
        <f t="shared" si="15"/>
        <v>0.1</v>
      </c>
      <c r="W17" s="126">
        <f t="shared" si="15"/>
        <v>0.1</v>
      </c>
      <c r="X17" s="126">
        <f t="shared" si="15"/>
        <v>0.1</v>
      </c>
      <c r="Y17" s="126">
        <f t="shared" si="15"/>
        <v>0.1</v>
      </c>
      <c r="Z17" s="126">
        <f t="shared" si="15"/>
        <v>0.1</v>
      </c>
      <c r="AA17" s="126">
        <f t="shared" si="15"/>
        <v>0.1</v>
      </c>
      <c r="AB17" s="126">
        <f t="shared" si="15"/>
        <v>0.1</v>
      </c>
      <c r="AC17" s="126">
        <f t="shared" si="15"/>
        <v>0.1</v>
      </c>
      <c r="AD17" s="126">
        <f t="shared" si="15"/>
        <v>0.1</v>
      </c>
      <c r="AE17" s="126">
        <f t="shared" si="15"/>
        <v>0.1</v>
      </c>
      <c r="AF17" s="126">
        <f t="shared" si="15"/>
        <v>0.1</v>
      </c>
      <c r="AG17" s="126">
        <f t="shared" si="15"/>
        <v>0.1</v>
      </c>
      <c r="AH17" s="136">
        <f t="shared" si="15"/>
        <v>0.1</v>
      </c>
      <c r="AI17" s="126">
        <f t="shared" si="15"/>
        <v>0.1</v>
      </c>
      <c r="AJ17" s="126">
        <f t="shared" si="15"/>
        <v>0.1</v>
      </c>
      <c r="AK17" s="126">
        <f t="shared" si="15"/>
        <v>0.1</v>
      </c>
      <c r="AL17" s="126">
        <f t="shared" si="15"/>
        <v>0.1</v>
      </c>
      <c r="AM17" s="126">
        <f t="shared" si="15"/>
        <v>0.1</v>
      </c>
      <c r="AN17" s="126">
        <f t="shared" si="15"/>
        <v>0.1</v>
      </c>
      <c r="AO17" s="126">
        <f t="shared" si="15"/>
        <v>0.1</v>
      </c>
      <c r="AP17" s="126">
        <f t="shared" si="15"/>
        <v>0.1</v>
      </c>
      <c r="AQ17" s="126">
        <f t="shared" si="15"/>
        <v>0.1</v>
      </c>
      <c r="AR17" s="136">
        <f t="shared" si="15"/>
        <v>0.1</v>
      </c>
    </row>
    <row r="18" spans="1:44" x14ac:dyDescent="0.25">
      <c r="A18" s="116" t="s">
        <v>39</v>
      </c>
      <c r="B18" t="s">
        <v>40</v>
      </c>
      <c r="F18" s="10">
        <f>SUMIFS('EIA Net Generation'!$E:$E,'EIA Net Generation'!$B:$B,$B18,'EIA Net Generation'!$D:$D,"Total",'EIA Net Generation'!C:C,"Total Electric Power Industry")</f>
        <v>67207008</v>
      </c>
      <c r="G18" s="125" t="b">
        <f t="shared" si="0"/>
        <v>0</v>
      </c>
      <c r="H18" s="89">
        <v>0</v>
      </c>
      <c r="I18" s="90">
        <v>0</v>
      </c>
      <c r="J18" s="90">
        <v>0</v>
      </c>
      <c r="K18" s="90">
        <v>0</v>
      </c>
      <c r="L18" s="90">
        <v>0</v>
      </c>
      <c r="M18" s="90">
        <v>0</v>
      </c>
      <c r="N18" s="90">
        <v>0</v>
      </c>
      <c r="O18" s="126">
        <v>0</v>
      </c>
      <c r="P18" s="126">
        <v>0</v>
      </c>
      <c r="Q18" s="126">
        <v>0</v>
      </c>
      <c r="R18" s="126">
        <v>0</v>
      </c>
      <c r="S18" s="126">
        <v>0</v>
      </c>
      <c r="T18" s="126">
        <v>0</v>
      </c>
      <c r="U18" s="126">
        <v>0</v>
      </c>
      <c r="V18" s="126">
        <v>0</v>
      </c>
      <c r="W18" s="126">
        <v>0</v>
      </c>
      <c r="X18" s="126">
        <v>0</v>
      </c>
      <c r="Y18" s="126">
        <v>0</v>
      </c>
      <c r="Z18" s="126">
        <v>0</v>
      </c>
      <c r="AA18" s="126">
        <v>0</v>
      </c>
      <c r="AB18" s="126">
        <v>0</v>
      </c>
      <c r="AC18" s="126">
        <v>0</v>
      </c>
      <c r="AD18" s="126">
        <v>0</v>
      </c>
      <c r="AE18" s="126">
        <v>0</v>
      </c>
      <c r="AF18" s="126">
        <v>0</v>
      </c>
      <c r="AG18" s="126">
        <v>0</v>
      </c>
      <c r="AH18" s="126">
        <v>0</v>
      </c>
      <c r="AI18" s="126">
        <v>0</v>
      </c>
      <c r="AJ18" s="126">
        <v>0</v>
      </c>
      <c r="AK18" s="126">
        <v>0</v>
      </c>
      <c r="AL18" s="126">
        <v>0</v>
      </c>
      <c r="AM18" s="126">
        <v>0</v>
      </c>
      <c r="AN18" s="126">
        <v>0</v>
      </c>
      <c r="AO18" s="126">
        <v>0</v>
      </c>
      <c r="AP18" s="126">
        <v>0</v>
      </c>
      <c r="AQ18" s="126">
        <v>0</v>
      </c>
      <c r="AR18" s="126">
        <v>0</v>
      </c>
    </row>
    <row r="19" spans="1:44" x14ac:dyDescent="0.25">
      <c r="A19" s="116" t="s">
        <v>41</v>
      </c>
      <c r="B19" t="s">
        <v>42</v>
      </c>
      <c r="C19" s="5"/>
      <c r="F19" s="10">
        <f>SUMIFS('EIA Net Generation'!$E:$E,'EIA Net Generation'!$B:$B,$B19,'EIA Net Generation'!$D:$D,"Total",'EIA Net Generation'!C:C,"Total Electric Power Industry")</f>
        <v>56630703</v>
      </c>
      <c r="G19" s="125" t="b">
        <f t="shared" si="0"/>
        <v>0</v>
      </c>
      <c r="H19" s="89">
        <v>0</v>
      </c>
      <c r="I19" s="90">
        <v>0</v>
      </c>
      <c r="J19" s="90">
        <v>0</v>
      </c>
      <c r="K19" s="90">
        <v>0</v>
      </c>
      <c r="L19" s="90">
        <v>0</v>
      </c>
      <c r="M19" s="90">
        <v>0</v>
      </c>
      <c r="N19" s="90">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126">
        <v>0</v>
      </c>
      <c r="AI19" s="126">
        <v>0</v>
      </c>
      <c r="AJ19" s="126">
        <v>0</v>
      </c>
      <c r="AK19" s="126">
        <v>0</v>
      </c>
      <c r="AL19" s="126">
        <v>0</v>
      </c>
      <c r="AM19" s="126">
        <v>0</v>
      </c>
      <c r="AN19" s="126">
        <v>0</v>
      </c>
      <c r="AO19" s="126">
        <v>0</v>
      </c>
      <c r="AP19" s="126">
        <v>0</v>
      </c>
      <c r="AQ19" s="126">
        <v>0</v>
      </c>
      <c r="AR19" s="126">
        <v>0</v>
      </c>
    </row>
    <row r="20" spans="1:44" x14ac:dyDescent="0.25">
      <c r="A20" s="116" t="s">
        <v>44</v>
      </c>
      <c r="B20" t="s">
        <v>45</v>
      </c>
      <c r="F20" s="10">
        <f>SUMIFS('EIA Net Generation'!$E:$E,'EIA Net Generation'!$B:$B,$B20,'EIA Net Generation'!$D:$D,"Total",'EIA Net Generation'!C:C,"Total Electric Power Industry")</f>
        <v>69908411</v>
      </c>
      <c r="G20" s="125" t="b">
        <f t="shared" si="0"/>
        <v>0</v>
      </c>
      <c r="H20" s="89">
        <v>0</v>
      </c>
      <c r="I20" s="90">
        <v>0</v>
      </c>
      <c r="J20" s="90">
        <v>0</v>
      </c>
      <c r="K20" s="90">
        <v>0</v>
      </c>
      <c r="L20" s="90">
        <v>0</v>
      </c>
      <c r="M20" s="90">
        <v>0</v>
      </c>
      <c r="N20" s="90">
        <v>0</v>
      </c>
      <c r="O20" s="126">
        <v>0</v>
      </c>
      <c r="P20" s="126">
        <v>0</v>
      </c>
      <c r="Q20" s="126">
        <v>0</v>
      </c>
      <c r="R20" s="126">
        <v>0</v>
      </c>
      <c r="S20" s="126">
        <v>0</v>
      </c>
      <c r="T20" s="126">
        <v>0</v>
      </c>
      <c r="U20" s="126">
        <v>0</v>
      </c>
      <c r="V20" s="126">
        <v>0</v>
      </c>
      <c r="W20" s="126">
        <v>0</v>
      </c>
      <c r="X20" s="126">
        <v>0</v>
      </c>
      <c r="Y20" s="126">
        <v>0</v>
      </c>
      <c r="Z20" s="126">
        <v>0</v>
      </c>
      <c r="AA20" s="126">
        <v>0</v>
      </c>
      <c r="AB20" s="126">
        <v>0</v>
      </c>
      <c r="AC20" s="126">
        <v>0</v>
      </c>
      <c r="AD20" s="126">
        <v>0</v>
      </c>
      <c r="AE20" s="126">
        <v>0</v>
      </c>
      <c r="AF20" s="126">
        <v>0</v>
      </c>
      <c r="AG20" s="126">
        <v>0</v>
      </c>
      <c r="AH20" s="126">
        <v>0</v>
      </c>
      <c r="AI20" s="126">
        <v>0</v>
      </c>
      <c r="AJ20" s="126">
        <v>0</v>
      </c>
      <c r="AK20" s="126">
        <v>0</v>
      </c>
      <c r="AL20" s="126">
        <v>0</v>
      </c>
      <c r="AM20" s="126">
        <v>0</v>
      </c>
      <c r="AN20" s="126">
        <v>0</v>
      </c>
      <c r="AO20" s="126">
        <v>0</v>
      </c>
      <c r="AP20" s="126">
        <v>0</v>
      </c>
      <c r="AQ20" s="126">
        <v>0</v>
      </c>
      <c r="AR20" s="126">
        <v>0</v>
      </c>
    </row>
    <row r="21" spans="1:44" x14ac:dyDescent="0.25">
      <c r="A21" s="116" t="s">
        <v>47</v>
      </c>
      <c r="B21" t="s">
        <v>48</v>
      </c>
      <c r="F21" s="10">
        <f>SUMIFS('EIA Net Generation'!$E:$E,'EIA Net Generation'!$B:$B,$B21,'EIA Net Generation'!$D:$D,"Total",'EIA Net Generation'!C:C,"Total Electric Power Industry")</f>
        <v>98715313</v>
      </c>
      <c r="G21" s="125" t="b">
        <f t="shared" si="0"/>
        <v>0</v>
      </c>
      <c r="H21" s="89">
        <v>0</v>
      </c>
      <c r="I21" s="90">
        <v>0</v>
      </c>
      <c r="J21" s="90">
        <v>0</v>
      </c>
      <c r="K21" s="90">
        <v>0</v>
      </c>
      <c r="L21" s="90">
        <v>0</v>
      </c>
      <c r="M21" s="90">
        <v>0</v>
      </c>
      <c r="N21" s="90">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c r="AE21" s="126">
        <v>0</v>
      </c>
      <c r="AF21" s="126">
        <v>0</v>
      </c>
      <c r="AG21" s="126">
        <v>0</v>
      </c>
      <c r="AH21" s="126">
        <v>0</v>
      </c>
      <c r="AI21" s="126">
        <v>0</v>
      </c>
      <c r="AJ21" s="126">
        <v>0</v>
      </c>
      <c r="AK21" s="126">
        <v>0</v>
      </c>
      <c r="AL21" s="126">
        <v>0</v>
      </c>
      <c r="AM21" s="126">
        <v>0</v>
      </c>
      <c r="AN21" s="126">
        <v>0</v>
      </c>
      <c r="AO21" s="126">
        <v>0</v>
      </c>
      <c r="AP21" s="126">
        <v>0</v>
      </c>
      <c r="AQ21" s="126">
        <v>0</v>
      </c>
      <c r="AR21" s="126">
        <v>0</v>
      </c>
    </row>
    <row r="22" spans="1:44" ht="75" customHeight="1" x14ac:dyDescent="0.25">
      <c r="A22" s="116" t="s">
        <v>50</v>
      </c>
      <c r="B22" t="s">
        <v>51</v>
      </c>
      <c r="C22" s="5" t="s">
        <v>189</v>
      </c>
      <c r="E22" s="6">
        <v>1</v>
      </c>
      <c r="F22" s="10">
        <f>SUMIFS('EIA Net Generation'!$E:$E,'EIA Net Generation'!$B:$B,$B22,'EIA Net Generation'!$D:$D,"Total",'EIA Net Generation'!C:C,"Total Electric Power Industry")</f>
        <v>10908150</v>
      </c>
      <c r="G22" s="125" t="b">
        <f t="shared" si="0"/>
        <v>1</v>
      </c>
      <c r="H22" s="94">
        <v>7.0000000000000007E-2</v>
      </c>
      <c r="I22" s="91">
        <v>0.08</v>
      </c>
      <c r="J22" s="91">
        <v>0.09</v>
      </c>
      <c r="K22" s="94">
        <v>0.4</v>
      </c>
      <c r="L22" s="90">
        <f t="shared" ref="L22:W22" si="16">K22+(($X$22-$K$22)/13)</f>
        <v>0.43076923076923079</v>
      </c>
      <c r="M22" s="90">
        <f t="shared" si="16"/>
        <v>0.46153846153846156</v>
      </c>
      <c r="N22" s="90">
        <f t="shared" si="16"/>
        <v>0.49230769230769234</v>
      </c>
      <c r="O22" s="126">
        <f t="shared" si="16"/>
        <v>0.52307692307692311</v>
      </c>
      <c r="P22" s="126">
        <f t="shared" si="16"/>
        <v>0.55384615384615388</v>
      </c>
      <c r="Q22" s="126">
        <f t="shared" si="16"/>
        <v>0.58461538461538465</v>
      </c>
      <c r="R22" s="126">
        <f t="shared" si="16"/>
        <v>0.61538461538461542</v>
      </c>
      <c r="S22" s="126">
        <f t="shared" si="16"/>
        <v>0.64615384615384619</v>
      </c>
      <c r="T22" s="126">
        <f t="shared" si="16"/>
        <v>0.67692307692307696</v>
      </c>
      <c r="U22" s="126">
        <f t="shared" si="16"/>
        <v>0.70769230769230773</v>
      </c>
      <c r="V22" s="126">
        <f t="shared" si="16"/>
        <v>0.7384615384615385</v>
      </c>
      <c r="W22" s="126">
        <f t="shared" si="16"/>
        <v>0.76923076923076927</v>
      </c>
      <c r="X22" s="137">
        <v>0.8</v>
      </c>
      <c r="Y22" s="126">
        <f t="shared" ref="Y22:AQ22" si="17">X22+(($AR$22-$X$22)/20)</f>
        <v>0.81</v>
      </c>
      <c r="Z22" s="126">
        <f t="shared" si="17"/>
        <v>0.82000000000000006</v>
      </c>
      <c r="AA22" s="126">
        <f t="shared" si="17"/>
        <v>0.83000000000000007</v>
      </c>
      <c r="AB22" s="126">
        <f t="shared" si="17"/>
        <v>0.84000000000000008</v>
      </c>
      <c r="AC22" s="126">
        <f t="shared" si="17"/>
        <v>0.85000000000000009</v>
      </c>
      <c r="AD22" s="126">
        <f t="shared" si="17"/>
        <v>0.8600000000000001</v>
      </c>
      <c r="AE22" s="126">
        <f t="shared" si="17"/>
        <v>0.87000000000000011</v>
      </c>
      <c r="AF22" s="126">
        <f t="shared" si="17"/>
        <v>0.88000000000000012</v>
      </c>
      <c r="AG22" s="126">
        <f t="shared" si="17"/>
        <v>0.89000000000000012</v>
      </c>
      <c r="AH22" s="126">
        <f t="shared" si="17"/>
        <v>0.90000000000000013</v>
      </c>
      <c r="AI22" s="126">
        <f t="shared" si="17"/>
        <v>0.91000000000000014</v>
      </c>
      <c r="AJ22" s="126">
        <f t="shared" si="17"/>
        <v>0.92000000000000015</v>
      </c>
      <c r="AK22" s="126">
        <f t="shared" si="17"/>
        <v>0.93000000000000016</v>
      </c>
      <c r="AL22" s="126">
        <f t="shared" si="17"/>
        <v>0.94000000000000017</v>
      </c>
      <c r="AM22" s="126">
        <f t="shared" si="17"/>
        <v>0.95000000000000018</v>
      </c>
      <c r="AN22" s="126">
        <f t="shared" si="17"/>
        <v>0.96000000000000019</v>
      </c>
      <c r="AO22" s="126">
        <f t="shared" si="17"/>
        <v>0.9700000000000002</v>
      </c>
      <c r="AP22" s="126">
        <f t="shared" si="17"/>
        <v>0.9800000000000002</v>
      </c>
      <c r="AQ22" s="126">
        <f t="shared" si="17"/>
        <v>0.99000000000000021</v>
      </c>
      <c r="AR22" s="131">
        <v>1</v>
      </c>
    </row>
    <row r="23" spans="1:44" ht="90" customHeight="1" x14ac:dyDescent="0.25">
      <c r="A23" s="116" t="s">
        <v>52</v>
      </c>
      <c r="B23" t="s">
        <v>53</v>
      </c>
      <c r="C23" s="5" t="s">
        <v>190</v>
      </c>
      <c r="E23" s="6">
        <v>1</v>
      </c>
      <c r="F23" s="10">
        <f>SUMIFS('EIA Net Generation'!$E:$E,'EIA Net Generation'!$B:$B,$B23,'EIA Net Generation'!$D:$D,"Total",'EIA Net Generation'!C:C,"Total Electric Power Industry")</f>
        <v>38235137</v>
      </c>
      <c r="G23" s="125" t="b">
        <f t="shared" si="0"/>
        <v>1</v>
      </c>
      <c r="H23" s="96">
        <f>0.0035+0.0995+0.025</f>
        <v>0.128</v>
      </c>
      <c r="I23" s="91">
        <f>0.005+0.1+0.025</f>
        <v>0.13</v>
      </c>
      <c r="J23" s="91">
        <f>0.007+0.12+0.025</f>
        <v>0.152</v>
      </c>
      <c r="K23" s="91">
        <f>0.0095+0.1215+0.025</f>
        <v>0.156</v>
      </c>
      <c r="L23" s="91">
        <f>0.014+0.144+0.025</f>
        <v>0.183</v>
      </c>
      <c r="M23" s="91">
        <v>0.20399999999999999</v>
      </c>
      <c r="N23" s="91">
        <v>0.30499999999999999</v>
      </c>
      <c r="O23" s="126">
        <f t="shared" ref="O23:W23" si="18">($X$23-$N$23)/COUNT($O$2:$X$2)+N23</f>
        <v>0.32450000000000001</v>
      </c>
      <c r="P23" s="126">
        <f t="shared" si="18"/>
        <v>0.34400000000000003</v>
      </c>
      <c r="Q23" s="126">
        <f t="shared" si="18"/>
        <v>0.36350000000000005</v>
      </c>
      <c r="R23" s="126">
        <f t="shared" si="18"/>
        <v>0.38300000000000006</v>
      </c>
      <c r="S23" s="126">
        <f t="shared" si="18"/>
        <v>0.40250000000000008</v>
      </c>
      <c r="T23" s="126">
        <f t="shared" si="18"/>
        <v>0.4220000000000001</v>
      </c>
      <c r="U23" s="126">
        <f t="shared" si="18"/>
        <v>0.44150000000000011</v>
      </c>
      <c r="V23" s="126">
        <f t="shared" si="18"/>
        <v>0.46100000000000013</v>
      </c>
      <c r="W23" s="126">
        <f t="shared" si="18"/>
        <v>0.48050000000000015</v>
      </c>
      <c r="X23" s="131">
        <v>0.5</v>
      </c>
      <c r="Y23" s="126">
        <f t="shared" ref="Y23:AR23" si="19">X23</f>
        <v>0.5</v>
      </c>
      <c r="Z23" s="126">
        <f t="shared" si="19"/>
        <v>0.5</v>
      </c>
      <c r="AA23" s="126">
        <f t="shared" si="19"/>
        <v>0.5</v>
      </c>
      <c r="AB23" s="126">
        <f t="shared" si="19"/>
        <v>0.5</v>
      </c>
      <c r="AC23" s="126">
        <f t="shared" si="19"/>
        <v>0.5</v>
      </c>
      <c r="AD23" s="126">
        <f t="shared" si="19"/>
        <v>0.5</v>
      </c>
      <c r="AE23" s="126">
        <f t="shared" si="19"/>
        <v>0.5</v>
      </c>
      <c r="AF23" s="126">
        <f t="shared" si="19"/>
        <v>0.5</v>
      </c>
      <c r="AG23" s="126">
        <f t="shared" si="19"/>
        <v>0.5</v>
      </c>
      <c r="AH23" s="126">
        <f t="shared" si="19"/>
        <v>0.5</v>
      </c>
      <c r="AI23" s="126">
        <f t="shared" si="19"/>
        <v>0.5</v>
      </c>
      <c r="AJ23" s="126">
        <f t="shared" si="19"/>
        <v>0.5</v>
      </c>
      <c r="AK23" s="126">
        <f t="shared" si="19"/>
        <v>0.5</v>
      </c>
      <c r="AL23" s="126">
        <f t="shared" si="19"/>
        <v>0.5</v>
      </c>
      <c r="AM23" s="126">
        <f t="shared" si="19"/>
        <v>0.5</v>
      </c>
      <c r="AN23" s="126">
        <f t="shared" si="19"/>
        <v>0.5</v>
      </c>
      <c r="AO23" s="126">
        <f t="shared" si="19"/>
        <v>0.5</v>
      </c>
      <c r="AP23" s="126">
        <f t="shared" si="19"/>
        <v>0.5</v>
      </c>
      <c r="AQ23" s="126">
        <f t="shared" si="19"/>
        <v>0.5</v>
      </c>
      <c r="AR23" s="126">
        <f t="shared" si="19"/>
        <v>0.5</v>
      </c>
    </row>
    <row r="24" spans="1:44" ht="120" customHeight="1" x14ac:dyDescent="0.25">
      <c r="A24" s="116" t="s">
        <v>55</v>
      </c>
      <c r="B24" t="s">
        <v>56</v>
      </c>
      <c r="C24" s="5" t="s">
        <v>191</v>
      </c>
      <c r="F24" s="10">
        <f>SUMIFS('EIA Net Generation'!$E:$E,'EIA Net Generation'!$B:$B,$B24,'EIA Net Generation'!$D:$D,"Total",'EIA Net Generation'!C:C,"Total Electric Power Industry")</f>
        <v>19477347</v>
      </c>
      <c r="G24" s="125" t="b">
        <f t="shared" si="0"/>
        <v>1</v>
      </c>
      <c r="H24" s="91">
        <v>0.09</v>
      </c>
      <c r="I24" s="91">
        <v>0.1</v>
      </c>
      <c r="J24" s="91">
        <v>0.11</v>
      </c>
      <c r="K24" s="91">
        <v>0.12</v>
      </c>
      <c r="L24" s="91">
        <v>0.13</v>
      </c>
      <c r="M24" s="92">
        <v>0.14000000000000001</v>
      </c>
      <c r="N24" s="92">
        <v>0.16</v>
      </c>
      <c r="O24" s="128">
        <v>0.18</v>
      </c>
      <c r="P24" s="128">
        <v>0.2</v>
      </c>
      <c r="Q24" s="128">
        <v>0.22</v>
      </c>
      <c r="R24" s="128">
        <v>0.24</v>
      </c>
      <c r="S24" s="128">
        <v>0.27</v>
      </c>
      <c r="T24" s="128">
        <v>0.3</v>
      </c>
      <c r="U24" s="128">
        <v>0.33</v>
      </c>
      <c r="V24" s="128">
        <v>0.36</v>
      </c>
      <c r="W24" s="128">
        <v>0.39</v>
      </c>
      <c r="X24" s="138">
        <v>0.4</v>
      </c>
      <c r="Y24" s="138">
        <f t="shared" ref="Y24:AR24" si="20">X24+1%</f>
        <v>0.41000000000000003</v>
      </c>
      <c r="Z24" s="138">
        <f t="shared" si="20"/>
        <v>0.42000000000000004</v>
      </c>
      <c r="AA24" s="138">
        <f t="shared" si="20"/>
        <v>0.43000000000000005</v>
      </c>
      <c r="AB24" s="138">
        <f t="shared" si="20"/>
        <v>0.44000000000000006</v>
      </c>
      <c r="AC24" s="138">
        <f t="shared" si="20"/>
        <v>0.45000000000000007</v>
      </c>
      <c r="AD24" s="138">
        <f t="shared" si="20"/>
        <v>0.46000000000000008</v>
      </c>
      <c r="AE24" s="138">
        <f t="shared" si="20"/>
        <v>0.47000000000000008</v>
      </c>
      <c r="AF24" s="138">
        <f t="shared" si="20"/>
        <v>0.48000000000000009</v>
      </c>
      <c r="AG24" s="138">
        <f t="shared" si="20"/>
        <v>0.4900000000000001</v>
      </c>
      <c r="AH24" s="138">
        <f t="shared" si="20"/>
        <v>0.50000000000000011</v>
      </c>
      <c r="AI24" s="138">
        <f t="shared" si="20"/>
        <v>0.51000000000000012</v>
      </c>
      <c r="AJ24" s="138">
        <f t="shared" si="20"/>
        <v>0.52000000000000013</v>
      </c>
      <c r="AK24" s="138">
        <f t="shared" si="20"/>
        <v>0.53000000000000014</v>
      </c>
      <c r="AL24" s="138">
        <f t="shared" si="20"/>
        <v>0.54000000000000015</v>
      </c>
      <c r="AM24" s="138">
        <f t="shared" si="20"/>
        <v>0.55000000000000016</v>
      </c>
      <c r="AN24" s="138">
        <f t="shared" si="20"/>
        <v>0.56000000000000016</v>
      </c>
      <c r="AO24" s="138">
        <f t="shared" si="20"/>
        <v>0.57000000000000017</v>
      </c>
      <c r="AP24" s="138">
        <f t="shared" si="20"/>
        <v>0.58000000000000018</v>
      </c>
      <c r="AQ24" s="138">
        <f t="shared" si="20"/>
        <v>0.59000000000000019</v>
      </c>
      <c r="AR24" s="138">
        <f t="shared" si="20"/>
        <v>0.6000000000000002</v>
      </c>
    </row>
    <row r="25" spans="1:44" ht="60" customHeight="1" x14ac:dyDescent="0.25">
      <c r="A25" s="116" t="s">
        <v>58</v>
      </c>
      <c r="B25" t="s">
        <v>59</v>
      </c>
      <c r="C25" s="5" t="s">
        <v>192</v>
      </c>
      <c r="F25" s="10">
        <f>SUMIFS('EIA Net Generation'!$E:$E,'EIA Net Generation'!$B:$B,$B25,'EIA Net Generation'!$D:$D,"Total",'EIA Net Generation'!C:C,"Total Electric Power Industry")</f>
        <v>115513130</v>
      </c>
      <c r="G25" s="125" t="b">
        <f t="shared" si="0"/>
        <v>1</v>
      </c>
      <c r="H25" s="91">
        <v>8.1000000000000003E-2</v>
      </c>
      <c r="I25" s="91">
        <v>0.1</v>
      </c>
      <c r="J25" s="91">
        <f>$I25</f>
        <v>0.1</v>
      </c>
      <c r="K25" s="91">
        <f>$I25</f>
        <v>0.1</v>
      </c>
      <c r="L25" s="91">
        <v>0.1</v>
      </c>
      <c r="M25" s="91">
        <v>0.125</v>
      </c>
      <c r="N25" s="91">
        <v>0.125</v>
      </c>
      <c r="O25" s="127">
        <v>0.15</v>
      </c>
      <c r="P25" s="126">
        <f t="shared" ref="P25:AR26" si="21">O25</f>
        <v>0.15</v>
      </c>
      <c r="Q25" s="126">
        <f t="shared" si="21"/>
        <v>0.15</v>
      </c>
      <c r="R25" s="126">
        <f t="shared" si="21"/>
        <v>0.15</v>
      </c>
      <c r="S25" s="126">
        <f t="shared" si="21"/>
        <v>0.15</v>
      </c>
      <c r="T25" s="126">
        <f t="shared" si="21"/>
        <v>0.15</v>
      </c>
      <c r="U25" s="126">
        <f t="shared" si="21"/>
        <v>0.15</v>
      </c>
      <c r="V25" s="126">
        <f t="shared" si="21"/>
        <v>0.15</v>
      </c>
      <c r="W25" s="126">
        <f t="shared" si="21"/>
        <v>0.15</v>
      </c>
      <c r="X25" s="126">
        <f t="shared" si="21"/>
        <v>0.15</v>
      </c>
      <c r="Y25" s="126">
        <f t="shared" si="21"/>
        <v>0.15</v>
      </c>
      <c r="Z25" s="126">
        <f t="shared" si="21"/>
        <v>0.15</v>
      </c>
      <c r="AA25" s="126">
        <f t="shared" si="21"/>
        <v>0.15</v>
      </c>
      <c r="AB25" s="126">
        <f t="shared" si="21"/>
        <v>0.15</v>
      </c>
      <c r="AC25" s="126">
        <f t="shared" si="21"/>
        <v>0.15</v>
      </c>
      <c r="AD25" s="126">
        <f t="shared" si="21"/>
        <v>0.15</v>
      </c>
      <c r="AE25" s="126">
        <f t="shared" si="21"/>
        <v>0.15</v>
      </c>
      <c r="AF25" s="126">
        <f t="shared" si="21"/>
        <v>0.15</v>
      </c>
      <c r="AG25" s="126">
        <f t="shared" si="21"/>
        <v>0.15</v>
      </c>
      <c r="AH25" s="126">
        <f t="shared" si="21"/>
        <v>0.15</v>
      </c>
      <c r="AI25" s="126">
        <f t="shared" si="21"/>
        <v>0.15</v>
      </c>
      <c r="AJ25" s="126">
        <f t="shared" si="21"/>
        <v>0.15</v>
      </c>
      <c r="AK25" s="126">
        <f t="shared" si="21"/>
        <v>0.15</v>
      </c>
      <c r="AL25" s="126">
        <f t="shared" si="21"/>
        <v>0.15</v>
      </c>
      <c r="AM25" s="126">
        <f t="shared" si="21"/>
        <v>0.15</v>
      </c>
      <c r="AN25" s="126">
        <f t="shared" si="21"/>
        <v>0.15</v>
      </c>
      <c r="AO25" s="126">
        <f t="shared" si="21"/>
        <v>0.15</v>
      </c>
      <c r="AP25" s="126">
        <f t="shared" si="21"/>
        <v>0.15</v>
      </c>
      <c r="AQ25" s="126">
        <f t="shared" si="21"/>
        <v>0.15</v>
      </c>
      <c r="AR25" s="126">
        <f t="shared" si="21"/>
        <v>0.15</v>
      </c>
    </row>
    <row r="26" spans="1:44" ht="60" customHeight="1" x14ac:dyDescent="0.25">
      <c r="A26" s="116" t="s">
        <v>60</v>
      </c>
      <c r="B26" t="s">
        <v>61</v>
      </c>
      <c r="C26" s="16" t="s">
        <v>3005</v>
      </c>
      <c r="D26" s="6">
        <v>1</v>
      </c>
      <c r="E26" s="6">
        <v>1</v>
      </c>
      <c r="F26" s="10">
        <f>SUMIFS('EIA Net Generation'!$E:$E,'EIA Net Generation'!$B:$B,$B26,'EIA Net Generation'!$D:$D,"Total",'EIA Net Generation'!C:C,"Total Electric Power Industry")</f>
        <v>59195769</v>
      </c>
      <c r="G26" s="125" t="b">
        <f t="shared" si="0"/>
        <v>1</v>
      </c>
      <c r="H26" s="121">
        <f>(0.18*'Extra State Data'!$B$2+0.12*'Extra State Data'!$B$3+0.12*'Extra State Data'!$B$5)/'Extra State Data'!$B$4+(J26-((0.18*'Extra State Data'!$B$2+0.12*'Extra State Data'!$B$3+0.12*'Extra State Data'!$B$5)/'Extra State Data'!$B$4))/4*(H2-2013)</f>
        <v>0.13260364227323373</v>
      </c>
      <c r="I26" s="92">
        <f>$H26+($J26-$H26)*(I$2-$H$2)/($J$2-$H$2)</f>
        <v>0.15136560099706839</v>
      </c>
      <c r="J26" s="121">
        <f>(0.25*'Extra State Data'!$B$2+0.17*'Extra State Data'!$B$3+0.17*'Extra State Data'!$B$5)/'Extra State Data'!$B$4</f>
        <v>0.17012755972090304</v>
      </c>
      <c r="K26" s="92">
        <f>$J26+($N26-$J26)*(K$2-$J$2)/($N$2-$J$2)</f>
        <v>0.17997811777277273</v>
      </c>
      <c r="L26" s="92">
        <f>$J26+($N26-$J26)*(L$2-$J$2)/($N$2-$J$2)</f>
        <v>0.18982867582464241</v>
      </c>
      <c r="M26" s="92">
        <f>$J26+($N26-$J26)*(M$2-$J$2)/($N$2-$J$2)</f>
        <v>0.19967923387651212</v>
      </c>
      <c r="N26" s="121">
        <f>(0.315*'Extra State Data'!$B$2+0.215*'Extra State Data'!$B$3+0.2*'Extra State Data'!$B$5)/'Extra State Data'!$B$4</f>
        <v>0.20952979192838181</v>
      </c>
      <c r="O26" s="128">
        <f>$N26+($S26-$N26)*(O$2-$N$2)/($S$2-$N$2)</f>
        <v>0.21951384696326892</v>
      </c>
      <c r="P26" s="128">
        <f>$N26+($S26-$N26)*(P$2-$N$2)/($S$2-$N$2)</f>
        <v>0.22949790199815603</v>
      </c>
      <c r="Q26" s="128">
        <f>$N26+($S26-$N26)*(Q$2-$N$2)/($S$2-$N$2)</f>
        <v>0.23948195703304315</v>
      </c>
      <c r="R26" s="128">
        <f>$N26+($S26-$N26)*(R$2-$N$2)/($S$2-$N$2)</f>
        <v>0.24946601206793026</v>
      </c>
      <c r="S26" s="130">
        <f>(0.315*'Extra State Data'!$B$2+0.265*'Extra State Data'!$B$3+0.25*'Extra State Data'!$B$5)/'Extra State Data'!$B$4</f>
        <v>0.25945006710281737</v>
      </c>
      <c r="T26" s="128">
        <f t="shared" ref="T26:W26" si="22">$S26</f>
        <v>0.25945006710281737</v>
      </c>
      <c r="U26" s="128">
        <f t="shared" si="22"/>
        <v>0.25945006710281737</v>
      </c>
      <c r="V26" s="128">
        <f t="shared" si="22"/>
        <v>0.25945006710281737</v>
      </c>
      <c r="W26" s="128">
        <f t="shared" si="22"/>
        <v>0.25945006710281737</v>
      </c>
      <c r="X26" s="127">
        <f>80%*('Extra State Data'!B3/'Extra State Data'!B4)</f>
        <v>0.4984759909111266</v>
      </c>
      <c r="Y26" s="128">
        <f>($AC$26-$X$26)/(COUNTA($X$2:$AC$2)-1)+X26</f>
        <v>0.51093789068390472</v>
      </c>
      <c r="Z26" s="128">
        <f t="shared" ref="Z26:AB26" si="23">($AC$26-$X$26)/(COUNTA($X$2:$AC$2)-1)+Y26</f>
        <v>0.52339979045668283</v>
      </c>
      <c r="AA26" s="128">
        <f t="shared" si="23"/>
        <v>0.53586169022946095</v>
      </c>
      <c r="AB26" s="128">
        <f t="shared" si="23"/>
        <v>0.54832359000223907</v>
      </c>
      <c r="AC26" s="127">
        <f>90%*('Extra State Data'!B3/'Extra State Data'!B4)</f>
        <v>0.56078548977501741</v>
      </c>
      <c r="AD26" s="128">
        <f>($AH$26-$AC$26)/(COUNTA($AC$2:$AH$2)-1)+AC26</f>
        <v>0.57324738954779553</v>
      </c>
      <c r="AE26" s="128">
        <f t="shared" ref="AE26:AG26" si="24">($AH$26-$AC$26)/(COUNTA($AC$2:$AH$2)-1)+AD26</f>
        <v>0.58570928932057365</v>
      </c>
      <c r="AF26" s="128">
        <f t="shared" si="24"/>
        <v>0.59817118909335176</v>
      </c>
      <c r="AG26" s="128">
        <f t="shared" si="24"/>
        <v>0.61063308886612988</v>
      </c>
      <c r="AH26" s="127">
        <f>100%*'Extra State Data'!B3/'Extra State Data'!B4</f>
        <v>0.62309498863890822</v>
      </c>
      <c r="AI26" s="128">
        <f>AH26</f>
        <v>0.62309498863890822</v>
      </c>
      <c r="AJ26" s="128">
        <f t="shared" si="21"/>
        <v>0.62309498863890822</v>
      </c>
      <c r="AK26" s="128">
        <f t="shared" si="21"/>
        <v>0.62309498863890822</v>
      </c>
      <c r="AL26" s="128">
        <f t="shared" si="21"/>
        <v>0.62309498863890822</v>
      </c>
      <c r="AM26" s="128">
        <f t="shared" si="21"/>
        <v>0.62309498863890822</v>
      </c>
      <c r="AN26" s="128">
        <f t="shared" si="21"/>
        <v>0.62309498863890822</v>
      </c>
      <c r="AO26" s="128">
        <f t="shared" si="21"/>
        <v>0.62309498863890822</v>
      </c>
      <c r="AP26" s="128">
        <f t="shared" si="21"/>
        <v>0.62309498863890822</v>
      </c>
      <c r="AQ26" s="128">
        <f t="shared" si="21"/>
        <v>0.62309498863890822</v>
      </c>
      <c r="AR26" s="128">
        <f t="shared" si="21"/>
        <v>0.62309498863890822</v>
      </c>
    </row>
    <row r="27" spans="1:44" x14ac:dyDescent="0.25">
      <c r="A27" s="116" t="s">
        <v>63</v>
      </c>
      <c r="B27" t="s">
        <v>64</v>
      </c>
      <c r="F27" s="10">
        <f>SUMIFS('EIA Net Generation'!$E:$E,'EIA Net Generation'!$B:$B,$B27,'EIA Net Generation'!$D:$D,"Total",'EIA Net Generation'!C:C,"Total Electric Power Industry")</f>
        <v>67723497</v>
      </c>
      <c r="G27" s="125" t="b">
        <f t="shared" si="0"/>
        <v>0</v>
      </c>
      <c r="H27" s="89">
        <v>0</v>
      </c>
      <c r="I27" s="90">
        <v>0</v>
      </c>
      <c r="J27" s="90">
        <v>0</v>
      </c>
      <c r="K27" s="90">
        <v>0</v>
      </c>
      <c r="L27" s="90">
        <v>0</v>
      </c>
      <c r="M27" s="90">
        <v>0</v>
      </c>
      <c r="N27" s="90">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6">
        <v>0</v>
      </c>
      <c r="AM27" s="126">
        <v>0</v>
      </c>
      <c r="AN27" s="126">
        <v>0</v>
      </c>
      <c r="AO27" s="126">
        <v>0</v>
      </c>
      <c r="AP27" s="126">
        <v>0</v>
      </c>
      <c r="AQ27" s="126">
        <v>0</v>
      </c>
      <c r="AR27" s="126">
        <v>0</v>
      </c>
    </row>
    <row r="28" spans="1:44" ht="30" customHeight="1" x14ac:dyDescent="0.25">
      <c r="A28" s="116" t="s">
        <v>66</v>
      </c>
      <c r="B28" t="s">
        <v>67</v>
      </c>
      <c r="C28" s="5" t="s">
        <v>193</v>
      </c>
      <c r="F28" s="10">
        <f>SUMIFS('EIA Net Generation'!$E:$E,'EIA Net Generation'!$B:$B,$B28,'EIA Net Generation'!$D:$D,"Total",'EIA Net Generation'!C:C,"Total Electric Power Industry")</f>
        <v>76941410</v>
      </c>
      <c r="G28" s="125" t="b">
        <f t="shared" si="0"/>
        <v>1</v>
      </c>
      <c r="H28" s="123">
        <f>0.05*'Extra State Data'!$B$41/'Extra State Data'!$B$42</f>
        <v>3.3869851408329217E-2</v>
      </c>
      <c r="I28" s="92">
        <f>$H28+($L28-$H28)*(I$2-$H$2)/($L$2-$H$2)</f>
        <v>4.233731426041152E-2</v>
      </c>
      <c r="J28" s="92">
        <f>$H28+($L28-$H28)*(J$2-$H$2)/($L$2-$H$2)</f>
        <v>5.0804777112493829E-2</v>
      </c>
      <c r="K28" s="92">
        <f>$H28+($L28-$H28)*(K$2-$H$2)/($L$2-$H$2)</f>
        <v>5.9272239964576132E-2</v>
      </c>
      <c r="L28" s="123">
        <f>0.1*'Extra State Data'!$B$41/'Extra State Data'!$B$42</f>
        <v>6.7739702816658434E-2</v>
      </c>
      <c r="M28" s="92">
        <f>$L28+($P28-$L28)*(M$2-$L$2)/($P$2-$L$2)</f>
        <v>7.6207165668740737E-2</v>
      </c>
      <c r="N28" s="92">
        <f>$L28+($P28-$L28)*(N$2-$L$2)/($P$2-$L$2)</f>
        <v>8.4674628520823025E-2</v>
      </c>
      <c r="O28" s="128">
        <f>$L28+($P28-$L28)*(O$2-$L$2)/($P$2-$L$2)</f>
        <v>9.3142091372905328E-2</v>
      </c>
      <c r="P28" s="139">
        <f>0.15*'Extra State Data'!$B$41/'Extra State Data'!$B$42</f>
        <v>0.10160955422498763</v>
      </c>
      <c r="Q28" s="140">
        <f t="shared" ref="Q28:AR28" si="25">$P28</f>
        <v>0.10160955422498763</v>
      </c>
      <c r="R28" s="140">
        <f t="shared" si="25"/>
        <v>0.10160955422498763</v>
      </c>
      <c r="S28" s="140">
        <f t="shared" si="25"/>
        <v>0.10160955422498763</v>
      </c>
      <c r="T28" s="140">
        <f t="shared" si="25"/>
        <v>0.10160955422498763</v>
      </c>
      <c r="U28" s="140">
        <f t="shared" si="25"/>
        <v>0.10160955422498763</v>
      </c>
      <c r="V28" s="140">
        <f t="shared" si="25"/>
        <v>0.10160955422498763</v>
      </c>
      <c r="W28" s="140">
        <f t="shared" si="25"/>
        <v>0.10160955422498763</v>
      </c>
      <c r="X28" s="140">
        <f t="shared" si="25"/>
        <v>0.10160955422498763</v>
      </c>
      <c r="Y28" s="140">
        <f t="shared" si="25"/>
        <v>0.10160955422498763</v>
      </c>
      <c r="Z28" s="140">
        <f t="shared" si="25"/>
        <v>0.10160955422498763</v>
      </c>
      <c r="AA28" s="140">
        <f t="shared" si="25"/>
        <v>0.10160955422498763</v>
      </c>
      <c r="AB28" s="140">
        <f t="shared" si="25"/>
        <v>0.10160955422498763</v>
      </c>
      <c r="AC28" s="140">
        <f t="shared" si="25"/>
        <v>0.10160955422498763</v>
      </c>
      <c r="AD28" s="140">
        <f t="shared" si="25"/>
        <v>0.10160955422498763</v>
      </c>
      <c r="AE28" s="140">
        <f t="shared" si="25"/>
        <v>0.10160955422498763</v>
      </c>
      <c r="AF28" s="140">
        <f t="shared" si="25"/>
        <v>0.10160955422498763</v>
      </c>
      <c r="AG28" s="140">
        <f t="shared" si="25"/>
        <v>0.10160955422498763</v>
      </c>
      <c r="AH28" s="140">
        <f t="shared" si="25"/>
        <v>0.10160955422498763</v>
      </c>
      <c r="AI28" s="140">
        <f t="shared" si="25"/>
        <v>0.10160955422498763</v>
      </c>
      <c r="AJ28" s="140">
        <f t="shared" si="25"/>
        <v>0.10160955422498763</v>
      </c>
      <c r="AK28" s="140">
        <f t="shared" si="25"/>
        <v>0.10160955422498763</v>
      </c>
      <c r="AL28" s="140">
        <f t="shared" si="25"/>
        <v>0.10160955422498763</v>
      </c>
      <c r="AM28" s="140">
        <f t="shared" si="25"/>
        <v>0.10160955422498763</v>
      </c>
      <c r="AN28" s="140">
        <f t="shared" si="25"/>
        <v>0.10160955422498763</v>
      </c>
      <c r="AO28" s="140">
        <f t="shared" si="25"/>
        <v>0.10160955422498763</v>
      </c>
      <c r="AP28" s="140">
        <f t="shared" si="25"/>
        <v>0.10160955422498763</v>
      </c>
      <c r="AQ28" s="140">
        <f t="shared" si="25"/>
        <v>0.10160955422498763</v>
      </c>
      <c r="AR28" s="140">
        <f t="shared" si="25"/>
        <v>0.10160955422498763</v>
      </c>
    </row>
    <row r="29" spans="1:44" ht="30" x14ac:dyDescent="0.25">
      <c r="A29" s="116" t="s">
        <v>69</v>
      </c>
      <c r="B29" t="s">
        <v>70</v>
      </c>
      <c r="C29" s="5" t="s">
        <v>194</v>
      </c>
      <c r="F29" s="10">
        <f>SUMIFS('EIA Net Generation'!$E:$E,'EIA Net Generation'!$B:$B,$B29,'EIA Net Generation'!$D:$D,"Total",'EIA Net Generation'!C:C,"Total Electric Power Industry")</f>
        <v>24947923</v>
      </c>
      <c r="G29" s="125" t="b">
        <f t="shared" si="0"/>
        <v>0</v>
      </c>
      <c r="H29" s="95">
        <v>0</v>
      </c>
      <c r="I29" s="95">
        <v>0</v>
      </c>
      <c r="J29" s="95">
        <v>0</v>
      </c>
      <c r="K29" s="95">
        <v>0</v>
      </c>
      <c r="L29" s="95">
        <v>0</v>
      </c>
      <c r="M29" s="95">
        <v>0</v>
      </c>
      <c r="N29" s="95">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row>
    <row r="30" spans="1:44" x14ac:dyDescent="0.25">
      <c r="A30" s="116" t="s">
        <v>71</v>
      </c>
      <c r="B30" t="s">
        <v>72</v>
      </c>
      <c r="F30" s="10">
        <f>SUMIFS('EIA Net Generation'!$E:$E,'EIA Net Generation'!$B:$B,$B30,'EIA Net Generation'!$D:$D,"Total",'EIA Net Generation'!C:C,"Total Electric Power Industry")</f>
        <v>37910898</v>
      </c>
      <c r="G30" s="125" t="b">
        <f t="shared" si="0"/>
        <v>0</v>
      </c>
      <c r="H30" s="89">
        <v>0</v>
      </c>
      <c r="I30" s="90">
        <v>0</v>
      </c>
      <c r="J30" s="90">
        <v>0</v>
      </c>
      <c r="K30" s="90">
        <v>0</v>
      </c>
      <c r="L30" s="90">
        <v>0</v>
      </c>
      <c r="M30" s="90">
        <v>0</v>
      </c>
      <c r="N30" s="90">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c r="AG30" s="126">
        <v>0</v>
      </c>
      <c r="AH30" s="126">
        <v>0</v>
      </c>
      <c r="AI30" s="126">
        <v>0</v>
      </c>
      <c r="AJ30" s="126">
        <v>0</v>
      </c>
      <c r="AK30" s="126">
        <v>0</v>
      </c>
      <c r="AL30" s="126">
        <v>0</v>
      </c>
      <c r="AM30" s="126">
        <v>0</v>
      </c>
      <c r="AN30" s="126">
        <v>0</v>
      </c>
      <c r="AO30" s="126">
        <v>0</v>
      </c>
      <c r="AP30" s="126">
        <v>0</v>
      </c>
      <c r="AQ30" s="126">
        <v>0</v>
      </c>
      <c r="AR30" s="126">
        <v>0</v>
      </c>
    </row>
    <row r="31" spans="1:44" ht="30" customHeight="1" x14ac:dyDescent="0.25">
      <c r="A31" s="116" t="s">
        <v>74</v>
      </c>
      <c r="B31" t="s">
        <v>75</v>
      </c>
      <c r="C31" s="5" t="s">
        <v>195</v>
      </c>
      <c r="F31" s="10">
        <f>SUMIFS('EIA Net Generation'!$E:$E,'EIA Net Generation'!$B:$B,$B31,'EIA Net Generation'!$D:$D,"Total",'EIA Net Generation'!C:C,"Total Electric Power Industry")</f>
        <v>41754584</v>
      </c>
      <c r="G31" s="125" t="b">
        <f t="shared" si="0"/>
        <v>1</v>
      </c>
      <c r="H31" s="121">
        <f>0.18*'Extra State Data'!$B$46/'Extra State Data'!$B$47+(0.5*(I31-0.18*'Extra State Data'!$B$46/'Extra State Data'!$B$47))</f>
        <v>0.16889774842371036</v>
      </c>
      <c r="I31" s="121">
        <f>0.2*'Extra State Data'!$B$46/'Extra State Data'!$B$47</f>
        <v>0.17778710360390562</v>
      </c>
      <c r="J31" s="92">
        <f>$I31+($N31-$I31)*(J$2-$I$2)/($N$2-$I$2)</f>
        <v>0.18134284567598374</v>
      </c>
      <c r="K31" s="92">
        <f>$I31+($N31-$I31)*(K$2-$I$2)/($N$2-$I$2)</f>
        <v>0.18489858774806184</v>
      </c>
      <c r="L31" s="92">
        <f>$I31+($N31-$I31)*(L$2-$I$2)/($N$2-$I$2)</f>
        <v>0.18845432982013996</v>
      </c>
      <c r="M31" s="92">
        <f>$I31+($N31-$I31)*(M$2-$I$2)/($N$2-$I$2)</f>
        <v>0.19201007189221805</v>
      </c>
      <c r="N31" s="121">
        <f>0.22*'Extra State Data'!$B$46/'Extra State Data'!$B$47</f>
        <v>0.19556581396429618</v>
      </c>
      <c r="O31" s="128">
        <f t="shared" ref="O31:W31" si="26">($X$31-$N$31)/COUNT($O$2:$X$2)+N31</f>
        <v>0.22045600846884297</v>
      </c>
      <c r="P31" s="128">
        <f t="shared" si="26"/>
        <v>0.24534620297338977</v>
      </c>
      <c r="Q31" s="128">
        <f t="shared" si="26"/>
        <v>0.27023639747793654</v>
      </c>
      <c r="R31" s="128">
        <f t="shared" si="26"/>
        <v>0.29512659198248331</v>
      </c>
      <c r="S31" s="128">
        <f t="shared" si="26"/>
        <v>0.32001678648703008</v>
      </c>
      <c r="T31" s="128">
        <f t="shared" si="26"/>
        <v>0.34490698099157685</v>
      </c>
      <c r="U31" s="128">
        <f t="shared" si="26"/>
        <v>0.36979717549612362</v>
      </c>
      <c r="V31" s="128">
        <f t="shared" si="26"/>
        <v>0.39468737000067039</v>
      </c>
      <c r="W31" s="128">
        <f t="shared" si="26"/>
        <v>0.41957756450521716</v>
      </c>
      <c r="X31" s="130">
        <f>0.5*'Extra State Data'!$B$46/'Extra State Data'!$B$47</f>
        <v>0.44446775900976404</v>
      </c>
      <c r="Y31" s="128">
        <f t="shared" ref="Y31:AH32" si="27">$S31</f>
        <v>0.32001678648703008</v>
      </c>
      <c r="Z31" s="128">
        <f t="shared" si="27"/>
        <v>0.32001678648703008</v>
      </c>
      <c r="AA31" s="128">
        <f t="shared" si="27"/>
        <v>0.32001678648703008</v>
      </c>
      <c r="AB31" s="128">
        <f t="shared" si="27"/>
        <v>0.32001678648703008</v>
      </c>
      <c r="AC31" s="128">
        <f t="shared" si="27"/>
        <v>0.32001678648703008</v>
      </c>
      <c r="AD31" s="128">
        <f t="shared" si="27"/>
        <v>0.32001678648703008</v>
      </c>
      <c r="AE31" s="128">
        <f t="shared" si="27"/>
        <v>0.32001678648703008</v>
      </c>
      <c r="AF31" s="128">
        <f t="shared" si="27"/>
        <v>0.32001678648703008</v>
      </c>
      <c r="AG31" s="128">
        <f t="shared" si="27"/>
        <v>0.32001678648703008</v>
      </c>
      <c r="AH31" s="128">
        <f t="shared" si="27"/>
        <v>0.32001678648703008</v>
      </c>
      <c r="AI31" s="128">
        <f t="shared" ref="AI31:AR32" si="28">$S31</f>
        <v>0.32001678648703008</v>
      </c>
      <c r="AJ31" s="128">
        <f t="shared" si="28"/>
        <v>0.32001678648703008</v>
      </c>
      <c r="AK31" s="128">
        <f t="shared" si="28"/>
        <v>0.32001678648703008</v>
      </c>
      <c r="AL31" s="128">
        <f t="shared" si="28"/>
        <v>0.32001678648703008</v>
      </c>
      <c r="AM31" s="128">
        <f t="shared" si="28"/>
        <v>0.32001678648703008</v>
      </c>
      <c r="AN31" s="128">
        <f t="shared" si="28"/>
        <v>0.32001678648703008</v>
      </c>
      <c r="AO31" s="128">
        <f t="shared" si="28"/>
        <v>0.32001678648703008</v>
      </c>
      <c r="AP31" s="128">
        <f t="shared" si="28"/>
        <v>0.32001678648703008</v>
      </c>
      <c r="AQ31" s="128">
        <f t="shared" si="28"/>
        <v>0.32001678648703008</v>
      </c>
      <c r="AR31" s="128">
        <f t="shared" si="28"/>
        <v>0.32001678648703008</v>
      </c>
    </row>
    <row r="32" spans="1:44" ht="45" customHeight="1" x14ac:dyDescent="0.25">
      <c r="A32" s="116" t="s">
        <v>77</v>
      </c>
      <c r="B32" t="s">
        <v>78</v>
      </c>
      <c r="C32" s="16" t="s">
        <v>196</v>
      </c>
      <c r="F32" s="10">
        <f>SUMIFS('EIA Net Generation'!$E:$E,'EIA Net Generation'!$B:$B,$B32,'EIA Net Generation'!$D:$D,"Total",'EIA Net Generation'!C:C,"Total Electric Power Industry")</f>
        <v>17193254</v>
      </c>
      <c r="G32" s="125" t="b">
        <f t="shared" si="0"/>
        <v>1</v>
      </c>
      <c r="H32" s="94">
        <f>(0.072-0.014)</f>
        <v>5.7999999999999996E-2</v>
      </c>
      <c r="I32" s="94">
        <f>0.083-0.015</f>
        <v>6.8000000000000005E-2</v>
      </c>
      <c r="J32" s="91">
        <f>0.092-0.015</f>
        <v>7.6999999999999999E-2</v>
      </c>
      <c r="K32" s="91">
        <f>0.176-0.015</f>
        <v>0.16099999999999998</v>
      </c>
      <c r="L32" s="91">
        <f>0.185-0.015</f>
        <v>0.16999999999999998</v>
      </c>
      <c r="M32" s="91">
        <f>0.194-0.015</f>
        <v>0.17899999999999999</v>
      </c>
      <c r="N32" s="91">
        <f>0.207-0.015</f>
        <v>0.192</v>
      </c>
      <c r="O32" s="127">
        <f>0.216-0.015</f>
        <v>0.20100000000000001</v>
      </c>
      <c r="P32" s="127">
        <f>0.225-0.015</f>
        <v>0.21000000000000002</v>
      </c>
      <c r="Q32" s="127">
        <f>0.234-0.015</f>
        <v>0.21900000000000003</v>
      </c>
      <c r="R32" s="127">
        <f>0.243-0.015</f>
        <v>0.22799999999999998</v>
      </c>
      <c r="S32" s="127">
        <f>0.252-0.015</f>
        <v>0.23699999999999999</v>
      </c>
      <c r="T32" s="128">
        <f>$S32</f>
        <v>0.23699999999999999</v>
      </c>
      <c r="U32" s="128">
        <f>$S32</f>
        <v>0.23699999999999999</v>
      </c>
      <c r="V32" s="128">
        <f>$S32</f>
        <v>0.23699999999999999</v>
      </c>
      <c r="W32" s="128">
        <f>$S32</f>
        <v>0.23699999999999999</v>
      </c>
      <c r="X32" s="128">
        <f>$S32</f>
        <v>0.23699999999999999</v>
      </c>
      <c r="Y32" s="128">
        <f t="shared" si="27"/>
        <v>0.23699999999999999</v>
      </c>
      <c r="Z32" s="128">
        <f t="shared" si="27"/>
        <v>0.23699999999999999</v>
      </c>
      <c r="AA32" s="128">
        <f t="shared" si="27"/>
        <v>0.23699999999999999</v>
      </c>
      <c r="AB32" s="128">
        <f t="shared" si="27"/>
        <v>0.23699999999999999</v>
      </c>
      <c r="AC32" s="128">
        <f t="shared" si="27"/>
        <v>0.23699999999999999</v>
      </c>
      <c r="AD32" s="128">
        <f t="shared" si="27"/>
        <v>0.23699999999999999</v>
      </c>
      <c r="AE32" s="128">
        <f t="shared" si="27"/>
        <v>0.23699999999999999</v>
      </c>
      <c r="AF32" s="128">
        <f t="shared" si="27"/>
        <v>0.23699999999999999</v>
      </c>
      <c r="AG32" s="128">
        <f t="shared" si="27"/>
        <v>0.23699999999999999</v>
      </c>
      <c r="AH32" s="128">
        <f t="shared" si="27"/>
        <v>0.23699999999999999</v>
      </c>
      <c r="AI32" s="128">
        <f t="shared" si="28"/>
        <v>0.23699999999999999</v>
      </c>
      <c r="AJ32" s="128">
        <f t="shared" si="28"/>
        <v>0.23699999999999999</v>
      </c>
      <c r="AK32" s="128">
        <f t="shared" si="28"/>
        <v>0.23699999999999999</v>
      </c>
      <c r="AL32" s="128">
        <f t="shared" si="28"/>
        <v>0.23699999999999999</v>
      </c>
      <c r="AM32" s="128">
        <f t="shared" si="28"/>
        <v>0.23699999999999999</v>
      </c>
      <c r="AN32" s="128">
        <f t="shared" si="28"/>
        <v>0.23699999999999999</v>
      </c>
      <c r="AO32" s="128">
        <f t="shared" si="28"/>
        <v>0.23699999999999999</v>
      </c>
      <c r="AP32" s="128">
        <f t="shared" si="28"/>
        <v>0.23699999999999999</v>
      </c>
      <c r="AQ32" s="128">
        <f t="shared" si="28"/>
        <v>0.23699999999999999</v>
      </c>
      <c r="AR32" s="128">
        <f t="shared" si="28"/>
        <v>0.23699999999999999</v>
      </c>
    </row>
    <row r="33" spans="1:44" ht="30" customHeight="1" x14ac:dyDescent="0.25">
      <c r="A33" s="116" t="s">
        <v>79</v>
      </c>
      <c r="B33" t="s">
        <v>80</v>
      </c>
      <c r="C33" s="5" t="s">
        <v>197</v>
      </c>
      <c r="F33" s="10">
        <f>SUMIFS('EIA Net Generation'!$E:$E,'EIA Net Generation'!$B:$B,$B33,'EIA Net Generation'!$D:$D,"Total",'EIA Net Generation'!C:C,"Total Electric Power Industry")</f>
        <v>61433792</v>
      </c>
      <c r="G33" s="125" t="b">
        <f t="shared" si="0"/>
        <v>1</v>
      </c>
      <c r="H33" s="91">
        <v>7.9769999999999994E-2</v>
      </c>
      <c r="I33" s="91">
        <v>8.8069999999999996E-2</v>
      </c>
      <c r="J33" s="91">
        <v>8.8069999999999996E-2</v>
      </c>
      <c r="K33" s="91">
        <v>0.10485</v>
      </c>
      <c r="L33" s="91">
        <v>0.12325</v>
      </c>
      <c r="M33" s="91">
        <v>0.14174999999999999</v>
      </c>
      <c r="N33" s="91">
        <v>0.16028999999999999</v>
      </c>
      <c r="O33" s="127">
        <v>0.21</v>
      </c>
      <c r="P33" s="128">
        <f>($S$33-$O$33)/COUNT($P$2:$S$2)+O33</f>
        <v>0.245</v>
      </c>
      <c r="Q33" s="128">
        <f>($S$33-$O$33)/COUNT($P$2:$S$2)+P33</f>
        <v>0.27999999999999997</v>
      </c>
      <c r="R33" s="128">
        <f>($S$33-$O$33)/COUNT($P$2:$S$2)+Q33</f>
        <v>0.31499999999999995</v>
      </c>
      <c r="S33" s="127">
        <v>0.35</v>
      </c>
      <c r="T33" s="128">
        <f>($X$33-$S$33)/COUNT($T$2:$X$2)+S33</f>
        <v>0.38</v>
      </c>
      <c r="U33" s="128">
        <f>($X$33-$S$33)/COUNT($T$2:$X$2)+T33</f>
        <v>0.41000000000000003</v>
      </c>
      <c r="V33" s="128">
        <f>($X$33-$S$33)/COUNT($T$2:$X$2)+U33</f>
        <v>0.44000000000000006</v>
      </c>
      <c r="W33" s="128">
        <f>($X$33-$S$33)/COUNT($T$2:$X$2)+V33</f>
        <v>0.47000000000000008</v>
      </c>
      <c r="X33" s="127">
        <v>0.5</v>
      </c>
      <c r="Y33" s="128">
        <f t="shared" ref="Y33:AR33" si="29">X33</f>
        <v>0.5</v>
      </c>
      <c r="Z33" s="128">
        <f t="shared" si="29"/>
        <v>0.5</v>
      </c>
      <c r="AA33" s="128">
        <f t="shared" si="29"/>
        <v>0.5</v>
      </c>
      <c r="AB33" s="128">
        <f t="shared" si="29"/>
        <v>0.5</v>
      </c>
      <c r="AC33" s="128">
        <f t="shared" si="29"/>
        <v>0.5</v>
      </c>
      <c r="AD33" s="128">
        <f t="shared" si="29"/>
        <v>0.5</v>
      </c>
      <c r="AE33" s="128">
        <f t="shared" si="29"/>
        <v>0.5</v>
      </c>
      <c r="AF33" s="128">
        <f t="shared" si="29"/>
        <v>0.5</v>
      </c>
      <c r="AG33" s="128">
        <f t="shared" si="29"/>
        <v>0.5</v>
      </c>
      <c r="AH33" s="128">
        <f t="shared" si="29"/>
        <v>0.5</v>
      </c>
      <c r="AI33" s="128">
        <f t="shared" si="29"/>
        <v>0.5</v>
      </c>
      <c r="AJ33" s="128">
        <f t="shared" si="29"/>
        <v>0.5</v>
      </c>
      <c r="AK33" s="128">
        <f t="shared" si="29"/>
        <v>0.5</v>
      </c>
      <c r="AL33" s="128">
        <f t="shared" si="29"/>
        <v>0.5</v>
      </c>
      <c r="AM33" s="128">
        <f t="shared" si="29"/>
        <v>0.5</v>
      </c>
      <c r="AN33" s="128">
        <f t="shared" si="29"/>
        <v>0.5</v>
      </c>
      <c r="AO33" s="128">
        <f t="shared" si="29"/>
        <v>0.5</v>
      </c>
      <c r="AP33" s="128">
        <f t="shared" si="29"/>
        <v>0.5</v>
      </c>
      <c r="AQ33" s="128">
        <f t="shared" si="29"/>
        <v>0.5</v>
      </c>
      <c r="AR33" s="128">
        <f t="shared" si="29"/>
        <v>0.5</v>
      </c>
    </row>
    <row r="34" spans="1:44" ht="180" customHeight="1" x14ac:dyDescent="0.25">
      <c r="A34" s="116" t="s">
        <v>82</v>
      </c>
      <c r="B34" t="s">
        <v>83</v>
      </c>
      <c r="C34" s="6" t="s">
        <v>198</v>
      </c>
      <c r="D34" s="6">
        <v>1</v>
      </c>
      <c r="E34" s="6">
        <v>1</v>
      </c>
      <c r="F34" s="10">
        <f>SUMIFS('EIA Net Generation'!$E:$E,'EIA Net Generation'!$B:$B,$B34,'EIA Net Generation'!$D:$D,"Total",'EIA Net Generation'!C:C,"Total Electric Power Industry")</f>
        <v>35192365</v>
      </c>
      <c r="G34" s="125" t="b">
        <f t="shared" si="0"/>
        <v>1</v>
      </c>
      <c r="H34" s="89">
        <v>0</v>
      </c>
      <c r="I34" s="122">
        <f>SUM('Extra State Data'!C13:C14)</f>
        <v>0.11293331894401584</v>
      </c>
      <c r="J34" s="122">
        <f>SUM('Extra State Data'!D13:D14)</f>
        <v>0.12186577193786838</v>
      </c>
      <c r="K34" s="122">
        <f>SUM('Extra State Data'!E13:E14)</f>
        <v>0.13079822493172091</v>
      </c>
      <c r="L34" s="122">
        <f>SUM('Extra State Data'!F13:F14)</f>
        <v>0.13973067792557345</v>
      </c>
      <c r="M34" s="122">
        <f>SUM('Extra State Data'!G13:G14)</f>
        <v>0.14866313091942601</v>
      </c>
      <c r="N34" s="122">
        <f>SUM('Extra State Data'!H13:H14)</f>
        <v>0.16333744099430733</v>
      </c>
      <c r="O34" s="129">
        <f>SUM('Extra State Data'!I13:I14)</f>
        <v>0.20212957674626619</v>
      </c>
      <c r="P34" s="129">
        <f>SUM('Extra State Data'!J13:J14)</f>
        <v>0.24092171249822505</v>
      </c>
      <c r="Q34" s="129">
        <f>SUM('Extra State Data'!K13:K14)</f>
        <v>0.27971384825018392</v>
      </c>
      <c r="R34" s="129">
        <f>SUM('Extra State Data'!L13:L14)</f>
        <v>0.31850598400214281</v>
      </c>
      <c r="S34" s="129">
        <f>SUM('Extra State Data'!M13:M14)</f>
        <v>0.35729811975410158</v>
      </c>
      <c r="T34" s="129">
        <f>SUM('Extra State Data'!N13:N14)</f>
        <v>0.37516302574180665</v>
      </c>
      <c r="U34" s="129">
        <f>SUM('Extra State Data'!O13:O14)</f>
        <v>0.39302793172951167</v>
      </c>
      <c r="V34" s="129">
        <f>SUM('Extra State Data'!P13:P14)</f>
        <v>0.41089283771721674</v>
      </c>
      <c r="W34" s="129">
        <f>SUM('Extra State Data'!Q13:Q14)</f>
        <v>0.42875774370492181</v>
      </c>
      <c r="X34" s="129">
        <f>SUM('Extra State Data'!R13:R14)</f>
        <v>0.44662264969262699</v>
      </c>
      <c r="Y34" s="129">
        <f>SUM('Extra State Data'!S13:S14)</f>
        <v>0.46710396588505293</v>
      </c>
      <c r="Z34" s="129">
        <f>SUM('Extra State Data'!T13:T14)</f>
        <v>0.48758528207747887</v>
      </c>
      <c r="AA34" s="129">
        <f>SUM('Extra State Data'!U13:U14)</f>
        <v>0.50806659826990475</v>
      </c>
      <c r="AB34" s="129">
        <f>SUM('Extra State Data'!V13:V14)</f>
        <v>0.52854791446233074</v>
      </c>
      <c r="AC34" s="129">
        <f>SUM('Extra State Data'!W13:W14)</f>
        <v>0.54902923065475662</v>
      </c>
      <c r="AD34" s="129">
        <f>SUM('Extra State Data'!X13:X14)</f>
        <v>0.56951054684718261</v>
      </c>
      <c r="AE34" s="129">
        <f>SUM('Extra State Data'!Y13:Y14)</f>
        <v>0.58999186303960849</v>
      </c>
      <c r="AF34" s="129">
        <f>SUM('Extra State Data'!Z13:Z14)</f>
        <v>0.61047317923203448</v>
      </c>
      <c r="AG34" s="129">
        <f>SUM('Extra State Data'!AA13:AA14)</f>
        <v>0.63095449542446047</v>
      </c>
      <c r="AH34" s="129">
        <f>SUM('Extra State Data'!AB13:AB14)</f>
        <v>0.65143581161688635</v>
      </c>
      <c r="AI34" s="129">
        <f>SUM('Extra State Data'!AC13:AC14)</f>
        <v>0.67419282960847071</v>
      </c>
      <c r="AJ34" s="129">
        <f>SUM('Extra State Data'!AD13:AD14)</f>
        <v>0.69694984760005507</v>
      </c>
      <c r="AK34" s="129">
        <f>SUM('Extra State Data'!AE13:AE14)</f>
        <v>0.71970686559163943</v>
      </c>
      <c r="AL34" s="129">
        <f>SUM('Extra State Data'!AF13:AF14)</f>
        <v>0.74246388358322379</v>
      </c>
      <c r="AM34" s="129">
        <f>SUM('Extra State Data'!AG13:AG14)</f>
        <v>0.78797791956639263</v>
      </c>
      <c r="AN34" s="129">
        <f>SUM('Extra State Data'!AH13:AH14)</f>
        <v>0.78797791956639263</v>
      </c>
      <c r="AO34" s="129">
        <f>SUM('Extra State Data'!AI13:AI14)</f>
        <v>0.78797791956639263</v>
      </c>
      <c r="AP34" s="129">
        <f>SUM('Extra State Data'!AJ13:AJ14)</f>
        <v>0.78797791956639263</v>
      </c>
      <c r="AQ34" s="129">
        <f>SUM('Extra State Data'!AK13:AK14)</f>
        <v>0.78797791956639263</v>
      </c>
      <c r="AR34" s="129">
        <f>SUM('Extra State Data'!AL13:AL14)</f>
        <v>0.78797791956639263</v>
      </c>
    </row>
    <row r="35" spans="1:44" ht="45" customHeight="1" x14ac:dyDescent="0.25">
      <c r="A35" s="116" t="s">
        <v>85</v>
      </c>
      <c r="B35" t="s">
        <v>86</v>
      </c>
      <c r="C35" s="5" t="s">
        <v>199</v>
      </c>
      <c r="D35" s="6">
        <v>1</v>
      </c>
      <c r="E35" s="6">
        <v>1</v>
      </c>
      <c r="F35" s="10">
        <f>SUMIFS('EIA Net Generation'!$E:$E,'EIA Net Generation'!$B:$B,$B35,'EIA Net Generation'!$D:$D,"Total",'EIA Net Generation'!C:C,"Total Electric Power Industry")</f>
        <v>124772248</v>
      </c>
      <c r="G35" s="125" t="b">
        <f t="shared" si="0"/>
        <v>1</v>
      </c>
      <c r="H35" s="89">
        <v>0</v>
      </c>
      <c r="I35" s="94">
        <v>0.28999999999999998</v>
      </c>
      <c r="J35" s="92">
        <f t="shared" ref="J35:W35" si="30">$I35+($X35-$I35)*(J$2-$I$2)/($X$2-$I$2)</f>
        <v>0.3173333333333333</v>
      </c>
      <c r="K35" s="92">
        <f t="shared" si="30"/>
        <v>0.34466666666666662</v>
      </c>
      <c r="L35" s="92">
        <f t="shared" si="30"/>
        <v>0.372</v>
      </c>
      <c r="M35" s="92">
        <f t="shared" si="30"/>
        <v>0.39933333333333332</v>
      </c>
      <c r="N35" s="92">
        <f t="shared" si="30"/>
        <v>0.42666666666666664</v>
      </c>
      <c r="O35" s="128">
        <f t="shared" si="30"/>
        <v>0.45399999999999996</v>
      </c>
      <c r="P35" s="128">
        <f t="shared" si="30"/>
        <v>0.48133333333333328</v>
      </c>
      <c r="Q35" s="128">
        <f t="shared" si="30"/>
        <v>0.5086666666666666</v>
      </c>
      <c r="R35" s="128">
        <f t="shared" si="30"/>
        <v>0.53600000000000003</v>
      </c>
      <c r="S35" s="128">
        <f t="shared" si="30"/>
        <v>0.56333333333333324</v>
      </c>
      <c r="T35" s="128">
        <f t="shared" si="30"/>
        <v>0.59066666666666667</v>
      </c>
      <c r="U35" s="128">
        <f t="shared" si="30"/>
        <v>0.61799999999999999</v>
      </c>
      <c r="V35" s="128">
        <f t="shared" si="30"/>
        <v>0.64533333333333331</v>
      </c>
      <c r="W35" s="128">
        <f t="shared" si="30"/>
        <v>0.67266666666666652</v>
      </c>
      <c r="X35" s="131">
        <v>0.7</v>
      </c>
      <c r="Y35" s="128">
        <f t="shared" ref="Y35:AG35" si="31">$X35+($AH35-$X35)*(Y$2-$X$2)/($AH$2-$X$2)</f>
        <v>0.73</v>
      </c>
      <c r="Z35" s="128">
        <f t="shared" si="31"/>
        <v>0.76</v>
      </c>
      <c r="AA35" s="128">
        <f t="shared" si="31"/>
        <v>0.78999999999999992</v>
      </c>
      <c r="AB35" s="128">
        <f t="shared" si="31"/>
        <v>0.82</v>
      </c>
      <c r="AC35" s="128">
        <f t="shared" si="31"/>
        <v>0.85</v>
      </c>
      <c r="AD35" s="128">
        <f t="shared" si="31"/>
        <v>0.88</v>
      </c>
      <c r="AE35" s="128">
        <f t="shared" si="31"/>
        <v>0.91</v>
      </c>
      <c r="AF35" s="128">
        <f t="shared" si="31"/>
        <v>0.94</v>
      </c>
      <c r="AG35" s="128">
        <f t="shared" si="31"/>
        <v>0.97</v>
      </c>
      <c r="AH35" s="131">
        <v>1</v>
      </c>
      <c r="AI35" s="126">
        <f t="shared" ref="AI35:AR35" si="32">AH35</f>
        <v>1</v>
      </c>
      <c r="AJ35" s="126">
        <f t="shared" si="32"/>
        <v>1</v>
      </c>
      <c r="AK35" s="126">
        <f t="shared" si="32"/>
        <v>1</v>
      </c>
      <c r="AL35" s="126">
        <f t="shared" si="32"/>
        <v>1</v>
      </c>
      <c r="AM35" s="126">
        <f t="shared" si="32"/>
        <v>1</v>
      </c>
      <c r="AN35" s="126">
        <f t="shared" si="32"/>
        <v>1</v>
      </c>
      <c r="AO35" s="126">
        <f t="shared" si="32"/>
        <v>1</v>
      </c>
      <c r="AP35" s="126">
        <f t="shared" si="32"/>
        <v>1</v>
      </c>
      <c r="AQ35" s="126">
        <f t="shared" si="32"/>
        <v>1</v>
      </c>
      <c r="AR35" s="126">
        <f t="shared" si="32"/>
        <v>1</v>
      </c>
    </row>
    <row r="36" spans="1:44" ht="30" customHeight="1" x14ac:dyDescent="0.25">
      <c r="A36" s="116" t="s">
        <v>88</v>
      </c>
      <c r="B36" t="s">
        <v>89</v>
      </c>
      <c r="C36" s="6" t="s">
        <v>200</v>
      </c>
      <c r="F36" s="10">
        <f>SUMIFS('EIA Net Generation'!$E:$E,'EIA Net Generation'!$B:$B,$B36,'EIA Net Generation'!$D:$D,"Total",'EIA Net Generation'!C:C,"Total Electric Power Industry")</f>
        <v>129923364</v>
      </c>
      <c r="G36" s="125" t="b">
        <f t="shared" si="0"/>
        <v>1</v>
      </c>
      <c r="H36" s="121">
        <f>0.05*'Extra State Data'!$B$17/SUM('Extra State Data'!$B$17:$B$19)</f>
        <v>3.7485526698659309E-2</v>
      </c>
      <c r="I36" s="121">
        <f>0.06*'Extra State Data'!$B$17/SUM('Extra State Data'!$B$17:$B$19)</f>
        <v>4.4982632038391167E-2</v>
      </c>
      <c r="J36" s="121">
        <f>0.0733*'Extra State Data'!$B$17/SUM('Extra State Data'!$B$17:$B$19)</f>
        <v>5.4953782140234546E-2</v>
      </c>
      <c r="K36" s="121">
        <f>0.0866*'Extra State Data'!$B$17/SUM('Extra State Data'!$B$17:$B$19)</f>
        <v>6.4924932242077918E-2</v>
      </c>
      <c r="L36" s="121">
        <f>(0.1*'Extra State Data'!$B$17+0.1*SUM('Extra State Data'!$B$18:$B$19))/SUM('Extra State Data'!$B$17:$B$19)</f>
        <v>0.1</v>
      </c>
      <c r="M36" s="92">
        <f>$L36+($O36-$L36)*(M$2-$L$2)/($O$2-$L$2)</f>
        <v>0.10624758778310989</v>
      </c>
      <c r="N36" s="92">
        <f>$L36+($O36-$L36)*(N$2-$L$2)/($O$2-$L$2)</f>
        <v>0.11249517556621978</v>
      </c>
      <c r="O36" s="130">
        <f>(0.125*'Extra State Data'!$B$17+0.1*SUM('Extra State Data'!$B$18:$B$19))/SUM('Extra State Data'!$B$17:$B$19)</f>
        <v>0.11874276334932966</v>
      </c>
      <c r="P36" s="128">
        <f t="shared" ref="P36:AR36" si="33">$O36</f>
        <v>0.11874276334932966</v>
      </c>
      <c r="Q36" s="128">
        <f t="shared" si="33"/>
        <v>0.11874276334932966</v>
      </c>
      <c r="R36" s="128">
        <f t="shared" si="33"/>
        <v>0.11874276334932966</v>
      </c>
      <c r="S36" s="128">
        <f t="shared" si="33"/>
        <v>0.11874276334932966</v>
      </c>
      <c r="T36" s="128">
        <f t="shared" si="33"/>
        <v>0.11874276334932966</v>
      </c>
      <c r="U36" s="128">
        <f t="shared" si="33"/>
        <v>0.11874276334932966</v>
      </c>
      <c r="V36" s="128">
        <f t="shared" si="33"/>
        <v>0.11874276334932966</v>
      </c>
      <c r="W36" s="128">
        <f t="shared" si="33"/>
        <v>0.11874276334932966</v>
      </c>
      <c r="X36" s="128">
        <f t="shared" si="33"/>
        <v>0.11874276334932966</v>
      </c>
      <c r="Y36" s="128">
        <f t="shared" si="33"/>
        <v>0.11874276334932966</v>
      </c>
      <c r="Z36" s="128">
        <f t="shared" si="33"/>
        <v>0.11874276334932966</v>
      </c>
      <c r="AA36" s="128">
        <f t="shared" si="33"/>
        <v>0.11874276334932966</v>
      </c>
      <c r="AB36" s="128">
        <f t="shared" si="33"/>
        <v>0.11874276334932966</v>
      </c>
      <c r="AC36" s="128">
        <f t="shared" si="33"/>
        <v>0.11874276334932966</v>
      </c>
      <c r="AD36" s="128">
        <f t="shared" si="33"/>
        <v>0.11874276334932966</v>
      </c>
      <c r="AE36" s="128">
        <f t="shared" si="33"/>
        <v>0.11874276334932966</v>
      </c>
      <c r="AF36" s="128">
        <f t="shared" si="33"/>
        <v>0.11874276334932966</v>
      </c>
      <c r="AG36" s="128">
        <f t="shared" si="33"/>
        <v>0.11874276334932966</v>
      </c>
      <c r="AH36" s="128">
        <f t="shared" si="33"/>
        <v>0.11874276334932966</v>
      </c>
      <c r="AI36" s="128">
        <f t="shared" si="33"/>
        <v>0.11874276334932966</v>
      </c>
      <c r="AJ36" s="128">
        <f t="shared" si="33"/>
        <v>0.11874276334932966</v>
      </c>
      <c r="AK36" s="128">
        <f t="shared" si="33"/>
        <v>0.11874276334932966</v>
      </c>
      <c r="AL36" s="128">
        <f t="shared" si="33"/>
        <v>0.11874276334932966</v>
      </c>
      <c r="AM36" s="128">
        <f t="shared" si="33"/>
        <v>0.11874276334932966</v>
      </c>
      <c r="AN36" s="128">
        <f t="shared" si="33"/>
        <v>0.11874276334932966</v>
      </c>
      <c r="AO36" s="128">
        <f t="shared" si="33"/>
        <v>0.11874276334932966</v>
      </c>
      <c r="AP36" s="128">
        <f t="shared" si="33"/>
        <v>0.11874276334932966</v>
      </c>
      <c r="AQ36" s="128">
        <f t="shared" si="33"/>
        <v>0.11874276334932966</v>
      </c>
      <c r="AR36" s="128">
        <f t="shared" si="33"/>
        <v>0.11874276334932966</v>
      </c>
    </row>
    <row r="37" spans="1:44" x14ac:dyDescent="0.25">
      <c r="A37" s="116" t="s">
        <v>90</v>
      </c>
      <c r="B37" t="s">
        <v>91</v>
      </c>
      <c r="C37" s="5"/>
      <c r="F37" s="10">
        <f>SUMIFS('EIA Net Generation'!$E:$E,'EIA Net Generation'!$B:$B,$B37,'EIA Net Generation'!$D:$D,"Total",'EIA Net Generation'!C:C,"Total Electric Power Industry")</f>
        <v>43032378</v>
      </c>
      <c r="G37" s="125" t="b">
        <f t="shared" si="0"/>
        <v>0</v>
      </c>
      <c r="H37" s="89">
        <v>0</v>
      </c>
      <c r="I37" s="90">
        <v>0</v>
      </c>
      <c r="J37" s="90">
        <v>0</v>
      </c>
      <c r="K37" s="90">
        <v>0</v>
      </c>
      <c r="L37" s="90">
        <v>0</v>
      </c>
      <c r="M37" s="90">
        <v>0</v>
      </c>
      <c r="N37" s="90">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c r="AG37" s="126">
        <v>0</v>
      </c>
      <c r="AH37" s="126">
        <v>0</v>
      </c>
      <c r="AI37" s="126">
        <v>0</v>
      </c>
      <c r="AJ37" s="126">
        <v>0</v>
      </c>
      <c r="AK37" s="126">
        <v>0</v>
      </c>
      <c r="AL37" s="126">
        <v>0</v>
      </c>
      <c r="AM37" s="126">
        <v>0</v>
      </c>
      <c r="AN37" s="126">
        <v>0</v>
      </c>
      <c r="AO37" s="126">
        <v>0</v>
      </c>
      <c r="AP37" s="126">
        <v>0</v>
      </c>
      <c r="AQ37" s="126">
        <v>0</v>
      </c>
      <c r="AR37" s="126">
        <v>0</v>
      </c>
    </row>
    <row r="38" spans="1:44" ht="75" customHeight="1" x14ac:dyDescent="0.25">
      <c r="A38" s="116" t="s">
        <v>93</v>
      </c>
      <c r="B38" t="s">
        <v>94</v>
      </c>
      <c r="C38" s="5" t="s">
        <v>201</v>
      </c>
      <c r="E38" s="6">
        <v>1</v>
      </c>
      <c r="F38" s="10">
        <f>SUMIFS('EIA Net Generation'!$E:$E,'EIA Net Generation'!$B:$B,$B38,'EIA Net Generation'!$D:$D,"Total",'EIA Net Generation'!C:C,"Total Electric Power Industry")</f>
        <v>125947507</v>
      </c>
      <c r="G38" s="125" t="b">
        <f t="shared" si="0"/>
        <v>1</v>
      </c>
      <c r="H38" s="121">
        <f>0.025*'Extra State Data'!$B$56/'Extra State Data'!$B$57</f>
        <v>1.4520393523372836E-2</v>
      </c>
      <c r="I38" s="121">
        <f>0.025*'Extra State Data'!$B$56/'Extra State Data'!$B$57</f>
        <v>1.4520393523372836E-2</v>
      </c>
      <c r="J38" s="121">
        <f>0.025*'Extra State Data'!$B$56/'Extra State Data'!$B$57</f>
        <v>1.4520393523372836E-2</v>
      </c>
      <c r="K38" s="121">
        <f>0.035*'Extra State Data'!$B$56/'Extra State Data'!$B$57</f>
        <v>2.032855093272197E-2</v>
      </c>
      <c r="L38" s="121">
        <f>0.045*'Extra State Data'!$B$56/'Extra State Data'!$B$57</f>
        <v>2.6136708342071099E-2</v>
      </c>
      <c r="M38" s="121">
        <f>0.055*'Extra State Data'!$B$56/'Extra State Data'!$B$57</f>
        <v>3.1944865751420234E-2</v>
      </c>
      <c r="N38" s="121">
        <f>0.055*'Extra State Data'!$B$56/'Extra State Data'!$B$57</f>
        <v>3.1944865751420234E-2</v>
      </c>
      <c r="O38" s="130">
        <f>0.06*'Extra State Data'!$B$56/'Extra State Data'!$B$57</f>
        <v>3.4848944456094801E-2</v>
      </c>
      <c r="P38" s="130">
        <f>0.065*'Extra State Data'!$B$56/'Extra State Data'!$B$57</f>
        <v>3.7753023160769367E-2</v>
      </c>
      <c r="Q38" s="130">
        <f>0.07*'Extra State Data'!$B$56/'Extra State Data'!$B$57</f>
        <v>4.065710186544394E-2</v>
      </c>
      <c r="R38" s="130">
        <f>0.075*'Extra State Data'!$B$56/'Extra State Data'!$B$57</f>
        <v>4.3561180570118499E-2</v>
      </c>
      <c r="S38" s="130">
        <f>0.08*'Extra State Data'!$B$56/'Extra State Data'!$B$57</f>
        <v>4.6465259274793072E-2</v>
      </c>
      <c r="T38" s="130">
        <f>0.085*'Extra State Data'!$B$56/'Extra State Data'!$B$57</f>
        <v>4.9369337979467638E-2</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row>
    <row r="39" spans="1:44" ht="30" x14ac:dyDescent="0.25">
      <c r="A39" s="116" t="s">
        <v>95</v>
      </c>
      <c r="B39" t="s">
        <v>96</v>
      </c>
      <c r="C39" s="5" t="s">
        <v>202</v>
      </c>
      <c r="F39" s="10">
        <f>SUMIFS('EIA Net Generation'!$E:$E,'EIA Net Generation'!$B:$B,$B39,'EIA Net Generation'!$D:$D,"Total",'EIA Net Generation'!C:C,"Total Electric Power Industry")</f>
        <v>80754586</v>
      </c>
      <c r="G39" s="125" t="b">
        <f t="shared" si="0"/>
        <v>0</v>
      </c>
      <c r="H39" s="89">
        <v>0</v>
      </c>
      <c r="I39" s="90">
        <v>0</v>
      </c>
      <c r="J39" s="90">
        <v>0</v>
      </c>
      <c r="K39" s="90">
        <v>0</v>
      </c>
      <c r="L39" s="90">
        <v>0</v>
      </c>
      <c r="M39" s="90">
        <v>0</v>
      </c>
      <c r="N39" s="90">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26">
        <v>0</v>
      </c>
      <c r="AM39" s="126">
        <v>0</v>
      </c>
      <c r="AN39" s="126">
        <v>0</v>
      </c>
      <c r="AO39" s="126">
        <v>0</v>
      </c>
      <c r="AP39" s="126">
        <v>0</v>
      </c>
      <c r="AQ39" s="126">
        <v>0</v>
      </c>
      <c r="AR39" s="126">
        <v>0</v>
      </c>
    </row>
    <row r="40" spans="1:44" ht="90" customHeight="1" x14ac:dyDescent="0.25">
      <c r="A40" s="116" t="s">
        <v>97</v>
      </c>
      <c r="B40" t="s">
        <v>98</v>
      </c>
      <c r="C40" s="6" t="s">
        <v>203</v>
      </c>
      <c r="F40" s="10">
        <f>SUMIFS('EIA Net Generation'!$E:$E,'EIA Net Generation'!$B:$B,$B40,'EIA Net Generation'!$D:$D,"Total",'EIA Net Generation'!C:C,"Total Electric Power Industry")</f>
        <v>61016874</v>
      </c>
      <c r="G40" s="125" t="b">
        <f t="shared" si="0"/>
        <v>1</v>
      </c>
      <c r="H40" s="122">
        <f>((0.15*'Extra State Data'!$B$32/'Extra State Data'!$B$29)-(0.05*'Extra State Data'!$B$32/'Extra State Data'!$B$29))*(3/4)+(0.05*'Extra State Data'!$B$32/'Extra State Data'!$B$29)</f>
        <v>8.1222261109866911E-2</v>
      </c>
      <c r="I40" s="121">
        <f>0.15*'Extra State Data'!$B$32/'Extra State Data'!$B$29</f>
        <v>9.7466713331840288E-2</v>
      </c>
      <c r="J40" s="92">
        <f>$I40+($N40-$I40)*(J$2-$I$2)/($N$2-$I$2)</f>
        <v>0.10396449422062964</v>
      </c>
      <c r="K40" s="92">
        <f>$I40+($N40-$I40)*(K$2-$I$2)/($N$2-$I$2)</f>
        <v>0.110462275109419</v>
      </c>
      <c r="L40" s="92">
        <f>$I40+($N40-$I40)*(L$2-$I$2)/($N$2-$I$2)</f>
        <v>0.11696005599820836</v>
      </c>
      <c r="M40" s="92">
        <f>$I40+($N40-$I40)*(M$2-$I$2)/($N$2-$I$2)</f>
        <v>0.12345783688699771</v>
      </c>
      <c r="N40" s="121">
        <f>0.2*'Extra State Data'!$B$32/'Extra State Data'!$B$29</f>
        <v>0.12995561777578707</v>
      </c>
      <c r="O40" s="128">
        <f>$N40+($S40-$N40)*(O$2-$N$2)/($S$2-$N$2)</f>
        <v>0.14464659391078261</v>
      </c>
      <c r="P40" s="128">
        <f>$N40+($S40-$N40)*(P$2-$N$2)/($S$2-$N$2)</f>
        <v>0.15933757004577817</v>
      </c>
      <c r="Q40" s="128">
        <f>$N40+($S40-$N40)*(Q$2-$N$2)/($S$2-$N$2)</f>
        <v>0.17402854618077371</v>
      </c>
      <c r="R40" s="128">
        <f>$N40+($S40-$N40)*(R$2-$N$2)/($S$2-$N$2)</f>
        <v>0.18871952231576927</v>
      </c>
      <c r="S40" s="139">
        <f>(0.25*'Extra State Data'!B32+0.25*'Extra State Data'!B33+0.1*'Extra State Data'!B34+0.05*'Extra State Data'!B35)/'Extra State Data'!$B$29</f>
        <v>0.20341049845076481</v>
      </c>
      <c r="T40" s="128">
        <f>$S40+($X40-$S40)*(T$2-$S$2)/($X$2-$S$2)</f>
        <v>0.21640606022834352</v>
      </c>
      <c r="U40" s="128">
        <f>$S40+($X40-$S40)*(U$2-$S$2)/($X$2-$S$2)</f>
        <v>0.22940162200592221</v>
      </c>
      <c r="V40" s="128">
        <f>$S40+($X40-$S40)*(V$2-$S$2)/($X$2-$S$2)</f>
        <v>0.24239718378350092</v>
      </c>
      <c r="W40" s="128">
        <f>$S40+($X40-$S40)*(W$2-$S$2)/($X$2-$S$2)</f>
        <v>0.2553927455610796</v>
      </c>
      <c r="X40" s="130">
        <f>(0.35*'Extra State Data'!B32+0.25*'Extra State Data'!B33+0.1*'Extra State Data'!B34+0.05*'Extra State Data'!B35)/'Extra State Data'!$B$29</f>
        <v>0.26838830733865832</v>
      </c>
      <c r="Y40" s="128">
        <f>$X40+($AC40-$X40)*(Y$2-$X$2)/($AC$2-$X$2)</f>
        <v>0.28138386911623703</v>
      </c>
      <c r="Z40" s="128">
        <f>$X40+($AC40-$X40)*(Z$2-$X$2)/($AC$2-$X$2)</f>
        <v>0.29437943089381574</v>
      </c>
      <c r="AA40" s="128">
        <f>$X40+($AC40-$X40)*(AA$2-$X$2)/($AC$2-$X$2)</f>
        <v>0.30737499267139445</v>
      </c>
      <c r="AB40" s="128">
        <f>$X40+($AC40-$X40)*(AB$2-$X$2)/($AC$2-$X$2)</f>
        <v>0.32037055444897317</v>
      </c>
      <c r="AC40" s="139">
        <f>(0.45*'Extra State Data'!B32+0.25*'Extra State Data'!B33+0.1*'Extra State Data'!B34+0.05*'Extra State Data'!B35)/'Extra State Data'!$B$29</f>
        <v>0.33336611622655188</v>
      </c>
      <c r="AD40" s="128">
        <f>$AC40+($AH40-$AC40)*(AD$2-$AC$2)/($AH$2-$AC$2)</f>
        <v>0.33986389711534121</v>
      </c>
      <c r="AE40" s="128">
        <f>$AC40+($AH40-$AC40)*(AE$2-$AC$2)/($AH$2-$AC$2)</f>
        <v>0.34636167800413059</v>
      </c>
      <c r="AF40" s="128">
        <f>$AC40+($AH40-$AC40)*(AF$2-$AC$2)/($AH$2-$AC$2)</f>
        <v>0.35285945889291992</v>
      </c>
      <c r="AG40" s="128">
        <f>$AC40+($AH40-$AC40)*(AG$2-$AC$2)/($AH$2-$AC$2)</f>
        <v>0.3593572397817093</v>
      </c>
      <c r="AH40" s="139">
        <f>(0.5*'Extra State Data'!B32+0.25*'Extra State Data'!B33+0.1*'Extra State Data'!B34+0.05*'Extra State Data'!B35)/'Extra State Data'!$B$29</f>
        <v>0.36585502067049863</v>
      </c>
      <c r="AI40" s="128">
        <f t="shared" ref="AI40:AR40" si="34">$AH40</f>
        <v>0.36585502067049863</v>
      </c>
      <c r="AJ40" s="128">
        <f t="shared" si="34"/>
        <v>0.36585502067049863</v>
      </c>
      <c r="AK40" s="128">
        <f t="shared" si="34"/>
        <v>0.36585502067049863</v>
      </c>
      <c r="AL40" s="128">
        <f t="shared" si="34"/>
        <v>0.36585502067049863</v>
      </c>
      <c r="AM40" s="128">
        <f t="shared" si="34"/>
        <v>0.36585502067049863</v>
      </c>
      <c r="AN40" s="128">
        <f t="shared" si="34"/>
        <v>0.36585502067049863</v>
      </c>
      <c r="AO40" s="128">
        <f t="shared" si="34"/>
        <v>0.36585502067049863</v>
      </c>
      <c r="AP40" s="128">
        <f t="shared" si="34"/>
        <v>0.36585502067049863</v>
      </c>
      <c r="AQ40" s="128">
        <f t="shared" si="34"/>
        <v>0.36585502067049863</v>
      </c>
      <c r="AR40" s="128">
        <f t="shared" si="34"/>
        <v>0.36585502067049863</v>
      </c>
    </row>
    <row r="41" spans="1:44" ht="30" customHeight="1" x14ac:dyDescent="0.25">
      <c r="A41" s="116" t="s">
        <v>100</v>
      </c>
      <c r="B41" t="s">
        <v>101</v>
      </c>
      <c r="C41" s="5" t="s">
        <v>204</v>
      </c>
      <c r="F41" s="10">
        <f>SUMIFS('EIA Net Generation'!$E:$E,'EIA Net Generation'!$B:$B,$B41,'EIA Net Generation'!$D:$D,"Total",'EIA Net Generation'!C:C,"Total Electric Power Industry")</f>
        <v>241331434</v>
      </c>
      <c r="G41" s="125" t="b">
        <f t="shared" si="0"/>
        <v>1</v>
      </c>
      <c r="H41" s="94">
        <f>0.045+0.062</f>
        <v>0.107</v>
      </c>
      <c r="I41" s="91">
        <f>0.05+0.062</f>
        <v>0.112</v>
      </c>
      <c r="J41" s="91">
        <f>0.055+0.082</f>
        <v>0.13700000000000001</v>
      </c>
      <c r="K41" s="91">
        <f>0.06+0.082</f>
        <v>0.14200000000000002</v>
      </c>
      <c r="L41" s="91">
        <f>0.065+0.082</f>
        <v>0.14700000000000002</v>
      </c>
      <c r="M41" s="91">
        <f>0.07+0.082</f>
        <v>0.15200000000000002</v>
      </c>
      <c r="N41" s="91">
        <f>0.075+0.082</f>
        <v>0.157</v>
      </c>
      <c r="O41" s="131">
        <v>0.18</v>
      </c>
      <c r="P41" s="126">
        <f t="shared" ref="P41:AR41" si="35">$O41</f>
        <v>0.18</v>
      </c>
      <c r="Q41" s="126">
        <f t="shared" si="35"/>
        <v>0.18</v>
      </c>
      <c r="R41" s="126">
        <f t="shared" si="35"/>
        <v>0.18</v>
      </c>
      <c r="S41" s="126">
        <f t="shared" si="35"/>
        <v>0.18</v>
      </c>
      <c r="T41" s="126">
        <f t="shared" si="35"/>
        <v>0.18</v>
      </c>
      <c r="U41" s="126">
        <f t="shared" si="35"/>
        <v>0.18</v>
      </c>
      <c r="V41" s="126">
        <f t="shared" si="35"/>
        <v>0.18</v>
      </c>
      <c r="W41" s="126">
        <f t="shared" si="35"/>
        <v>0.18</v>
      </c>
      <c r="X41" s="126">
        <f t="shared" si="35"/>
        <v>0.18</v>
      </c>
      <c r="Y41" s="126">
        <f t="shared" si="35"/>
        <v>0.18</v>
      </c>
      <c r="Z41" s="126">
        <f t="shared" si="35"/>
        <v>0.18</v>
      </c>
      <c r="AA41" s="126">
        <f t="shared" si="35"/>
        <v>0.18</v>
      </c>
      <c r="AB41" s="126">
        <f t="shared" si="35"/>
        <v>0.18</v>
      </c>
      <c r="AC41" s="126">
        <f t="shared" si="35"/>
        <v>0.18</v>
      </c>
      <c r="AD41" s="126">
        <f t="shared" si="35"/>
        <v>0.18</v>
      </c>
      <c r="AE41" s="126">
        <f t="shared" si="35"/>
        <v>0.18</v>
      </c>
      <c r="AF41" s="126">
        <f t="shared" si="35"/>
        <v>0.18</v>
      </c>
      <c r="AG41" s="126">
        <f t="shared" si="35"/>
        <v>0.18</v>
      </c>
      <c r="AH41" s="126">
        <f t="shared" si="35"/>
        <v>0.18</v>
      </c>
      <c r="AI41" s="126">
        <f t="shared" si="35"/>
        <v>0.18</v>
      </c>
      <c r="AJ41" s="126">
        <f t="shared" si="35"/>
        <v>0.18</v>
      </c>
      <c r="AK41" s="126">
        <f t="shared" si="35"/>
        <v>0.18</v>
      </c>
      <c r="AL41" s="126">
        <f t="shared" si="35"/>
        <v>0.18</v>
      </c>
      <c r="AM41" s="126">
        <f t="shared" si="35"/>
        <v>0.18</v>
      </c>
      <c r="AN41" s="126">
        <f t="shared" si="35"/>
        <v>0.18</v>
      </c>
      <c r="AO41" s="126">
        <f t="shared" si="35"/>
        <v>0.18</v>
      </c>
      <c r="AP41" s="126">
        <f t="shared" si="35"/>
        <v>0.18</v>
      </c>
      <c r="AQ41" s="126">
        <f t="shared" si="35"/>
        <v>0.18</v>
      </c>
      <c r="AR41" s="126">
        <f t="shared" si="35"/>
        <v>0.18</v>
      </c>
    </row>
    <row r="42" spans="1:44" ht="75" customHeight="1" x14ac:dyDescent="0.25">
      <c r="A42" s="116" t="s">
        <v>103</v>
      </c>
      <c r="B42" t="s">
        <v>104</v>
      </c>
      <c r="C42" s="5" t="s">
        <v>205</v>
      </c>
      <c r="F42" s="10">
        <f>SUMIFS('EIA Net Generation'!$E:$E,'EIA Net Generation'!$B:$B,$B42,'EIA Net Generation'!$D:$D,"Total",'EIA Net Generation'!C:C,"Total Electric Power Industry")</f>
        <v>9322650</v>
      </c>
      <c r="G42" s="125" t="b">
        <f t="shared" si="0"/>
        <v>1</v>
      </c>
      <c r="H42" s="92">
        <v>8.5000000000000006E-2</v>
      </c>
      <c r="I42" s="92">
        <f>H42</f>
        <v>8.5000000000000006E-2</v>
      </c>
      <c r="J42" s="92">
        <f t="shared" ref="J42:P42" si="36">I42+0.015</f>
        <v>0.1</v>
      </c>
      <c r="K42" s="92">
        <f t="shared" si="36"/>
        <v>0.115</v>
      </c>
      <c r="L42" s="92">
        <f t="shared" si="36"/>
        <v>0.13</v>
      </c>
      <c r="M42" s="92">
        <f t="shared" si="36"/>
        <v>0.14500000000000002</v>
      </c>
      <c r="N42" s="92">
        <f t="shared" si="36"/>
        <v>0.16000000000000003</v>
      </c>
      <c r="O42" s="128">
        <f t="shared" si="36"/>
        <v>0.17500000000000004</v>
      </c>
      <c r="P42" s="128">
        <f t="shared" si="36"/>
        <v>0.19000000000000006</v>
      </c>
      <c r="Q42" s="128">
        <v>0.23</v>
      </c>
      <c r="R42" s="128">
        <v>0.28000000000000003</v>
      </c>
      <c r="S42" s="128">
        <v>0.34</v>
      </c>
      <c r="T42" s="128">
        <v>0.41</v>
      </c>
      <c r="U42" s="128">
        <v>0.48</v>
      </c>
      <c r="V42" s="128">
        <v>0.55500000000000005</v>
      </c>
      <c r="W42" s="128">
        <v>0.63500000000000001</v>
      </c>
      <c r="X42" s="128">
        <v>0.72</v>
      </c>
      <c r="Y42" s="128">
        <v>0.81</v>
      </c>
      <c r="Z42" s="128">
        <v>0.90500000000000003</v>
      </c>
      <c r="AA42" s="128">
        <v>1</v>
      </c>
      <c r="AB42" s="128">
        <v>1</v>
      </c>
      <c r="AC42" s="128">
        <v>1</v>
      </c>
      <c r="AD42" s="128">
        <f t="shared" ref="AD42:AR42" si="37">$AC42</f>
        <v>1</v>
      </c>
      <c r="AE42" s="128">
        <f t="shared" si="37"/>
        <v>1</v>
      </c>
      <c r="AF42" s="128">
        <f t="shared" si="37"/>
        <v>1</v>
      </c>
      <c r="AG42" s="128">
        <f t="shared" si="37"/>
        <v>1</v>
      </c>
      <c r="AH42" s="128">
        <f t="shared" si="37"/>
        <v>1</v>
      </c>
      <c r="AI42" s="128">
        <f t="shared" si="37"/>
        <v>1</v>
      </c>
      <c r="AJ42" s="128">
        <f t="shared" si="37"/>
        <v>1</v>
      </c>
      <c r="AK42" s="128">
        <f t="shared" si="37"/>
        <v>1</v>
      </c>
      <c r="AL42" s="128">
        <f t="shared" si="37"/>
        <v>1</v>
      </c>
      <c r="AM42" s="128">
        <f t="shared" si="37"/>
        <v>1</v>
      </c>
      <c r="AN42" s="128">
        <f t="shared" si="37"/>
        <v>1</v>
      </c>
      <c r="AO42" s="128">
        <f t="shared" si="37"/>
        <v>1</v>
      </c>
      <c r="AP42" s="128">
        <f t="shared" si="37"/>
        <v>1</v>
      </c>
      <c r="AQ42" s="128">
        <f t="shared" si="37"/>
        <v>1</v>
      </c>
      <c r="AR42" s="128">
        <f t="shared" si="37"/>
        <v>1</v>
      </c>
    </row>
    <row r="43" spans="1:44" x14ac:dyDescent="0.25">
      <c r="A43" s="116" t="s">
        <v>105</v>
      </c>
      <c r="B43" t="s">
        <v>106</v>
      </c>
      <c r="C43" s="5"/>
      <c r="F43" s="10">
        <f>SUMIFS('EIA Net Generation'!$E:$E,'EIA Net Generation'!$B:$B,$B43,'EIA Net Generation'!$D:$D,"Total",'EIA Net Generation'!C:C,"Total Electric Power Industry")</f>
        <v>98390441</v>
      </c>
      <c r="G43" s="125" t="b">
        <f t="shared" si="0"/>
        <v>0</v>
      </c>
      <c r="H43" s="89">
        <v>0</v>
      </c>
      <c r="I43" s="90">
        <v>0</v>
      </c>
      <c r="J43" s="90">
        <v>0</v>
      </c>
      <c r="K43" s="90">
        <v>0</v>
      </c>
      <c r="L43" s="90">
        <v>0</v>
      </c>
      <c r="M43" s="90">
        <v>0</v>
      </c>
      <c r="N43" s="90">
        <v>0</v>
      </c>
      <c r="O43" s="126">
        <v>0</v>
      </c>
      <c r="P43" s="126">
        <v>0</v>
      </c>
      <c r="Q43" s="126">
        <v>0</v>
      </c>
      <c r="R43" s="126">
        <v>0</v>
      </c>
      <c r="S43" s="126">
        <v>0</v>
      </c>
      <c r="T43" s="126">
        <v>0</v>
      </c>
      <c r="U43" s="126">
        <v>0</v>
      </c>
      <c r="V43" s="126">
        <v>0</v>
      </c>
      <c r="W43" s="126">
        <v>0</v>
      </c>
      <c r="X43" s="126">
        <v>0</v>
      </c>
      <c r="Y43" s="126">
        <v>0</v>
      </c>
      <c r="Z43" s="126">
        <v>0</v>
      </c>
      <c r="AA43" s="126">
        <v>0</v>
      </c>
      <c r="AB43" s="126">
        <v>0</v>
      </c>
      <c r="AC43" s="126">
        <v>0</v>
      </c>
      <c r="AD43" s="126">
        <v>0</v>
      </c>
      <c r="AE43" s="126">
        <v>0</v>
      </c>
      <c r="AF43" s="126">
        <v>0</v>
      </c>
      <c r="AG43" s="126">
        <v>0</v>
      </c>
      <c r="AH43" s="126">
        <v>0</v>
      </c>
      <c r="AI43" s="126">
        <v>0</v>
      </c>
      <c r="AJ43" s="126">
        <v>0</v>
      </c>
      <c r="AK43" s="126">
        <v>0</v>
      </c>
      <c r="AL43" s="126">
        <v>0</v>
      </c>
      <c r="AM43" s="126">
        <v>0</v>
      </c>
      <c r="AN43" s="126">
        <v>0</v>
      </c>
      <c r="AO43" s="126">
        <v>0</v>
      </c>
      <c r="AP43" s="126">
        <v>0</v>
      </c>
      <c r="AQ43" s="126">
        <v>0</v>
      </c>
      <c r="AR43" s="126">
        <v>0</v>
      </c>
    </row>
    <row r="44" spans="1:44" ht="30" x14ac:dyDescent="0.25">
      <c r="A44" s="116" t="s">
        <v>108</v>
      </c>
      <c r="B44" t="s">
        <v>109</v>
      </c>
      <c r="C44" s="5" t="s">
        <v>202</v>
      </c>
      <c r="F44" s="10">
        <f>SUMIFS('EIA Net Generation'!$E:$E,'EIA Net Generation'!$B:$B,$B44,'EIA Net Generation'!$D:$D,"Total",'EIA Net Generation'!C:C,"Total Electric Power Industry")</f>
        <v>17322409</v>
      </c>
      <c r="G44" s="125" t="b">
        <f t="shared" si="0"/>
        <v>0</v>
      </c>
      <c r="H44" s="89">
        <v>0</v>
      </c>
      <c r="I44" s="90">
        <v>0</v>
      </c>
      <c r="J44" s="90">
        <v>0</v>
      </c>
      <c r="K44" s="90">
        <v>0</v>
      </c>
      <c r="L44" s="90">
        <v>0</v>
      </c>
      <c r="M44" s="90">
        <v>0</v>
      </c>
      <c r="N44" s="90">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6">
        <v>0</v>
      </c>
      <c r="AM44" s="126">
        <v>0</v>
      </c>
      <c r="AN44" s="126">
        <v>0</v>
      </c>
      <c r="AO44" s="126">
        <v>0</v>
      </c>
      <c r="AP44" s="126">
        <v>0</v>
      </c>
      <c r="AQ44" s="126">
        <v>0</v>
      </c>
      <c r="AR44" s="126">
        <v>0</v>
      </c>
    </row>
    <row r="45" spans="1:44" x14ac:dyDescent="0.25">
      <c r="A45" s="116" t="s">
        <v>111</v>
      </c>
      <c r="B45" t="s">
        <v>112</v>
      </c>
      <c r="F45" s="10">
        <f>SUMIFS('EIA Net Generation'!$E:$E,'EIA Net Generation'!$B:$B,$B45,'EIA Net Generation'!$D:$D,"Total",'EIA Net Generation'!C:C,"Total Electric Power Industry")</f>
        <v>79057209</v>
      </c>
      <c r="G45" s="125" t="b">
        <f t="shared" si="0"/>
        <v>0</v>
      </c>
      <c r="H45" s="89">
        <v>0</v>
      </c>
      <c r="I45" s="90">
        <v>0</v>
      </c>
      <c r="J45" s="90">
        <v>0</v>
      </c>
      <c r="K45" s="90">
        <v>0</v>
      </c>
      <c r="L45" s="90">
        <v>0</v>
      </c>
      <c r="M45" s="90">
        <v>0</v>
      </c>
      <c r="N45" s="90">
        <v>0</v>
      </c>
      <c r="O45" s="126">
        <v>0</v>
      </c>
      <c r="P45" s="126">
        <v>0</v>
      </c>
      <c r="Q45" s="126">
        <v>0</v>
      </c>
      <c r="R45" s="126">
        <v>0</v>
      </c>
      <c r="S45" s="126">
        <v>0</v>
      </c>
      <c r="T45" s="126">
        <v>0</v>
      </c>
      <c r="U45" s="126">
        <v>0</v>
      </c>
      <c r="V45" s="126">
        <v>0</v>
      </c>
      <c r="W45" s="126">
        <v>0</v>
      </c>
      <c r="X45" s="126">
        <v>0</v>
      </c>
      <c r="Y45" s="126">
        <v>0</v>
      </c>
      <c r="Z45" s="126">
        <v>0</v>
      </c>
      <c r="AA45" s="126">
        <v>0</v>
      </c>
      <c r="AB45" s="126">
        <v>0</v>
      </c>
      <c r="AC45" s="126">
        <v>0</v>
      </c>
      <c r="AD45" s="126">
        <v>0</v>
      </c>
      <c r="AE45" s="126">
        <v>0</v>
      </c>
      <c r="AF45" s="126">
        <v>0</v>
      </c>
      <c r="AG45" s="126">
        <v>0</v>
      </c>
      <c r="AH45" s="126">
        <v>0</v>
      </c>
      <c r="AI45" s="126">
        <v>0</v>
      </c>
      <c r="AJ45" s="126">
        <v>0</v>
      </c>
      <c r="AK45" s="126">
        <v>0</v>
      </c>
      <c r="AL45" s="126">
        <v>0</v>
      </c>
      <c r="AM45" s="126">
        <v>0</v>
      </c>
      <c r="AN45" s="126">
        <v>0</v>
      </c>
      <c r="AO45" s="126">
        <v>0</v>
      </c>
      <c r="AP45" s="126">
        <v>0</v>
      </c>
      <c r="AQ45" s="126">
        <v>0</v>
      </c>
      <c r="AR45" s="126">
        <v>0</v>
      </c>
    </row>
    <row r="46" spans="1:44" ht="30" x14ac:dyDescent="0.25">
      <c r="A46" s="116" t="s">
        <v>114</v>
      </c>
      <c r="B46" t="s">
        <v>115</v>
      </c>
      <c r="C46" s="6" t="s">
        <v>206</v>
      </c>
      <c r="F46" s="10">
        <f>SUMIFS('EIA Net Generation'!$E:$E,'EIA Net Generation'!$B:$B,$B46,'EIA Net Generation'!$D:$D,"Total",'EIA Net Generation'!C:C,"Total Electric Power Industry")</f>
        <v>481844256</v>
      </c>
      <c r="G46" s="125" t="b">
        <f t="shared" si="0"/>
        <v>1</v>
      </c>
      <c r="H46" s="89">
        <v>0</v>
      </c>
      <c r="I46" s="123">
        <f>5580/'Extra State Data'!B38</f>
        <v>4.5678173527943088E-2</v>
      </c>
      <c r="J46" s="92">
        <f t="shared" ref="J46:R46" si="38">$I46+($S46-$I46)*(J$2-$I$2)/($S$2-$I$2)</f>
        <v>4.9296408778722808E-2</v>
      </c>
      <c r="K46" s="92">
        <f t="shared" si="38"/>
        <v>5.2914644029502529E-2</v>
      </c>
      <c r="L46" s="92">
        <f t="shared" si="38"/>
        <v>5.653287928028225E-2</v>
      </c>
      <c r="M46" s="92">
        <f t="shared" si="38"/>
        <v>6.0151114531061978E-2</v>
      </c>
      <c r="N46" s="92">
        <f t="shared" si="38"/>
        <v>6.3769349781841692E-2</v>
      </c>
      <c r="O46" s="128">
        <f t="shared" si="38"/>
        <v>6.7387585032621419E-2</v>
      </c>
      <c r="P46" s="128">
        <f t="shared" si="38"/>
        <v>7.1005820283401133E-2</v>
      </c>
      <c r="Q46" s="128">
        <f t="shared" si="38"/>
        <v>7.4624055534180861E-2</v>
      </c>
      <c r="R46" s="128">
        <f t="shared" si="38"/>
        <v>7.8242290784960589E-2</v>
      </c>
      <c r="S46" s="139">
        <f>10000/'Extra State Data'!B38</f>
        <v>8.1860526035740303E-2</v>
      </c>
      <c r="T46" s="128">
        <f t="shared" ref="T46:AR46" si="39">$S46</f>
        <v>8.1860526035740303E-2</v>
      </c>
      <c r="U46" s="128">
        <f t="shared" si="39"/>
        <v>8.1860526035740303E-2</v>
      </c>
      <c r="V46" s="128">
        <f t="shared" si="39"/>
        <v>8.1860526035740303E-2</v>
      </c>
      <c r="W46" s="128">
        <f t="shared" si="39"/>
        <v>8.1860526035740303E-2</v>
      </c>
      <c r="X46" s="128">
        <f t="shared" si="39"/>
        <v>8.1860526035740303E-2</v>
      </c>
      <c r="Y46" s="128">
        <f t="shared" si="39"/>
        <v>8.1860526035740303E-2</v>
      </c>
      <c r="Z46" s="128">
        <f t="shared" si="39"/>
        <v>8.1860526035740303E-2</v>
      </c>
      <c r="AA46" s="128">
        <f t="shared" si="39"/>
        <v>8.1860526035740303E-2</v>
      </c>
      <c r="AB46" s="128">
        <f t="shared" si="39"/>
        <v>8.1860526035740303E-2</v>
      </c>
      <c r="AC46" s="128">
        <f t="shared" si="39"/>
        <v>8.1860526035740303E-2</v>
      </c>
      <c r="AD46" s="128">
        <f t="shared" si="39"/>
        <v>8.1860526035740303E-2</v>
      </c>
      <c r="AE46" s="128">
        <f t="shared" si="39"/>
        <v>8.1860526035740303E-2</v>
      </c>
      <c r="AF46" s="128">
        <f t="shared" si="39"/>
        <v>8.1860526035740303E-2</v>
      </c>
      <c r="AG46" s="128">
        <f t="shared" si="39"/>
        <v>8.1860526035740303E-2</v>
      </c>
      <c r="AH46" s="128">
        <f t="shared" si="39"/>
        <v>8.1860526035740303E-2</v>
      </c>
      <c r="AI46" s="128">
        <f t="shared" si="39"/>
        <v>8.1860526035740303E-2</v>
      </c>
      <c r="AJ46" s="128">
        <f t="shared" si="39"/>
        <v>8.1860526035740303E-2</v>
      </c>
      <c r="AK46" s="128">
        <f t="shared" si="39"/>
        <v>8.1860526035740303E-2</v>
      </c>
      <c r="AL46" s="128">
        <f t="shared" si="39"/>
        <v>8.1860526035740303E-2</v>
      </c>
      <c r="AM46" s="128">
        <f t="shared" si="39"/>
        <v>8.1860526035740303E-2</v>
      </c>
      <c r="AN46" s="128">
        <f t="shared" si="39"/>
        <v>8.1860526035740303E-2</v>
      </c>
      <c r="AO46" s="128">
        <f t="shared" si="39"/>
        <v>8.1860526035740303E-2</v>
      </c>
      <c r="AP46" s="128">
        <f t="shared" si="39"/>
        <v>8.1860526035740303E-2</v>
      </c>
      <c r="AQ46" s="128">
        <f t="shared" si="39"/>
        <v>8.1860526035740303E-2</v>
      </c>
      <c r="AR46" s="128">
        <f t="shared" si="39"/>
        <v>8.1860526035740303E-2</v>
      </c>
    </row>
    <row r="47" spans="1:44" x14ac:dyDescent="0.25">
      <c r="A47" s="116" t="s">
        <v>116</v>
      </c>
      <c r="B47" t="s">
        <v>117</v>
      </c>
      <c r="C47" s="5"/>
      <c r="F47" s="10">
        <f>SUMIFS('EIA Net Generation'!$E:$E,'EIA Net Generation'!$B:$B,$B47,'EIA Net Generation'!$D:$D,"Total",'EIA Net Generation'!C:C,"Total Electric Power Industry")</f>
        <v>42565645</v>
      </c>
      <c r="G47" s="125" t="b">
        <f t="shared" si="0"/>
        <v>0</v>
      </c>
      <c r="H47" s="89">
        <v>0</v>
      </c>
      <c r="I47" s="90">
        <v>0</v>
      </c>
      <c r="J47" s="90">
        <v>0</v>
      </c>
      <c r="K47" s="90">
        <v>0</v>
      </c>
      <c r="L47" s="90">
        <v>0</v>
      </c>
      <c r="M47" s="90">
        <v>0</v>
      </c>
      <c r="N47" s="90">
        <v>0</v>
      </c>
      <c r="O47" s="126">
        <v>0</v>
      </c>
      <c r="P47" s="126">
        <v>0</v>
      </c>
      <c r="Q47" s="126">
        <v>0</v>
      </c>
      <c r="R47" s="126">
        <v>0</v>
      </c>
      <c r="S47" s="126">
        <v>0</v>
      </c>
      <c r="T47" s="126">
        <v>0</v>
      </c>
      <c r="U47" s="126">
        <v>0</v>
      </c>
      <c r="V47" s="126">
        <v>0</v>
      </c>
      <c r="W47" s="126">
        <v>0</v>
      </c>
      <c r="X47" s="126">
        <v>0</v>
      </c>
      <c r="Y47" s="126">
        <v>0</v>
      </c>
      <c r="Z47" s="126">
        <v>0</v>
      </c>
      <c r="AA47" s="126">
        <v>0</v>
      </c>
      <c r="AB47" s="126">
        <v>0</v>
      </c>
      <c r="AC47" s="126">
        <v>0</v>
      </c>
      <c r="AD47" s="126">
        <v>0</v>
      </c>
      <c r="AE47" s="126">
        <v>0</v>
      </c>
      <c r="AF47" s="126">
        <v>0</v>
      </c>
      <c r="AG47" s="126">
        <v>0</v>
      </c>
      <c r="AH47" s="126">
        <v>0</v>
      </c>
      <c r="AI47" s="126">
        <v>0</v>
      </c>
      <c r="AJ47" s="126">
        <v>0</v>
      </c>
      <c r="AK47" s="126">
        <v>0</v>
      </c>
      <c r="AL47" s="126">
        <v>0</v>
      </c>
      <c r="AM47" s="126">
        <v>0</v>
      </c>
      <c r="AN47" s="126">
        <v>0</v>
      </c>
      <c r="AO47" s="126">
        <v>0</v>
      </c>
      <c r="AP47" s="126">
        <v>0</v>
      </c>
      <c r="AQ47" s="126">
        <v>0</v>
      </c>
      <c r="AR47" s="126">
        <v>0</v>
      </c>
    </row>
    <row r="48" spans="1:44" ht="30" x14ac:dyDescent="0.25">
      <c r="A48" s="116" t="s">
        <v>119</v>
      </c>
      <c r="B48" t="s">
        <v>120</v>
      </c>
      <c r="C48" s="5" t="s">
        <v>207</v>
      </c>
      <c r="E48" s="6">
        <v>1</v>
      </c>
      <c r="F48" s="10">
        <f>SUMIFS('EIA Net Generation'!$E:$E,'EIA Net Generation'!$B:$B,$B48,'EIA Net Generation'!$D:$D,"Total",'EIA Net Generation'!C:C,"Total Electric Power Industry")</f>
        <v>2107703</v>
      </c>
      <c r="G48" s="125" t="b">
        <f t="shared" si="0"/>
        <v>1</v>
      </c>
      <c r="H48" s="89">
        <v>0</v>
      </c>
      <c r="I48" s="90">
        <v>0</v>
      </c>
      <c r="J48" s="90">
        <v>0</v>
      </c>
      <c r="K48" s="94">
        <v>0.55000000000000004</v>
      </c>
      <c r="L48" s="92">
        <f t="shared" ref="L48:Y48" si="40">$K48+($Z48-$K48)*(L$2-$K$2)/($Z$2-$K$2)</f>
        <v>0.56333333333333335</v>
      </c>
      <c r="M48" s="92">
        <f t="shared" si="40"/>
        <v>0.57666666666666666</v>
      </c>
      <c r="N48" s="92">
        <f t="shared" si="40"/>
        <v>0.59000000000000008</v>
      </c>
      <c r="O48" s="128">
        <f t="shared" si="40"/>
        <v>0.60333333333333339</v>
      </c>
      <c r="P48" s="128">
        <f t="shared" si="40"/>
        <v>0.6166666666666667</v>
      </c>
      <c r="Q48" s="128">
        <f t="shared" si="40"/>
        <v>0.63</v>
      </c>
      <c r="R48" s="128">
        <f t="shared" si="40"/>
        <v>0.64333333333333331</v>
      </c>
      <c r="S48" s="128">
        <f t="shared" si="40"/>
        <v>0.65666666666666673</v>
      </c>
      <c r="T48" s="128">
        <f t="shared" si="40"/>
        <v>0.67</v>
      </c>
      <c r="U48" s="128">
        <f t="shared" si="40"/>
        <v>0.68333333333333335</v>
      </c>
      <c r="V48" s="128">
        <f t="shared" si="40"/>
        <v>0.69666666666666666</v>
      </c>
      <c r="W48" s="128">
        <f t="shared" si="40"/>
        <v>0.71</v>
      </c>
      <c r="X48" s="128">
        <f t="shared" si="40"/>
        <v>0.72333333333333338</v>
      </c>
      <c r="Y48" s="128">
        <f t="shared" si="40"/>
        <v>0.73666666666666669</v>
      </c>
      <c r="Z48" s="131">
        <v>0.75</v>
      </c>
      <c r="AA48" s="126">
        <f t="shared" ref="AA48:AR48" si="41">$Z48</f>
        <v>0.75</v>
      </c>
      <c r="AB48" s="126">
        <f t="shared" si="41"/>
        <v>0.75</v>
      </c>
      <c r="AC48" s="126">
        <f t="shared" si="41"/>
        <v>0.75</v>
      </c>
      <c r="AD48" s="126">
        <f t="shared" si="41"/>
        <v>0.75</v>
      </c>
      <c r="AE48" s="126">
        <f t="shared" si="41"/>
        <v>0.75</v>
      </c>
      <c r="AF48" s="126">
        <f t="shared" si="41"/>
        <v>0.75</v>
      </c>
      <c r="AG48" s="126">
        <f t="shared" si="41"/>
        <v>0.75</v>
      </c>
      <c r="AH48" s="126">
        <f t="shared" si="41"/>
        <v>0.75</v>
      </c>
      <c r="AI48" s="126">
        <f t="shared" si="41"/>
        <v>0.75</v>
      </c>
      <c r="AJ48" s="126">
        <f t="shared" si="41"/>
        <v>0.75</v>
      </c>
      <c r="AK48" s="126">
        <f t="shared" si="41"/>
        <v>0.75</v>
      </c>
      <c r="AL48" s="126">
        <f t="shared" si="41"/>
        <v>0.75</v>
      </c>
      <c r="AM48" s="126">
        <f t="shared" si="41"/>
        <v>0.75</v>
      </c>
      <c r="AN48" s="126">
        <f t="shared" si="41"/>
        <v>0.75</v>
      </c>
      <c r="AO48" s="126">
        <f t="shared" si="41"/>
        <v>0.75</v>
      </c>
      <c r="AP48" s="126">
        <f t="shared" si="41"/>
        <v>0.75</v>
      </c>
      <c r="AQ48" s="126">
        <f t="shared" si="41"/>
        <v>0.75</v>
      </c>
      <c r="AR48" s="126">
        <f t="shared" si="41"/>
        <v>0.75</v>
      </c>
    </row>
    <row r="49" spans="1:44" ht="105" customHeight="1" x14ac:dyDescent="0.25">
      <c r="A49" s="116" t="s">
        <v>122</v>
      </c>
      <c r="B49" t="s">
        <v>123</v>
      </c>
      <c r="C49" s="5" t="s">
        <v>208</v>
      </c>
      <c r="D49" s="6">
        <v>1</v>
      </c>
      <c r="E49" s="6">
        <v>1</v>
      </c>
      <c r="F49" s="10">
        <f>SUMIFS('EIA Net Generation'!$E:$E,'EIA Net Generation'!$B:$B,$B49,'EIA Net Generation'!$D:$D,"Total",'EIA Net Generation'!C:C,"Total Electric Power Industry")</f>
        <v>93478182</v>
      </c>
      <c r="G49" s="125" t="b">
        <f t="shared" si="0"/>
        <v>1</v>
      </c>
      <c r="H49" s="89">
        <v>0</v>
      </c>
      <c r="I49" s="89">
        <v>0</v>
      </c>
      <c r="J49" s="89">
        <v>0</v>
      </c>
      <c r="K49" s="89">
        <v>0</v>
      </c>
      <c r="L49" s="89">
        <v>0</v>
      </c>
      <c r="M49" s="89">
        <v>0</v>
      </c>
      <c r="N49" s="90">
        <f>($S$49-$M$49)/COUNT($N$2:$S$2)+M49</f>
        <v>1.9339941160733124E-2</v>
      </c>
      <c r="O49" s="126">
        <f>($S$49-$M$49)/COUNT($N$2:$S$2)+N49</f>
        <v>3.8679882321466248E-2</v>
      </c>
      <c r="P49" s="126">
        <f>($S$49-$M$49)/COUNT($N$2:$S$2)+O49</f>
        <v>5.8019823482199376E-2</v>
      </c>
      <c r="Q49" s="126">
        <f>($S$49-$M$49)/COUNT($N$2:$S$2)+P49</f>
        <v>7.7359764642932496E-2</v>
      </c>
      <c r="R49" s="126">
        <f>($S$49-$M$49)/COUNT($N$2:$S$2)+Q49</f>
        <v>9.6699705803665617E-2</v>
      </c>
      <c r="S49" s="129">
        <f>0.14*'Extra State Data'!B65/'Extra State Data'!B66</f>
        <v>0.11603964696439875</v>
      </c>
      <c r="T49" s="126">
        <f>($X$49-$S$49)/COUNT($T$2:$X$2)+S49</f>
        <v>0.1425629948419756</v>
      </c>
      <c r="U49" s="126">
        <f>($X$49-$S$49)/COUNT($T$2:$X$2)+T49</f>
        <v>0.16908634271955245</v>
      </c>
      <c r="V49" s="126">
        <f>($X$49-$S$49)/COUNT($T$2:$X$2)+U49</f>
        <v>0.19560969059712929</v>
      </c>
      <c r="W49" s="126">
        <f>($X$49-$S$49)/COUNT($T$2:$X$2)+V49</f>
        <v>0.22213303847470614</v>
      </c>
      <c r="X49" s="129">
        <f>0.3*'Extra State Data'!B65/'Extra State Data'!B66</f>
        <v>0.24865638635228304</v>
      </c>
      <c r="Y49" s="126">
        <f t="shared" ref="Y49:AG49" si="42">($AH$49-$X$49)/COUNT($Y$2:$AH$2)+X49</f>
        <v>0.27766629809338272</v>
      </c>
      <c r="Z49" s="126">
        <f t="shared" si="42"/>
        <v>0.30667620983448241</v>
      </c>
      <c r="AA49" s="126">
        <f t="shared" si="42"/>
        <v>0.33568612157558209</v>
      </c>
      <c r="AB49" s="126">
        <f t="shared" si="42"/>
        <v>0.36469603331668177</v>
      </c>
      <c r="AC49" s="126">
        <f t="shared" si="42"/>
        <v>0.39370594505778145</v>
      </c>
      <c r="AD49" s="126">
        <f t="shared" si="42"/>
        <v>0.42271585679888113</v>
      </c>
      <c r="AE49" s="126">
        <f t="shared" si="42"/>
        <v>0.45172576853998081</v>
      </c>
      <c r="AF49" s="126">
        <f t="shared" si="42"/>
        <v>0.48073568028108049</v>
      </c>
      <c r="AG49" s="126">
        <f t="shared" si="42"/>
        <v>0.50974559202218017</v>
      </c>
      <c r="AH49" s="129">
        <f>0.65*'Extra State Data'!B65/'Extra State Data'!B66</f>
        <v>0.53875550376327985</v>
      </c>
      <c r="AI49" s="126">
        <f t="shared" ref="AI49:AQ49" si="43">($AR$49-$AH$49)/COUNT($AI$2:$AR$2)+AH49</f>
        <v>0.56776541550437953</v>
      </c>
      <c r="AJ49" s="126">
        <f t="shared" si="43"/>
        <v>0.59677532724547921</v>
      </c>
      <c r="AK49" s="126">
        <f t="shared" si="43"/>
        <v>0.6257852389865789</v>
      </c>
      <c r="AL49" s="126">
        <f t="shared" si="43"/>
        <v>0.65479515072767858</v>
      </c>
      <c r="AM49" s="126">
        <f t="shared" si="43"/>
        <v>0.68380506246877826</v>
      </c>
      <c r="AN49" s="126">
        <f t="shared" si="43"/>
        <v>0.71281497420987794</v>
      </c>
      <c r="AO49" s="126">
        <f t="shared" si="43"/>
        <v>0.74182488595097762</v>
      </c>
      <c r="AP49" s="126">
        <f t="shared" si="43"/>
        <v>0.7708347976920773</v>
      </c>
      <c r="AQ49" s="126">
        <f t="shared" si="43"/>
        <v>0.79984470943317698</v>
      </c>
      <c r="AR49" s="129">
        <f>1*'Extra State Data'!B65/'Extra State Data'!B66</f>
        <v>0.82885462117427677</v>
      </c>
    </row>
    <row r="50" spans="1:44" ht="60" customHeight="1" x14ac:dyDescent="0.25">
      <c r="A50" s="116" t="s">
        <v>125</v>
      </c>
      <c r="B50" t="s">
        <v>126</v>
      </c>
      <c r="C50" s="5" t="s">
        <v>209</v>
      </c>
      <c r="D50" s="6">
        <v>1</v>
      </c>
      <c r="E50" s="6">
        <v>1</v>
      </c>
      <c r="F50" s="10">
        <f>SUMIFS('EIA Net Generation'!$E:$E,'EIA Net Generation'!$B:$B,$B50,'EIA Net Generation'!$D:$D,"Total",'EIA Net Generation'!C:C,"Total Electric Power Industry")</f>
        <v>110808401</v>
      </c>
      <c r="G50" s="125" t="b">
        <f>SUM(O50:AR50)&gt;0</f>
        <v>1</v>
      </c>
      <c r="H50" s="121">
        <f>(0.03*2)*'Extra State Data'!$B$61/'Extra State Data'!$B$62</f>
        <v>5.0337282844775115E-2</v>
      </c>
      <c r="I50" s="92">
        <f>$H50+($J50-$H50)*(I$2-$H$2)/($J$2-$H$2)</f>
        <v>6.2921603555968889E-2</v>
      </c>
      <c r="J50" s="121">
        <f>0.09*'Extra State Data'!$B$61/'Extra State Data'!$B$62</f>
        <v>7.5505924267162669E-2</v>
      </c>
      <c r="K50" s="92">
        <f>$J50+($N50-$J50)*(K$2-$J$2)/($N$2-$J$2)</f>
        <v>8.809024497835645E-2</v>
      </c>
      <c r="L50" s="92">
        <f>$J50+($N50-$J50)*(L$2-$J$2)/($N$2-$J$2)</f>
        <v>0.10067456568955022</v>
      </c>
      <c r="M50" s="92">
        <f>$J50+($N50-$J50)*(M$2-$J$2)/($N$2-$J$2)</f>
        <v>0.113258886400744</v>
      </c>
      <c r="N50" s="121">
        <f>0.15*'Extra State Data'!$B$61/'Extra State Data'!$B$62</f>
        <v>0.12584320711193778</v>
      </c>
      <c r="O50" s="126">
        <f t="shared" ref="O50:AL50" si="44">($AM$50-$N$50)/COUNT($O$2:$AM$2)+N50</f>
        <v>0.15436766739064367</v>
      </c>
      <c r="P50" s="126">
        <f t="shared" si="44"/>
        <v>0.18289212766934956</v>
      </c>
      <c r="Q50" s="126">
        <f t="shared" si="44"/>
        <v>0.21141658794805546</v>
      </c>
      <c r="R50" s="126">
        <f t="shared" si="44"/>
        <v>0.23994104822676135</v>
      </c>
      <c r="S50" s="126">
        <f t="shared" si="44"/>
        <v>0.26846550850546724</v>
      </c>
      <c r="T50" s="126">
        <f t="shared" si="44"/>
        <v>0.29698996878417316</v>
      </c>
      <c r="U50" s="126">
        <f t="shared" si="44"/>
        <v>0.32551442906287908</v>
      </c>
      <c r="V50" s="126">
        <f t="shared" si="44"/>
        <v>0.35403888934158501</v>
      </c>
      <c r="W50" s="126">
        <f t="shared" si="44"/>
        <v>0.38256334962029093</v>
      </c>
      <c r="X50" s="126">
        <f t="shared" si="44"/>
        <v>0.41108780989899685</v>
      </c>
      <c r="Y50" s="126">
        <f t="shared" si="44"/>
        <v>0.43961227017770277</v>
      </c>
      <c r="Z50" s="126">
        <f t="shared" si="44"/>
        <v>0.46813673045640869</v>
      </c>
      <c r="AA50" s="126">
        <f t="shared" si="44"/>
        <v>0.49666119073511461</v>
      </c>
      <c r="AB50" s="126">
        <f t="shared" si="44"/>
        <v>0.52518565101382053</v>
      </c>
      <c r="AC50" s="126">
        <f t="shared" si="44"/>
        <v>0.55371011129252645</v>
      </c>
      <c r="AD50" s="126">
        <f t="shared" si="44"/>
        <v>0.58223457157123237</v>
      </c>
      <c r="AE50" s="126">
        <f t="shared" si="44"/>
        <v>0.61075903184993829</v>
      </c>
      <c r="AF50" s="126">
        <f t="shared" si="44"/>
        <v>0.63928349212864422</v>
      </c>
      <c r="AG50" s="126">
        <f t="shared" si="44"/>
        <v>0.66780795240735014</v>
      </c>
      <c r="AH50" s="126">
        <f t="shared" si="44"/>
        <v>0.69633241268605606</v>
      </c>
      <c r="AI50" s="126">
        <f t="shared" si="44"/>
        <v>0.72485687296476198</v>
      </c>
      <c r="AJ50" s="126">
        <f t="shared" si="44"/>
        <v>0.7533813332434679</v>
      </c>
      <c r="AK50" s="126">
        <f t="shared" si="44"/>
        <v>0.78190579352217382</v>
      </c>
      <c r="AL50" s="126">
        <f t="shared" si="44"/>
        <v>0.81043025380087974</v>
      </c>
      <c r="AM50" s="129">
        <f>1*'Extra State Data'!$B$61/'Extra State Data'!$B$62</f>
        <v>0.83895471407958522</v>
      </c>
      <c r="AN50" s="126">
        <f>AM50</f>
        <v>0.83895471407958522</v>
      </c>
      <c r="AO50" s="126">
        <f>AN50</f>
        <v>0.83895471407958522</v>
      </c>
      <c r="AP50" s="126">
        <f>AO50</f>
        <v>0.83895471407958522</v>
      </c>
      <c r="AQ50" s="126">
        <f>AP50</f>
        <v>0.83895471407958522</v>
      </c>
      <c r="AR50" s="126">
        <f>AQ50</f>
        <v>0.83895471407958522</v>
      </c>
    </row>
    <row r="51" spans="1:44" x14ac:dyDescent="0.25">
      <c r="A51" s="116" t="s">
        <v>128</v>
      </c>
      <c r="B51" t="s">
        <v>129</v>
      </c>
      <c r="F51" s="10">
        <f>SUMIFS('EIA Net Generation'!$E:$E,'EIA Net Generation'!$B:$B,$B51,'EIA Net Generation'!$D:$D,"Total",'EIA Net Generation'!C:C,"Total Electric Power Industry")</f>
        <v>65836063</v>
      </c>
      <c r="G51" s="125" t="b">
        <f t="shared" si="0"/>
        <v>0</v>
      </c>
      <c r="H51" s="89">
        <v>0</v>
      </c>
      <c r="I51" s="90">
        <v>0</v>
      </c>
      <c r="J51" s="90">
        <v>0</v>
      </c>
      <c r="K51" s="90">
        <v>0</v>
      </c>
      <c r="L51" s="90">
        <v>0</v>
      </c>
      <c r="M51" s="90">
        <v>0</v>
      </c>
      <c r="N51" s="90">
        <v>0</v>
      </c>
      <c r="O51" s="126">
        <v>0</v>
      </c>
      <c r="P51" s="126">
        <v>0</v>
      </c>
      <c r="Q51" s="126">
        <v>0</v>
      </c>
      <c r="R51" s="126">
        <v>0</v>
      </c>
      <c r="S51" s="126">
        <v>0</v>
      </c>
      <c r="T51" s="126">
        <v>0</v>
      </c>
      <c r="U51" s="126">
        <v>0</v>
      </c>
      <c r="V51" s="126">
        <v>0</v>
      </c>
      <c r="W51" s="126">
        <v>0</v>
      </c>
      <c r="X51" s="126">
        <v>0</v>
      </c>
      <c r="Y51" s="126">
        <v>0</v>
      </c>
      <c r="Z51" s="126">
        <v>0</v>
      </c>
      <c r="AA51" s="126">
        <v>0</v>
      </c>
      <c r="AB51" s="126">
        <v>0</v>
      </c>
      <c r="AC51" s="126">
        <v>0</v>
      </c>
      <c r="AD51" s="126">
        <v>0</v>
      </c>
      <c r="AE51" s="126">
        <v>0</v>
      </c>
      <c r="AF51" s="126">
        <v>0</v>
      </c>
      <c r="AG51" s="126">
        <v>0</v>
      </c>
      <c r="AH51" s="126">
        <v>0</v>
      </c>
      <c r="AI51" s="126">
        <v>0</v>
      </c>
      <c r="AJ51" s="126">
        <v>0</v>
      </c>
      <c r="AK51" s="126">
        <v>0</v>
      </c>
      <c r="AL51" s="126">
        <v>0</v>
      </c>
      <c r="AM51" s="126">
        <v>0</v>
      </c>
      <c r="AN51" s="126">
        <v>0</v>
      </c>
      <c r="AO51" s="126">
        <v>0</v>
      </c>
      <c r="AP51" s="126">
        <v>0</v>
      </c>
      <c r="AQ51" s="126">
        <v>0</v>
      </c>
      <c r="AR51" s="126">
        <v>0</v>
      </c>
    </row>
    <row r="52" spans="1:44" x14ac:dyDescent="0.25">
      <c r="A52" s="116" t="s">
        <v>131</v>
      </c>
      <c r="B52" t="s">
        <v>132</v>
      </c>
      <c r="C52" s="5" t="s">
        <v>210</v>
      </c>
      <c r="F52" s="10">
        <f>SUMIFS('EIA Net Generation'!$E:$E,'EIA Net Generation'!$B:$B,$B52,'EIA Net Generation'!$D:$D,"Total",'EIA Net Generation'!C:C,"Total Electric Power Industry")</f>
        <v>64276480</v>
      </c>
      <c r="G52" s="125" t="b">
        <f t="shared" si="0"/>
        <v>1</v>
      </c>
      <c r="H52" s="89">
        <v>0</v>
      </c>
      <c r="I52" s="94">
        <v>0.1</v>
      </c>
      <c r="J52" s="90">
        <f t="shared" ref="J52:AR52" si="45">$I52</f>
        <v>0.1</v>
      </c>
      <c r="K52" s="90">
        <f t="shared" si="45"/>
        <v>0.1</v>
      </c>
      <c r="L52" s="90">
        <f t="shared" si="45"/>
        <v>0.1</v>
      </c>
      <c r="M52" s="90">
        <f t="shared" si="45"/>
        <v>0.1</v>
      </c>
      <c r="N52" s="90">
        <f t="shared" si="45"/>
        <v>0.1</v>
      </c>
      <c r="O52" s="126">
        <f t="shared" si="45"/>
        <v>0.1</v>
      </c>
      <c r="P52" s="126">
        <f t="shared" si="45"/>
        <v>0.1</v>
      </c>
      <c r="Q52" s="126">
        <f t="shared" si="45"/>
        <v>0.1</v>
      </c>
      <c r="R52" s="126">
        <f t="shared" si="45"/>
        <v>0.1</v>
      </c>
      <c r="S52" s="126">
        <f t="shared" si="45"/>
        <v>0.1</v>
      </c>
      <c r="T52" s="126">
        <f t="shared" si="45"/>
        <v>0.1</v>
      </c>
      <c r="U52" s="126">
        <f t="shared" si="45"/>
        <v>0.1</v>
      </c>
      <c r="V52" s="126">
        <f t="shared" si="45"/>
        <v>0.1</v>
      </c>
      <c r="W52" s="126">
        <f t="shared" si="45"/>
        <v>0.1</v>
      </c>
      <c r="X52" s="126">
        <f t="shared" si="45"/>
        <v>0.1</v>
      </c>
      <c r="Y52" s="126">
        <f t="shared" si="45"/>
        <v>0.1</v>
      </c>
      <c r="Z52" s="126">
        <f t="shared" si="45"/>
        <v>0.1</v>
      </c>
      <c r="AA52" s="126">
        <f t="shared" si="45"/>
        <v>0.1</v>
      </c>
      <c r="AB52" s="126">
        <f t="shared" si="45"/>
        <v>0.1</v>
      </c>
      <c r="AC52" s="126">
        <f t="shared" si="45"/>
        <v>0.1</v>
      </c>
      <c r="AD52" s="126">
        <f t="shared" si="45"/>
        <v>0.1</v>
      </c>
      <c r="AE52" s="126">
        <f t="shared" si="45"/>
        <v>0.1</v>
      </c>
      <c r="AF52" s="126">
        <f t="shared" si="45"/>
        <v>0.1</v>
      </c>
      <c r="AG52" s="126">
        <f t="shared" si="45"/>
        <v>0.1</v>
      </c>
      <c r="AH52" s="126">
        <f t="shared" si="45"/>
        <v>0.1</v>
      </c>
      <c r="AI52" s="126">
        <f t="shared" si="45"/>
        <v>0.1</v>
      </c>
      <c r="AJ52" s="126">
        <f t="shared" si="45"/>
        <v>0.1</v>
      </c>
      <c r="AK52" s="126">
        <f t="shared" si="45"/>
        <v>0.1</v>
      </c>
      <c r="AL52" s="126">
        <f t="shared" si="45"/>
        <v>0.1</v>
      </c>
      <c r="AM52" s="126">
        <f t="shared" si="45"/>
        <v>0.1</v>
      </c>
      <c r="AN52" s="126">
        <f t="shared" si="45"/>
        <v>0.1</v>
      </c>
      <c r="AO52" s="126">
        <f t="shared" si="45"/>
        <v>0.1</v>
      </c>
      <c r="AP52" s="126">
        <f t="shared" si="45"/>
        <v>0.1</v>
      </c>
      <c r="AQ52" s="126">
        <f t="shared" si="45"/>
        <v>0.1</v>
      </c>
      <c r="AR52" s="126">
        <f t="shared" si="45"/>
        <v>0.1</v>
      </c>
    </row>
    <row r="53" spans="1:44" x14ac:dyDescent="0.25">
      <c r="A53" s="116" t="s">
        <v>134</v>
      </c>
      <c r="B53" t="s">
        <v>135</v>
      </c>
      <c r="F53" s="10">
        <f>SUMIFS('EIA Net Generation'!$E:$E,'EIA Net Generation'!$B:$B,$B53,'EIA Net Generation'!$D:$D,"Total",'EIA Net Generation'!C:C,"Total Electric Power Industry")</f>
        <v>43460744</v>
      </c>
      <c r="G53" s="125" t="b">
        <f>SUM(O53:AR53)&gt;0</f>
        <v>0</v>
      </c>
      <c r="H53" s="89">
        <v>0</v>
      </c>
      <c r="I53" s="90">
        <v>0</v>
      </c>
      <c r="J53" s="90">
        <v>0</v>
      </c>
      <c r="K53" s="90">
        <v>0</v>
      </c>
      <c r="L53" s="90">
        <v>0</v>
      </c>
      <c r="M53" s="90">
        <v>0</v>
      </c>
      <c r="N53" s="90">
        <v>0</v>
      </c>
      <c r="O53" s="126">
        <v>0</v>
      </c>
      <c r="P53" s="126">
        <v>0</v>
      </c>
      <c r="Q53" s="126">
        <v>0</v>
      </c>
      <c r="R53" s="126">
        <v>0</v>
      </c>
      <c r="S53" s="126">
        <v>0</v>
      </c>
      <c r="T53" s="126">
        <v>0</v>
      </c>
      <c r="U53" s="126">
        <v>0</v>
      </c>
      <c r="V53" s="126">
        <v>0</v>
      </c>
      <c r="W53" s="126">
        <v>0</v>
      </c>
      <c r="X53" s="126">
        <v>0</v>
      </c>
      <c r="Y53" s="126">
        <v>0</v>
      </c>
      <c r="Z53" s="126">
        <v>0</v>
      </c>
      <c r="AA53" s="126">
        <v>0</v>
      </c>
      <c r="AB53" s="126">
        <v>0</v>
      </c>
      <c r="AC53" s="126">
        <v>0</v>
      </c>
      <c r="AD53" s="126">
        <v>0</v>
      </c>
      <c r="AE53" s="126">
        <v>0</v>
      </c>
      <c r="AF53" s="126">
        <v>0</v>
      </c>
      <c r="AG53" s="126">
        <v>0</v>
      </c>
      <c r="AH53" s="126">
        <v>0</v>
      </c>
      <c r="AI53" s="126">
        <v>0</v>
      </c>
      <c r="AJ53" s="126">
        <v>0</v>
      </c>
      <c r="AK53" s="126">
        <v>0</v>
      </c>
      <c r="AL53" s="126">
        <v>0</v>
      </c>
      <c r="AM53" s="126">
        <v>0</v>
      </c>
      <c r="AN53" s="126">
        <v>0</v>
      </c>
      <c r="AO53" s="126">
        <v>0</v>
      </c>
      <c r="AP53" s="126">
        <v>0</v>
      </c>
      <c r="AQ53" s="126">
        <v>0</v>
      </c>
      <c r="AR53" s="126">
        <v>0</v>
      </c>
    </row>
    <row r="54" spans="1:44" x14ac:dyDescent="0.25">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x14ac:dyDescent="0.25">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sheetData>
  <conditionalFormatting sqref="A3:A10 A12:A53">
    <cfRule type="duplicateValues" dxfId="0" priority="3"/>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election activeCell="I5" sqref="I5"/>
    </sheetView>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0" t="s">
        <v>211</v>
      </c>
      <c r="B1" s="111"/>
      <c r="C1" s="111"/>
      <c r="D1" s="111"/>
      <c r="E1" s="111"/>
      <c r="F1" s="111"/>
      <c r="G1" s="111"/>
      <c r="H1" s="111"/>
      <c r="I1" s="111"/>
    </row>
    <row r="2" spans="1:9" ht="60" customHeight="1" x14ac:dyDescent="0.25">
      <c r="A2" s="20"/>
      <c r="B2" s="109" t="s">
        <v>212</v>
      </c>
      <c r="C2" s="109" t="s">
        <v>213</v>
      </c>
      <c r="D2" s="109" t="s">
        <v>214</v>
      </c>
      <c r="E2" s="109" t="s">
        <v>215</v>
      </c>
      <c r="F2" s="109" t="s">
        <v>216</v>
      </c>
      <c r="G2" s="20" t="s">
        <v>217</v>
      </c>
      <c r="H2" s="20" t="s">
        <v>218</v>
      </c>
      <c r="I2" s="20" t="s">
        <v>219</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184</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220</v>
      </c>
      <c r="B2" s="108">
        <f>'EIA 2017 ESRAP Table 10'!E982</f>
        <v>105527</v>
      </c>
      <c r="C2" s="20" t="s">
        <v>221</v>
      </c>
    </row>
    <row r="3" spans="1:38" x14ac:dyDescent="0.25">
      <c r="A3" t="s">
        <v>222</v>
      </c>
      <c r="B3" s="17">
        <f>SUMIFS('EIA 2017 ESRAP Table 10'!E:E,'EIA 2017 ESRAP Table 10'!B:B,"MN",'EIA 2017 ESRAP Table 10'!C:C,"Investor Owned")-B2</f>
        <v>41237685</v>
      </c>
      <c r="C3" t="s">
        <v>221</v>
      </c>
      <c r="D3">
        <f>B3/B4</f>
        <v>0.62309498863890822</v>
      </c>
    </row>
    <row r="4" spans="1:38" x14ac:dyDescent="0.25">
      <c r="A4" t="s">
        <v>223</v>
      </c>
      <c r="B4" s="17">
        <f>SUMIFS('EIA 2017 ESRAP Table 10'!E:E,'EIA 2017 ESRAP Table 10'!B:B,"MN")</f>
        <v>66182020</v>
      </c>
      <c r="C4" t="s">
        <v>221</v>
      </c>
    </row>
    <row r="5" spans="1:38" x14ac:dyDescent="0.25">
      <c r="A5" t="s">
        <v>224</v>
      </c>
      <c r="B5" s="17">
        <f>B4-SUM(B2:B3)</f>
        <v>24838808</v>
      </c>
      <c r="C5" t="s">
        <v>221</v>
      </c>
    </row>
    <row r="7" spans="1:38" x14ac:dyDescent="0.25">
      <c r="A7" s="4" t="s">
        <v>82</v>
      </c>
      <c r="B7" s="13"/>
      <c r="C7" s="13"/>
    </row>
    <row r="8" spans="1:38" x14ac:dyDescent="0.25">
      <c r="A8" t="s">
        <v>222</v>
      </c>
      <c r="B8" s="17">
        <f>SUMIFS('EIA 2017 ESRAP Table 10'!E:E,'EIA 2017 ESRAP Table 10'!B:B,"NM",'EIA 2017 ESRAP Table 10'!C:C,"Investor Owned")</f>
        <v>15808891</v>
      </c>
      <c r="C8" t="s">
        <v>221</v>
      </c>
    </row>
    <row r="9" spans="1:38" x14ac:dyDescent="0.25">
      <c r="A9" t="s">
        <v>225</v>
      </c>
      <c r="B9" s="17">
        <f>SUMIFS('EIA 2017 ESRAP Table 10'!E:E,'EIA 2017 ESRAP Table 10'!B:B,"NM",'EIA 2017 ESRAP Table 10'!C:C,"Cooperative")</f>
        <v>4875157</v>
      </c>
      <c r="C9" t="s">
        <v>221</v>
      </c>
    </row>
    <row r="10" spans="1:38" x14ac:dyDescent="0.25">
      <c r="A10" t="s">
        <v>223</v>
      </c>
      <c r="B10" s="17">
        <f>SUMIFS('EIA 2017 ESRAP Table 10'!E:E,'EIA 2017 ESRAP Table 10'!B:B,"NM")</f>
        <v>23156067</v>
      </c>
      <c r="C10" t="s">
        <v>221</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226</v>
      </c>
      <c r="B13" s="98">
        <v>0</v>
      </c>
      <c r="C13" s="99">
        <f>0.15*($B$8/$B$10)</f>
        <v>0.10240658096212971</v>
      </c>
      <c r="D13" s="98">
        <f>0.16*($B$8/$B$10)</f>
        <v>0.10923368635960502</v>
      </c>
      <c r="E13" s="98">
        <f>0.17*($B$8/$B$10)</f>
        <v>0.11606079175708034</v>
      </c>
      <c r="F13" s="98">
        <f>0.18*($B$8/$B$10)</f>
        <v>0.12288789715455564</v>
      </c>
      <c r="G13" s="98">
        <f>0.19*($B$8/$B$10)</f>
        <v>0.12971500255203097</v>
      </c>
      <c r="H13" s="99">
        <f>0.2*($B$8/$B$10)</f>
        <v>0.13654210794950628</v>
      </c>
      <c r="I13" s="98">
        <f>H13+(($M$13-$H$13)/5)</f>
        <v>0.16385052953940754</v>
      </c>
      <c r="J13" s="98">
        <f>I13+(($M$13-$H$13)/5)</f>
        <v>0.19115895112930881</v>
      </c>
      <c r="K13" s="98">
        <f>J13+(($M$13-$H$13)/5)</f>
        <v>0.21846737271921007</v>
      </c>
      <c r="L13" s="98">
        <f>K13+(($M$13-$H$13)/5)</f>
        <v>0.24577579430911134</v>
      </c>
      <c r="M13" s="99">
        <f>0.4*($B$8/$B$10)</f>
        <v>0.27308421589901255</v>
      </c>
      <c r="N13" s="98">
        <f>(($R$13-$M$13)/5)+M13</f>
        <v>0.28673842669396316</v>
      </c>
      <c r="O13" s="98">
        <f>(($R$13-$M$13)/5)+N13</f>
        <v>0.30039263748891376</v>
      </c>
      <c r="P13" s="98">
        <f>(($R$13-$M$13)/5)+O13</f>
        <v>0.31404684828386437</v>
      </c>
      <c r="Q13" s="98">
        <f>(($R$13-$M$13)/5)+P13</f>
        <v>0.32770105907881497</v>
      </c>
      <c r="R13" s="99">
        <f>0.5*($B$8/$B$10)</f>
        <v>0.34135526987376569</v>
      </c>
      <c r="S13" s="98">
        <f t="shared" ref="S13:AA13" si="0">R13+(($AB$13-$R$13)/10)</f>
        <v>0.36183658606619162</v>
      </c>
      <c r="T13" s="98">
        <f t="shared" si="0"/>
        <v>0.38231790225861756</v>
      </c>
      <c r="U13" s="98">
        <f t="shared" si="0"/>
        <v>0.40279921845104349</v>
      </c>
      <c r="V13" s="98">
        <f t="shared" si="0"/>
        <v>0.42328053464346943</v>
      </c>
      <c r="W13" s="98">
        <f t="shared" si="0"/>
        <v>0.44376185083589537</v>
      </c>
      <c r="X13" s="98">
        <f t="shared" si="0"/>
        <v>0.4642431670283213</v>
      </c>
      <c r="Y13" s="98">
        <f t="shared" si="0"/>
        <v>0.48472448322074724</v>
      </c>
      <c r="Z13" s="98">
        <f t="shared" si="0"/>
        <v>0.50520579941317323</v>
      </c>
      <c r="AA13" s="98">
        <f t="shared" si="0"/>
        <v>0.52568711560559922</v>
      </c>
      <c r="AB13" s="99">
        <f>0.8*($B$8/$B$10)</f>
        <v>0.5461684317980251</v>
      </c>
      <c r="AC13" s="98">
        <f>($AG$13-$R$13)/COUNT('RPS by State'!$Y$2:$AM$2)+AB13</f>
        <v>0.56892544978960946</v>
      </c>
      <c r="AD13" s="98">
        <f>($AG$13-$R$13)/COUNT('RPS by State'!$Y$2:$AM$2)+AC13</f>
        <v>0.59168246778119382</v>
      </c>
      <c r="AE13" s="98">
        <f>($AG$13-$R$13)/COUNT('RPS by State'!$Y$2:$AM$2)+AD13</f>
        <v>0.61443948577277818</v>
      </c>
      <c r="AF13" s="98">
        <f>($AG$13-$R$13)/COUNT('RPS by State'!$Y$2:$AM$2)+AE13</f>
        <v>0.63719650376436254</v>
      </c>
      <c r="AG13" s="99">
        <f>1*(B8/B10)</f>
        <v>0.68271053974753138</v>
      </c>
      <c r="AH13" s="98">
        <f t="shared" ref="AH13:AL14" si="1">AG13</f>
        <v>0.68271053974753138</v>
      </c>
      <c r="AI13" s="98">
        <f t="shared" si="1"/>
        <v>0.68271053974753138</v>
      </c>
      <c r="AJ13" s="98">
        <f t="shared" si="1"/>
        <v>0.68271053974753138</v>
      </c>
      <c r="AK13" s="98">
        <f t="shared" si="1"/>
        <v>0.68271053974753138</v>
      </c>
      <c r="AL13" s="98">
        <f t="shared" si="1"/>
        <v>0.68271053974753138</v>
      </c>
    </row>
    <row r="14" spans="1:38" x14ac:dyDescent="0.25">
      <c r="A14" t="s">
        <v>227</v>
      </c>
      <c r="B14" s="98">
        <v>0</v>
      </c>
      <c r="C14" s="98">
        <f>0.05*(B9/B10)</f>
        <v>1.0526737981886129E-2</v>
      </c>
      <c r="D14" s="98">
        <f>0.06*(B9/B10)</f>
        <v>1.2632085578263355E-2</v>
      </c>
      <c r="E14" s="98">
        <f>0.07*(B9/B10)</f>
        <v>1.4737433174640583E-2</v>
      </c>
      <c r="F14" s="98">
        <f>0.08*(B9/B10)</f>
        <v>1.6842780771017807E-2</v>
      </c>
      <c r="G14" s="98">
        <f>0.09*(B9/B10)</f>
        <v>1.8948128367395033E-2</v>
      </c>
      <c r="H14" s="98">
        <f>($R$14-$G$14)/COUNT('RPS by State'!$N$2:$X$2)+G14</f>
        <v>2.6795333044801056E-2</v>
      </c>
      <c r="I14" s="98">
        <f>(($M$14-$H$14)/5)+H14</f>
        <v>3.8279047206858652E-2</v>
      </c>
      <c r="J14" s="98">
        <f>(($M$14-$H$14)/5)+I14</f>
        <v>4.9762761368916247E-2</v>
      </c>
      <c r="K14" s="98">
        <f>(($M$14-$H$14)/5)+J14</f>
        <v>6.1246475530973843E-2</v>
      </c>
      <c r="L14" s="98">
        <f>(($M$14-$H$14)/5)+K14</f>
        <v>7.2730189693031438E-2</v>
      </c>
      <c r="M14" s="99">
        <f>0.4*($B$9/$B$10)</f>
        <v>8.4213903855089034E-2</v>
      </c>
      <c r="N14" s="98">
        <f>(($R$14-$M$14)/5)+M14</f>
        <v>8.8424599047843486E-2</v>
      </c>
      <c r="O14" s="98">
        <f>(($R$14-$M$14)/5)+N14</f>
        <v>9.2635294240597937E-2</v>
      </c>
      <c r="P14" s="98">
        <f>(($R$14-$M$14)/5)+O14</f>
        <v>9.6845989433352389E-2</v>
      </c>
      <c r="Q14" s="98">
        <f>(($R$14-$M$14)/5)+P14</f>
        <v>0.10105668462610684</v>
      </c>
      <c r="R14" s="99">
        <f>0.5*($B$9/$B$10)</f>
        <v>0.10526737981886129</v>
      </c>
      <c r="S14" s="98">
        <f t="shared" ref="S14:AG14" si="2">R14</f>
        <v>0.10526737981886129</v>
      </c>
      <c r="T14" s="98">
        <f t="shared" si="2"/>
        <v>0.10526737981886129</v>
      </c>
      <c r="U14" s="98">
        <f t="shared" si="2"/>
        <v>0.10526737981886129</v>
      </c>
      <c r="V14" s="98">
        <f t="shared" si="2"/>
        <v>0.10526737981886129</v>
      </c>
      <c r="W14" s="98">
        <f t="shared" si="2"/>
        <v>0.10526737981886129</v>
      </c>
      <c r="X14" s="98">
        <f t="shared" si="2"/>
        <v>0.10526737981886129</v>
      </c>
      <c r="Y14" s="98">
        <f t="shared" si="2"/>
        <v>0.10526737981886129</v>
      </c>
      <c r="Z14" s="98">
        <f t="shared" si="2"/>
        <v>0.10526737981886129</v>
      </c>
      <c r="AA14" s="98">
        <f t="shared" si="2"/>
        <v>0.10526737981886129</v>
      </c>
      <c r="AB14" s="98">
        <f t="shared" si="2"/>
        <v>0.10526737981886129</v>
      </c>
      <c r="AC14" s="98">
        <f t="shared" si="2"/>
        <v>0.10526737981886129</v>
      </c>
      <c r="AD14" s="98">
        <f t="shared" si="2"/>
        <v>0.10526737981886129</v>
      </c>
      <c r="AE14" s="98">
        <f t="shared" si="2"/>
        <v>0.10526737981886129</v>
      </c>
      <c r="AF14" s="98">
        <f t="shared" si="2"/>
        <v>0.10526737981886129</v>
      </c>
      <c r="AG14" s="98">
        <f t="shared" si="2"/>
        <v>0.10526737981886129</v>
      </c>
      <c r="AH14" s="98">
        <f t="shared" si="1"/>
        <v>0.10526737981886129</v>
      </c>
      <c r="AI14" s="98">
        <f t="shared" si="1"/>
        <v>0.10526737981886129</v>
      </c>
      <c r="AJ14" s="98">
        <f t="shared" si="1"/>
        <v>0.10526737981886129</v>
      </c>
      <c r="AK14" s="98">
        <f t="shared" si="1"/>
        <v>0.10526737981886129</v>
      </c>
      <c r="AL14" s="98">
        <f t="shared" si="1"/>
        <v>0.10526737981886129</v>
      </c>
    </row>
    <row r="16" spans="1:38" x14ac:dyDescent="0.25">
      <c r="A16" s="4" t="s">
        <v>88</v>
      </c>
      <c r="B16" s="13"/>
      <c r="C16" s="13"/>
    </row>
    <row r="17" spans="1:3" x14ac:dyDescent="0.25">
      <c r="A17" t="s">
        <v>222</v>
      </c>
      <c r="B17">
        <f>SUMIFS('EIA 2017 ESRAP Table 10'!E:E,'EIA 2017 ESRAP Table 10'!B:B,"NC",'EIA 2017 ESRAP Table 10'!C:C,"Investor Owned")</f>
        <v>97484168</v>
      </c>
      <c r="C17" t="s">
        <v>221</v>
      </c>
    </row>
    <row r="18" spans="1:3" x14ac:dyDescent="0.25">
      <c r="A18" t="s">
        <v>225</v>
      </c>
      <c r="B18">
        <f>SUMIFS('EIA 2017 ESRAP Table 10'!E:E,'EIA 2017 ESRAP Table 10'!B:B,"NC",'EIA 2017 ESRAP Table 10'!C:C,"Cooperative")</f>
        <v>18158845</v>
      </c>
      <c r="C18" t="s">
        <v>221</v>
      </c>
    </row>
    <row r="19" spans="1:3" x14ac:dyDescent="0.25">
      <c r="A19" t="s">
        <v>228</v>
      </c>
      <c r="B19">
        <f>SUMIFS('EIA 2017 ESRAP Table 10'!E:E,'EIA 2017 ESRAP Table 10'!B:B,"NC",'EIA 2017 ESRAP Table 10'!C:C,"Municipal")</f>
        <v>14386063</v>
      </c>
      <c r="C19" t="s">
        <v>221</v>
      </c>
    </row>
    <row r="21" spans="1:3" x14ac:dyDescent="0.25">
      <c r="A21" s="4" t="s">
        <v>1</v>
      </c>
      <c r="B21" s="13"/>
      <c r="C21" s="13"/>
    </row>
    <row r="22" spans="1:3" x14ac:dyDescent="0.25">
      <c r="A22" t="s">
        <v>222</v>
      </c>
      <c r="B22">
        <f>SUMIFS('EIA 2017 ESRAP Table 10'!E:E,'EIA 2017 ESRAP Table 10'!B:B,"CO",'EIA 2017 ESRAP Table 10'!C:C,"Investor Owned")</f>
        <v>30530047</v>
      </c>
      <c r="C22" t="s">
        <v>221</v>
      </c>
    </row>
    <row r="23" spans="1:3" x14ac:dyDescent="0.25">
      <c r="A23" t="s">
        <v>225</v>
      </c>
      <c r="B23">
        <f>SUMIFS('EIA 2017 ESRAP Table 10'!E:E,'EIA 2017 ESRAP Table 10'!B:B,"CO",'EIA 2017 ESRAP Table 10'!C:C,"Cooperative")</f>
        <v>14946879</v>
      </c>
      <c r="C23" t="s">
        <v>221</v>
      </c>
    </row>
    <row r="24" spans="1:3" x14ac:dyDescent="0.25">
      <c r="A24" t="s">
        <v>228</v>
      </c>
      <c r="B24">
        <f>SUMIFS('EIA 2017 ESRAP Table 10'!E:E,'EIA 2017 ESRAP Table 10'!B:B,"CO",'EIA 2017 ESRAP Table 10'!C:C,"Municipal")</f>
        <v>8416808</v>
      </c>
      <c r="C24" t="s">
        <v>221</v>
      </c>
    </row>
    <row r="25" spans="1:3" x14ac:dyDescent="0.25">
      <c r="A25" t="s">
        <v>229</v>
      </c>
      <c r="B25">
        <f>SUMIFS('EIA 2017 ESRAP Table 10'!E:E,'EIA 2017 ESRAP Table 10'!B:B,"CO",'EIA 2017 ESRAP Table 10'!D:D,"&gt;500000")</f>
        <v>28628812</v>
      </c>
      <c r="C25" t="s">
        <v>221</v>
      </c>
    </row>
    <row r="26" spans="1:3" x14ac:dyDescent="0.25">
      <c r="A26" t="s">
        <v>230</v>
      </c>
      <c r="B26">
        <f>SUMIFS('EIA 2017 ESRAP Table 10'!E:E,'EIA 2017 ESRAP Table 10'!B:B,"CO")</f>
        <v>54663591</v>
      </c>
      <c r="C26" t="s">
        <v>221</v>
      </c>
    </row>
    <row r="28" spans="1:3" x14ac:dyDescent="0.25">
      <c r="A28" s="4" t="s">
        <v>97</v>
      </c>
      <c r="B28" s="13"/>
      <c r="C28" s="13"/>
    </row>
    <row r="29" spans="1:3" x14ac:dyDescent="0.25">
      <c r="A29" t="s">
        <v>223</v>
      </c>
      <c r="B29">
        <f>SUMIFS('EIA 2017 ESRAP Table 10'!E:E,'EIA 2017 ESRAP Table 10'!B:B,"OR")</f>
        <v>47638667</v>
      </c>
      <c r="C29" t="s">
        <v>221</v>
      </c>
    </row>
    <row r="30" spans="1:3" x14ac:dyDescent="0.25">
      <c r="A30" t="s">
        <v>231</v>
      </c>
      <c r="B30">
        <f>0.03*B29</f>
        <v>1429160.01</v>
      </c>
      <c r="C30" t="s">
        <v>221</v>
      </c>
    </row>
    <row r="31" spans="1:3" x14ac:dyDescent="0.25">
      <c r="A31" t="s">
        <v>232</v>
      </c>
      <c r="B31" s="14">
        <f>0.015*B29</f>
        <v>714580.005</v>
      </c>
      <c r="C31" t="s">
        <v>221</v>
      </c>
    </row>
    <row r="32" spans="1:3" x14ac:dyDescent="0.25">
      <c r="A32" t="s">
        <v>233</v>
      </c>
      <c r="B32">
        <f>SUMIFS('EIA 2017 ESRAP Table 10'!E:E,'EIA 2017 ESRAP Table 10'!B:B,"OR",'EIA 2017 ESRAP Table 10'!E:E,"&gt;"&amp;B30,'EIA 2017 ESRAP Table 10'!C:C,"Investor Owned")</f>
        <v>30954562</v>
      </c>
      <c r="C32" t="s">
        <v>221</v>
      </c>
    </row>
    <row r="33" spans="1:3" x14ac:dyDescent="0.25">
      <c r="A33" t="s">
        <v>234</v>
      </c>
      <c r="B33">
        <f>SUMIFS('EIA 2017 ESRAP Table 10'!E:E,'EIA 2017 ESRAP Table 10'!B:B,"OR",'EIA 2017 ESRAP Table 10'!E:E,"&gt;"&amp;B30)-B32</f>
        <v>4585668</v>
      </c>
      <c r="C33" t="s">
        <v>221</v>
      </c>
    </row>
    <row r="34" spans="1:3" x14ac:dyDescent="0.25">
      <c r="A34" t="s">
        <v>235</v>
      </c>
      <c r="B34">
        <f>SUMIFS('EIA 2017 ESRAP Table 10'!E:E,'EIA 2017 ESRAP Table 10'!B:B,"OR",'EIA 2017 ESRAP Table 10'!E:E,"&lt;"&amp;B30,'EIA 2017 ESRAP Table 10'!E:E,"&gt;"&amp;B31)</f>
        <v>4004513</v>
      </c>
      <c r="C34" t="s">
        <v>221</v>
      </c>
    </row>
    <row r="35" spans="1:3" x14ac:dyDescent="0.25">
      <c r="A35" t="s">
        <v>236</v>
      </c>
      <c r="B35">
        <f>SUMIFS('EIA 2017 ESRAP Table 10'!E:E,'EIA 2017 ESRAP Table 10'!B:B,"OR",'EIA 2017 ESRAP Table 10'!E:E,"&lt;"&amp;B31)</f>
        <v>8093924</v>
      </c>
      <c r="C35" t="s">
        <v>221</v>
      </c>
    </row>
    <row r="37" spans="1:3" x14ac:dyDescent="0.25">
      <c r="A37" s="4" t="s">
        <v>114</v>
      </c>
      <c r="B37" s="13"/>
      <c r="C37" s="13"/>
    </row>
    <row r="38" spans="1:3" x14ac:dyDescent="0.25">
      <c r="A38" t="s">
        <v>237</v>
      </c>
      <c r="B38">
        <v>122159</v>
      </c>
      <c r="C38" t="s">
        <v>238</v>
      </c>
    </row>
    <row r="40" spans="1:3" x14ac:dyDescent="0.25">
      <c r="A40" s="4" t="s">
        <v>66</v>
      </c>
      <c r="B40" s="4"/>
      <c r="C40" s="4"/>
    </row>
    <row r="41" spans="1:3" x14ac:dyDescent="0.25">
      <c r="A41" t="s">
        <v>222</v>
      </c>
      <c r="B41">
        <f>SUMIFS('EIA 2017 ESRAP Table 10'!E:E,'EIA 2017 ESRAP Table 10'!B:B,"MO",'EIA 2017 ESRAP Table 10'!C:$C,"Investor Owned")</f>
        <v>51794738</v>
      </c>
      <c r="C41" t="s">
        <v>221</v>
      </c>
    </row>
    <row r="42" spans="1:3" x14ac:dyDescent="0.25">
      <c r="A42" t="s">
        <v>223</v>
      </c>
      <c r="B42">
        <f>SUMIF('EIA 2017 ESRAP Table 10'!B:B,"MO",'EIA 2017 ESRAP Table 10'!E:E)</f>
        <v>76461419</v>
      </c>
      <c r="C42" t="s">
        <v>221</v>
      </c>
    </row>
    <row r="43" spans="1:3" x14ac:dyDescent="0.25">
      <c r="A43" t="s">
        <v>224</v>
      </c>
      <c r="B43">
        <f>B42-B41</f>
        <v>24666681</v>
      </c>
      <c r="C43" t="s">
        <v>221</v>
      </c>
    </row>
    <row r="45" spans="1:3" x14ac:dyDescent="0.25">
      <c r="A45" s="4" t="s">
        <v>74</v>
      </c>
      <c r="B45" s="4"/>
      <c r="C45" s="4"/>
    </row>
    <row r="46" spans="1:3" x14ac:dyDescent="0.25">
      <c r="A46" t="s">
        <v>222</v>
      </c>
      <c r="B46">
        <f>SUMIFS('EIA 2017 ESRAP Table 10'!E:E,'EIA 2017 ESRAP Table 10'!B:B,"NV",'EIA 2017 ESRAP Table 10'!C:C,"Investor Owned")</f>
        <v>29208093</v>
      </c>
      <c r="C46" t="s">
        <v>221</v>
      </c>
    </row>
    <row r="47" spans="1:3" x14ac:dyDescent="0.25">
      <c r="A47" t="s">
        <v>223</v>
      </c>
      <c r="B47">
        <f>SUMIF('EIA 2017 ESRAP Table 10'!B:B,"NV",'EIA 2017 ESRAP Table 10'!E:E)</f>
        <v>32857381</v>
      </c>
      <c r="C47" t="s">
        <v>221</v>
      </c>
    </row>
    <row r="48" spans="1:3" x14ac:dyDescent="0.25">
      <c r="A48" t="s">
        <v>224</v>
      </c>
      <c r="B48">
        <f>B47-B46</f>
        <v>3649288</v>
      </c>
      <c r="C48" t="s">
        <v>221</v>
      </c>
    </row>
    <row r="50" spans="1:3" x14ac:dyDescent="0.25">
      <c r="A50" s="4" t="s">
        <v>77</v>
      </c>
      <c r="B50" s="4"/>
      <c r="C50" s="4"/>
    </row>
    <row r="51" spans="1:3" x14ac:dyDescent="0.25">
      <c r="A51" t="s">
        <v>239</v>
      </c>
      <c r="B51">
        <f>SUMIFS('EIA 2017 ESRAP Table 10'!E:E,'EIA 2017 ESRAP Table 10'!B:B,"NH",'EIA 2017 ESRAP Table 10'!C:C,"Investor Owned")</f>
        <v>4283963</v>
      </c>
      <c r="C51" t="s">
        <v>221</v>
      </c>
    </row>
    <row r="52" spans="1:3" x14ac:dyDescent="0.25">
      <c r="A52" t="s">
        <v>240</v>
      </c>
      <c r="B52">
        <f>SUMIFS('EIA 2017 ESRAP Table 10'!E:E,'EIA 2017 ESRAP Table 10'!B:B,"NH",'EIA 2017 ESRAP Table 10'!C:C,"Cooperative")</f>
        <v>634917</v>
      </c>
      <c r="C52" t="s">
        <v>221</v>
      </c>
    </row>
    <row r="53" spans="1:3" x14ac:dyDescent="0.25">
      <c r="A53" t="s">
        <v>223</v>
      </c>
      <c r="B53">
        <f>SUMIF('EIA 2017 ESRAP Table 10'!B:B,"NH",'EIA 2017 ESRAP Table 10'!E:E)</f>
        <v>5224252</v>
      </c>
      <c r="C53" t="s">
        <v>221</v>
      </c>
    </row>
    <row r="55" spans="1:3" x14ac:dyDescent="0.25">
      <c r="A55" s="4" t="s">
        <v>93</v>
      </c>
      <c r="B55" s="4"/>
      <c r="C55" s="4"/>
    </row>
    <row r="56" spans="1:3" x14ac:dyDescent="0.25">
      <c r="A56" t="s">
        <v>222</v>
      </c>
      <c r="B56">
        <f>SUMIFS('EIA 2017 ESRAP Table 10'!E:E,'EIA 2017 ESRAP Table 10'!B:B,"OH",'EIA 2017 ESRAP Table 10'!C:C,"Investor Owned")</f>
        <v>27087283</v>
      </c>
      <c r="C56" t="s">
        <v>221</v>
      </c>
    </row>
    <row r="57" spans="1:3" x14ac:dyDescent="0.25">
      <c r="A57" t="s">
        <v>223</v>
      </c>
      <c r="B57">
        <f>SUMIF('EIA 2017 ESRAP Table 10'!B:B,"OH",'EIA 2017 ESRAP Table 10'!E:E)</f>
        <v>46636620</v>
      </c>
      <c r="C57" t="s">
        <v>221</v>
      </c>
    </row>
    <row r="58" spans="1:3" x14ac:dyDescent="0.25">
      <c r="A58" t="s">
        <v>224</v>
      </c>
      <c r="B58">
        <f>B57-B56</f>
        <v>19549337</v>
      </c>
      <c r="C58" t="s">
        <v>221</v>
      </c>
    </row>
    <row r="60" spans="1:3" x14ac:dyDescent="0.25">
      <c r="A60" s="4" t="s">
        <v>125</v>
      </c>
      <c r="B60" s="4"/>
      <c r="C60" s="4"/>
    </row>
    <row r="61" spans="1:3" x14ac:dyDescent="0.25">
      <c r="A61" t="s">
        <v>241</v>
      </c>
      <c r="B61">
        <f>SUMIFS('EIA 2017 ESRAP Table 10'!E:E,'EIA 2017 ESRAP Table 10'!B:B,"WA",'EIA 2017 ESRAP Table 10'!D:D,"&gt;25000")</f>
        <v>75581327</v>
      </c>
      <c r="C61" t="s">
        <v>221</v>
      </c>
    </row>
    <row r="62" spans="1:3" x14ac:dyDescent="0.25">
      <c r="A62" t="s">
        <v>223</v>
      </c>
      <c r="B62">
        <f>SUMIF('EIA 2017 ESRAP Table 10'!B:B,"WA",'EIA 2017 ESRAP Table 10'!E:E)</f>
        <v>90089877</v>
      </c>
      <c r="C62" t="s">
        <v>221</v>
      </c>
    </row>
    <row r="64" spans="1:3" x14ac:dyDescent="0.25">
      <c r="A64" s="4" t="s">
        <v>122</v>
      </c>
      <c r="B64" s="4"/>
      <c r="C64" s="4"/>
    </row>
    <row r="65" spans="1:3" x14ac:dyDescent="0.25">
      <c r="A65" t="s">
        <v>222</v>
      </c>
      <c r="B65">
        <f>SUMIFS('EIA 2017 ESRAP Table 10'!E:E,'EIA 2017 ESRAP Table 10'!B:B,"VA",'EIA 2017 ESRAP Table 10'!C:C,"Investor Owned")</f>
        <v>92068151</v>
      </c>
      <c r="C65" t="s">
        <v>221</v>
      </c>
    </row>
    <row r="66" spans="1:3" x14ac:dyDescent="0.25">
      <c r="A66" t="s">
        <v>223</v>
      </c>
      <c r="B66">
        <f>SUMIF('EIA 2017 ESRAP Table 10'!B:B,"VA",'EIA 2017 ESRAP Table 10'!E:E)</f>
        <v>111078769</v>
      </c>
      <c r="C66" t="s">
        <v>221</v>
      </c>
    </row>
    <row r="67" spans="1:3" x14ac:dyDescent="0.25">
      <c r="A67" t="s">
        <v>224</v>
      </c>
      <c r="B67">
        <f>B66-B65</f>
        <v>19010618</v>
      </c>
      <c r="C67" t="s">
        <v>221</v>
      </c>
    </row>
    <row r="69" spans="1:3" x14ac:dyDescent="0.25">
      <c r="A69" s="4" t="s">
        <v>14</v>
      </c>
      <c r="B69" s="4"/>
      <c r="C69" s="4"/>
    </row>
    <row r="70" spans="1:3" x14ac:dyDescent="0.25">
      <c r="A70" t="s">
        <v>222</v>
      </c>
      <c r="B70">
        <f>SUMIFS('EIA 2017 ESRAP Table 10'!E:E,'EIA 2017 ESRAP Table 10'!B:B,"CA",'EIA 2017 ESRAP Table 10'!C:C,"Investor Owned")</f>
        <v>151104351</v>
      </c>
      <c r="C70" t="s">
        <v>221</v>
      </c>
    </row>
    <row r="71" spans="1:3" x14ac:dyDescent="0.25">
      <c r="A71" t="s">
        <v>242</v>
      </c>
      <c r="B71">
        <f>SUMIFS('EIA 2017 ESRAP Table 10'!E:E,'EIA 2017 ESRAP Table 10'!B:B,"CA",'EIA 2017 ESRAP Table 10'!C:C,"Municipal")</f>
        <v>41532599</v>
      </c>
      <c r="C71" t="s">
        <v>221</v>
      </c>
    </row>
    <row r="72" spans="1:3" x14ac:dyDescent="0.25">
      <c r="A72" t="s">
        <v>223</v>
      </c>
      <c r="B72">
        <f>SUMIF('EIA 2017 ESRAP Table 10'!B:B,"CA",'EIA 2017 ESRAP Table 10'!E:E)</f>
        <v>219016574</v>
      </c>
      <c r="C72" t="s">
        <v>221</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5" customFormat="1" ht="51.75" customHeight="1" x14ac:dyDescent="0.25">
      <c r="A1" s="143" t="s">
        <v>243</v>
      </c>
      <c r="B1" s="144"/>
      <c r="C1" s="144"/>
      <c r="D1" s="107"/>
      <c r="E1" s="106"/>
    </row>
    <row r="2" spans="1:5" s="34" customFormat="1" ht="25.5" customHeight="1" x14ac:dyDescent="0.2">
      <c r="A2" s="32" t="s">
        <v>244</v>
      </c>
      <c r="B2" s="32" t="s">
        <v>245</v>
      </c>
      <c r="C2" s="32" t="s">
        <v>246</v>
      </c>
      <c r="D2" s="32" t="s">
        <v>247</v>
      </c>
      <c r="E2" s="33" t="s">
        <v>248</v>
      </c>
    </row>
    <row r="3" spans="1:5" x14ac:dyDescent="0.2">
      <c r="A3" s="35">
        <v>2021</v>
      </c>
      <c r="B3" s="36" t="s">
        <v>6</v>
      </c>
      <c r="C3" s="37" t="s">
        <v>249</v>
      </c>
      <c r="D3" s="37" t="s">
        <v>230</v>
      </c>
      <c r="E3" s="38">
        <v>6595818</v>
      </c>
    </row>
    <row r="4" spans="1:5" x14ac:dyDescent="0.2">
      <c r="A4" s="35">
        <v>2021</v>
      </c>
      <c r="B4" s="36" t="s">
        <v>6</v>
      </c>
      <c r="C4" s="37" t="s">
        <v>249</v>
      </c>
      <c r="D4" s="37" t="s">
        <v>250</v>
      </c>
      <c r="E4" s="38">
        <v>752894</v>
      </c>
    </row>
    <row r="5" spans="1:5" x14ac:dyDescent="0.2">
      <c r="A5" s="35">
        <v>2021</v>
      </c>
      <c r="B5" s="36" t="s">
        <v>6</v>
      </c>
      <c r="C5" s="37" t="s">
        <v>249</v>
      </c>
      <c r="D5" s="37" t="s">
        <v>251</v>
      </c>
      <c r="E5" s="38">
        <v>1688900</v>
      </c>
    </row>
    <row r="6" spans="1:5" x14ac:dyDescent="0.2">
      <c r="A6" s="35">
        <v>2021</v>
      </c>
      <c r="B6" s="36" t="s">
        <v>6</v>
      </c>
      <c r="C6" s="37" t="s">
        <v>249</v>
      </c>
      <c r="D6" s="37" t="s">
        <v>252</v>
      </c>
      <c r="E6" s="38">
        <v>3085396</v>
      </c>
    </row>
    <row r="7" spans="1:5" x14ac:dyDescent="0.2">
      <c r="A7" s="35">
        <v>2021</v>
      </c>
      <c r="B7" s="36" t="s">
        <v>6</v>
      </c>
      <c r="C7" s="37" t="s">
        <v>249</v>
      </c>
      <c r="D7" s="37" t="s">
        <v>253</v>
      </c>
      <c r="E7" s="38">
        <v>-4141</v>
      </c>
    </row>
    <row r="8" spans="1:5" x14ac:dyDescent="0.2">
      <c r="A8" s="35">
        <v>2021</v>
      </c>
      <c r="B8" s="36" t="s">
        <v>6</v>
      </c>
      <c r="C8" s="37" t="s">
        <v>249</v>
      </c>
      <c r="D8" s="37" t="s">
        <v>254</v>
      </c>
      <c r="E8" s="38">
        <v>902486</v>
      </c>
    </row>
    <row r="9" spans="1:5" x14ac:dyDescent="0.2">
      <c r="A9" s="35">
        <v>2021</v>
      </c>
      <c r="B9" s="36" t="s">
        <v>6</v>
      </c>
      <c r="C9" s="37" t="s">
        <v>249</v>
      </c>
      <c r="D9" s="37" t="s">
        <v>255</v>
      </c>
      <c r="E9" s="38">
        <v>0</v>
      </c>
    </row>
    <row r="10" spans="1:5" x14ac:dyDescent="0.2">
      <c r="A10" s="35">
        <v>2021</v>
      </c>
      <c r="B10" s="36" t="s">
        <v>6</v>
      </c>
      <c r="C10" s="37" t="s">
        <v>249</v>
      </c>
      <c r="D10" s="37" t="s">
        <v>256</v>
      </c>
      <c r="E10" s="38">
        <v>38071</v>
      </c>
    </row>
    <row r="11" spans="1:5" x14ac:dyDescent="0.2">
      <c r="A11" s="35">
        <v>2021</v>
      </c>
      <c r="B11" s="36" t="s">
        <v>6</v>
      </c>
      <c r="C11" s="37" t="s">
        <v>249</v>
      </c>
      <c r="D11" s="37" t="s">
        <v>257</v>
      </c>
      <c r="E11" s="38">
        <v>132212</v>
      </c>
    </row>
    <row r="12" spans="1:5" x14ac:dyDescent="0.2">
      <c r="A12" s="35">
        <v>2021</v>
      </c>
      <c r="B12" s="36" t="s">
        <v>6</v>
      </c>
      <c r="C12" s="37" t="s">
        <v>249</v>
      </c>
      <c r="D12" s="37" t="s">
        <v>258</v>
      </c>
      <c r="E12" s="38">
        <v>0</v>
      </c>
    </row>
    <row r="13" spans="1:5" x14ac:dyDescent="0.2">
      <c r="A13" s="35">
        <v>2021</v>
      </c>
      <c r="B13" s="36" t="s">
        <v>6</v>
      </c>
      <c r="C13" s="37" t="s">
        <v>259</v>
      </c>
      <c r="D13" s="37" t="s">
        <v>230</v>
      </c>
      <c r="E13" s="38">
        <v>110308</v>
      </c>
    </row>
    <row r="14" spans="1:5" x14ac:dyDescent="0.2">
      <c r="A14" s="35">
        <v>2021</v>
      </c>
      <c r="B14" s="36" t="s">
        <v>6</v>
      </c>
      <c r="C14" s="37" t="s">
        <v>259</v>
      </c>
      <c r="D14" s="37" t="s">
        <v>252</v>
      </c>
      <c r="E14" s="38">
        <v>64878</v>
      </c>
    </row>
    <row r="15" spans="1:5" x14ac:dyDescent="0.2">
      <c r="A15" s="35">
        <v>2021</v>
      </c>
      <c r="B15" s="36" t="s">
        <v>6</v>
      </c>
      <c r="C15" s="37" t="s">
        <v>259</v>
      </c>
      <c r="D15" s="37" t="s">
        <v>254</v>
      </c>
      <c r="E15" s="38">
        <v>45430</v>
      </c>
    </row>
    <row r="16" spans="1:5" x14ac:dyDescent="0.2">
      <c r="A16" s="35">
        <v>2021</v>
      </c>
      <c r="B16" s="36" t="s">
        <v>6</v>
      </c>
      <c r="C16" s="37" t="s">
        <v>259</v>
      </c>
      <c r="D16" s="37" t="s">
        <v>256</v>
      </c>
      <c r="E16" s="38">
        <v>0</v>
      </c>
    </row>
    <row r="17" spans="1:5" x14ac:dyDescent="0.2">
      <c r="A17" s="35">
        <v>2021</v>
      </c>
      <c r="B17" s="36" t="s">
        <v>6</v>
      </c>
      <c r="C17" s="37" t="s">
        <v>260</v>
      </c>
      <c r="D17" s="37" t="s">
        <v>230</v>
      </c>
      <c r="E17" s="38">
        <v>352265</v>
      </c>
    </row>
    <row r="18" spans="1:5" x14ac:dyDescent="0.2">
      <c r="A18" s="35">
        <v>2021</v>
      </c>
      <c r="B18" s="36" t="s">
        <v>6</v>
      </c>
      <c r="C18" s="37" t="s">
        <v>260</v>
      </c>
      <c r="D18" s="37" t="s">
        <v>250</v>
      </c>
      <c r="E18" s="38">
        <v>144280</v>
      </c>
    </row>
    <row r="19" spans="1:5" x14ac:dyDescent="0.2">
      <c r="A19" s="35">
        <v>2021</v>
      </c>
      <c r="B19" s="36" t="s">
        <v>6</v>
      </c>
      <c r="C19" s="37" t="s">
        <v>260</v>
      </c>
      <c r="D19" s="37" t="s">
        <v>251</v>
      </c>
      <c r="E19" s="38">
        <v>169188</v>
      </c>
    </row>
    <row r="20" spans="1:5" x14ac:dyDescent="0.2">
      <c r="A20" s="35">
        <v>2021</v>
      </c>
      <c r="B20" s="36" t="s">
        <v>6</v>
      </c>
      <c r="C20" s="37" t="s">
        <v>260</v>
      </c>
      <c r="D20" s="37" t="s">
        <v>252</v>
      </c>
      <c r="E20" s="38">
        <v>26</v>
      </c>
    </row>
    <row r="21" spans="1:5" x14ac:dyDescent="0.2">
      <c r="A21" s="35">
        <v>2021</v>
      </c>
      <c r="B21" s="36" t="s">
        <v>6</v>
      </c>
      <c r="C21" s="37" t="s">
        <v>260</v>
      </c>
      <c r="D21" s="37" t="s">
        <v>254</v>
      </c>
      <c r="E21" s="38">
        <v>701</v>
      </c>
    </row>
    <row r="22" spans="1:5" x14ac:dyDescent="0.2">
      <c r="A22" s="35">
        <v>2021</v>
      </c>
      <c r="B22" s="36" t="s">
        <v>6</v>
      </c>
      <c r="C22" s="37" t="s">
        <v>260</v>
      </c>
      <c r="D22" s="37" t="s">
        <v>256</v>
      </c>
      <c r="E22" s="38">
        <v>38071</v>
      </c>
    </row>
    <row r="23" spans="1:5" x14ac:dyDescent="0.2">
      <c r="A23" s="35">
        <v>2021</v>
      </c>
      <c r="B23" s="36" t="s">
        <v>6</v>
      </c>
      <c r="C23" s="37" t="s">
        <v>260</v>
      </c>
      <c r="D23" s="37" t="s">
        <v>258</v>
      </c>
      <c r="E23" s="38">
        <v>0</v>
      </c>
    </row>
    <row r="24" spans="1:5" x14ac:dyDescent="0.2">
      <c r="A24" s="35">
        <v>2021</v>
      </c>
      <c r="B24" s="36" t="s">
        <v>6</v>
      </c>
      <c r="C24" s="37" t="s">
        <v>261</v>
      </c>
      <c r="D24" s="37" t="s">
        <v>230</v>
      </c>
      <c r="E24" s="38">
        <v>177115</v>
      </c>
    </row>
    <row r="25" spans="1:5" x14ac:dyDescent="0.2">
      <c r="A25" s="35">
        <v>2021</v>
      </c>
      <c r="B25" s="36" t="s">
        <v>6</v>
      </c>
      <c r="C25" s="37" t="s">
        <v>261</v>
      </c>
      <c r="D25" s="37" t="s">
        <v>250</v>
      </c>
      <c r="E25" s="38">
        <v>177115</v>
      </c>
    </row>
    <row r="26" spans="1:5" x14ac:dyDescent="0.2">
      <c r="A26" s="35">
        <v>2021</v>
      </c>
      <c r="B26" s="36" t="s">
        <v>6</v>
      </c>
      <c r="C26" s="37" t="s">
        <v>261</v>
      </c>
      <c r="D26" s="37" t="s">
        <v>254</v>
      </c>
      <c r="E26" s="38">
        <v>0</v>
      </c>
    </row>
    <row r="27" spans="1:5" x14ac:dyDescent="0.2">
      <c r="A27" s="35">
        <v>2021</v>
      </c>
      <c r="B27" s="36" t="s">
        <v>6</v>
      </c>
      <c r="C27" s="37" t="s">
        <v>261</v>
      </c>
      <c r="D27" s="37" t="s">
        <v>256</v>
      </c>
      <c r="E27" s="38">
        <v>0</v>
      </c>
    </row>
    <row r="28" spans="1:5" x14ac:dyDescent="0.2">
      <c r="A28" s="35">
        <v>2021</v>
      </c>
      <c r="B28" s="36" t="s">
        <v>6</v>
      </c>
      <c r="C28" s="37" t="s">
        <v>261</v>
      </c>
      <c r="D28" s="37" t="s">
        <v>258</v>
      </c>
      <c r="E28" s="38">
        <v>0</v>
      </c>
    </row>
    <row r="29" spans="1:5" x14ac:dyDescent="0.2">
      <c r="A29" s="35">
        <v>2021</v>
      </c>
      <c r="B29" s="36" t="s">
        <v>6</v>
      </c>
      <c r="C29" s="37" t="s">
        <v>262</v>
      </c>
      <c r="D29" s="37" t="s">
        <v>230</v>
      </c>
      <c r="E29" s="38">
        <v>45413</v>
      </c>
    </row>
    <row r="30" spans="1:5" x14ac:dyDescent="0.2">
      <c r="A30" s="35">
        <v>2021</v>
      </c>
      <c r="B30" s="36" t="s">
        <v>6</v>
      </c>
      <c r="C30" s="37" t="s">
        <v>262</v>
      </c>
      <c r="D30" s="37" t="s">
        <v>257</v>
      </c>
      <c r="E30" s="38">
        <v>45413</v>
      </c>
    </row>
    <row r="31" spans="1:5" x14ac:dyDescent="0.2">
      <c r="A31" s="35">
        <v>2021</v>
      </c>
      <c r="B31" s="36" t="s">
        <v>6</v>
      </c>
      <c r="C31" s="37" t="s">
        <v>263</v>
      </c>
      <c r="D31" s="37" t="s">
        <v>230</v>
      </c>
      <c r="E31" s="38">
        <v>5910717</v>
      </c>
    </row>
    <row r="32" spans="1:5" x14ac:dyDescent="0.2">
      <c r="A32" s="35">
        <v>2021</v>
      </c>
      <c r="B32" s="36" t="s">
        <v>6</v>
      </c>
      <c r="C32" s="37" t="s">
        <v>263</v>
      </c>
      <c r="D32" s="37" t="s">
        <v>250</v>
      </c>
      <c r="E32" s="38">
        <v>431500</v>
      </c>
    </row>
    <row r="33" spans="1:5" x14ac:dyDescent="0.2">
      <c r="A33" s="35">
        <v>2021</v>
      </c>
      <c r="B33" s="36" t="s">
        <v>6</v>
      </c>
      <c r="C33" s="37" t="s">
        <v>263</v>
      </c>
      <c r="D33" s="37" t="s">
        <v>251</v>
      </c>
      <c r="E33" s="38">
        <v>1519712</v>
      </c>
    </row>
    <row r="34" spans="1:5" x14ac:dyDescent="0.2">
      <c r="A34" s="35">
        <v>2021</v>
      </c>
      <c r="B34" s="36" t="s">
        <v>6</v>
      </c>
      <c r="C34" s="37" t="s">
        <v>263</v>
      </c>
      <c r="D34" s="37" t="s">
        <v>252</v>
      </c>
      <c r="E34" s="38">
        <v>3020493</v>
      </c>
    </row>
    <row r="35" spans="1:5" x14ac:dyDescent="0.2">
      <c r="A35" s="35">
        <v>2021</v>
      </c>
      <c r="B35" s="36" t="s">
        <v>6</v>
      </c>
      <c r="C35" s="37" t="s">
        <v>263</v>
      </c>
      <c r="D35" s="37" t="s">
        <v>253</v>
      </c>
      <c r="E35" s="38">
        <v>-4141</v>
      </c>
    </row>
    <row r="36" spans="1:5" x14ac:dyDescent="0.2">
      <c r="A36" s="35">
        <v>2021</v>
      </c>
      <c r="B36" s="36" t="s">
        <v>6</v>
      </c>
      <c r="C36" s="37" t="s">
        <v>263</v>
      </c>
      <c r="D36" s="37" t="s">
        <v>254</v>
      </c>
      <c r="E36" s="38">
        <v>856355</v>
      </c>
    </row>
    <row r="37" spans="1:5" x14ac:dyDescent="0.2">
      <c r="A37" s="35">
        <v>2021</v>
      </c>
      <c r="B37" s="36" t="s">
        <v>6</v>
      </c>
      <c r="C37" s="37" t="s">
        <v>263</v>
      </c>
      <c r="D37" s="37" t="s">
        <v>255</v>
      </c>
      <c r="E37" s="38">
        <v>0</v>
      </c>
    </row>
    <row r="38" spans="1:5" x14ac:dyDescent="0.2">
      <c r="A38" s="35">
        <v>2021</v>
      </c>
      <c r="B38" s="36" t="s">
        <v>6</v>
      </c>
      <c r="C38" s="37" t="s">
        <v>263</v>
      </c>
      <c r="D38" s="37" t="s">
        <v>257</v>
      </c>
      <c r="E38" s="38">
        <v>86799</v>
      </c>
    </row>
    <row r="39" spans="1:5" x14ac:dyDescent="0.2">
      <c r="A39" s="35">
        <v>2021</v>
      </c>
      <c r="B39" s="36" t="s">
        <v>3</v>
      </c>
      <c r="C39" s="37" t="s">
        <v>249</v>
      </c>
      <c r="D39" s="37" t="s">
        <v>230</v>
      </c>
      <c r="E39" s="38">
        <v>142733330</v>
      </c>
    </row>
    <row r="40" spans="1:5" x14ac:dyDescent="0.2">
      <c r="A40" s="35">
        <v>2021</v>
      </c>
      <c r="B40" s="36" t="s">
        <v>3</v>
      </c>
      <c r="C40" s="37" t="s">
        <v>249</v>
      </c>
      <c r="D40" s="37" t="s">
        <v>250</v>
      </c>
      <c r="E40" s="38">
        <v>26900909</v>
      </c>
    </row>
    <row r="41" spans="1:5" x14ac:dyDescent="0.2">
      <c r="A41" s="35">
        <v>2021</v>
      </c>
      <c r="B41" s="36" t="s">
        <v>3</v>
      </c>
      <c r="C41" s="37" t="s">
        <v>249</v>
      </c>
      <c r="D41" s="37" t="s">
        <v>251</v>
      </c>
      <c r="E41" s="38">
        <v>11520809</v>
      </c>
    </row>
    <row r="42" spans="1:5" x14ac:dyDescent="0.2">
      <c r="A42" s="35">
        <v>2021</v>
      </c>
      <c r="B42" s="36" t="s">
        <v>3</v>
      </c>
      <c r="C42" s="37" t="s">
        <v>249</v>
      </c>
      <c r="D42" s="37" t="s">
        <v>252</v>
      </c>
      <c r="E42" s="38">
        <v>54447875</v>
      </c>
    </row>
    <row r="43" spans="1:5" x14ac:dyDescent="0.2">
      <c r="A43" s="35">
        <v>2021</v>
      </c>
      <c r="B43" s="36" t="s">
        <v>3</v>
      </c>
      <c r="C43" s="37" t="s">
        <v>249</v>
      </c>
      <c r="D43" s="37" t="s">
        <v>264</v>
      </c>
      <c r="E43" s="38">
        <v>46036489</v>
      </c>
    </row>
    <row r="44" spans="1:5" x14ac:dyDescent="0.2">
      <c r="A44" s="35">
        <v>2021</v>
      </c>
      <c r="B44" s="36" t="s">
        <v>3</v>
      </c>
      <c r="C44" s="37" t="s">
        <v>249</v>
      </c>
      <c r="D44" s="37" t="s">
        <v>265</v>
      </c>
      <c r="E44" s="38">
        <v>65</v>
      </c>
    </row>
    <row r="45" spans="1:5" x14ac:dyDescent="0.2">
      <c r="A45" s="35">
        <v>2021</v>
      </c>
      <c r="B45" s="36" t="s">
        <v>3</v>
      </c>
      <c r="C45" s="37" t="s">
        <v>249</v>
      </c>
      <c r="D45" s="37" t="s">
        <v>253</v>
      </c>
      <c r="E45" s="38">
        <v>28</v>
      </c>
    </row>
    <row r="46" spans="1:5" x14ac:dyDescent="0.2">
      <c r="A46" s="35">
        <v>2021</v>
      </c>
      <c r="B46" s="36" t="s">
        <v>3</v>
      </c>
      <c r="C46" s="37" t="s">
        <v>249</v>
      </c>
      <c r="D46" s="37" t="s">
        <v>254</v>
      </c>
      <c r="E46" s="38">
        <v>21915</v>
      </c>
    </row>
    <row r="47" spans="1:5" x14ac:dyDescent="0.2">
      <c r="A47" s="35">
        <v>2021</v>
      </c>
      <c r="B47" s="36" t="s">
        <v>3</v>
      </c>
      <c r="C47" s="37" t="s">
        <v>249</v>
      </c>
      <c r="D47" s="37" t="s">
        <v>255</v>
      </c>
      <c r="E47" s="38">
        <v>493995</v>
      </c>
    </row>
    <row r="48" spans="1:5" x14ac:dyDescent="0.2">
      <c r="A48" s="35">
        <v>2021</v>
      </c>
      <c r="B48" s="36" t="s">
        <v>3</v>
      </c>
      <c r="C48" s="37" t="s">
        <v>249</v>
      </c>
      <c r="D48" s="37" t="s">
        <v>256</v>
      </c>
      <c r="E48" s="38">
        <v>43940</v>
      </c>
    </row>
    <row r="49" spans="1:5" x14ac:dyDescent="0.2">
      <c r="A49" s="35">
        <v>2021</v>
      </c>
      <c r="B49" s="36" t="s">
        <v>3</v>
      </c>
      <c r="C49" s="37" t="s">
        <v>249</v>
      </c>
      <c r="D49" s="37" t="s">
        <v>258</v>
      </c>
      <c r="E49" s="38">
        <v>3267305</v>
      </c>
    </row>
    <row r="50" spans="1:5" x14ac:dyDescent="0.2">
      <c r="A50" s="35">
        <v>2021</v>
      </c>
      <c r="B50" s="36" t="s">
        <v>3</v>
      </c>
      <c r="C50" s="37" t="s">
        <v>259</v>
      </c>
      <c r="D50" s="37" t="s">
        <v>230</v>
      </c>
      <c r="E50" s="38">
        <v>4956093</v>
      </c>
    </row>
    <row r="51" spans="1:5" x14ac:dyDescent="0.2">
      <c r="A51" s="35">
        <v>2021</v>
      </c>
      <c r="B51" s="36" t="s">
        <v>3</v>
      </c>
      <c r="C51" s="37" t="s">
        <v>259</v>
      </c>
      <c r="D51" s="37" t="s">
        <v>250</v>
      </c>
      <c r="E51" s="38">
        <v>21</v>
      </c>
    </row>
    <row r="52" spans="1:5" x14ac:dyDescent="0.2">
      <c r="A52" s="35">
        <v>2021</v>
      </c>
      <c r="B52" s="36" t="s">
        <v>3</v>
      </c>
      <c r="C52" s="37" t="s">
        <v>259</v>
      </c>
      <c r="D52" s="37" t="s">
        <v>252</v>
      </c>
      <c r="E52" s="38">
        <v>1682648</v>
      </c>
    </row>
    <row r="53" spans="1:5" x14ac:dyDescent="0.2">
      <c r="A53" s="35">
        <v>2021</v>
      </c>
      <c r="B53" s="36" t="s">
        <v>3</v>
      </c>
      <c r="C53" s="37" t="s">
        <v>259</v>
      </c>
      <c r="D53" s="37" t="s">
        <v>265</v>
      </c>
      <c r="E53" s="38">
        <v>65</v>
      </c>
    </row>
    <row r="54" spans="1:5" x14ac:dyDescent="0.2">
      <c r="A54" s="35">
        <v>2021</v>
      </c>
      <c r="B54" s="36" t="s">
        <v>3</v>
      </c>
      <c r="C54" s="37" t="s">
        <v>259</v>
      </c>
      <c r="D54" s="37" t="s">
        <v>253</v>
      </c>
      <c r="E54" s="38">
        <v>0</v>
      </c>
    </row>
    <row r="55" spans="1:5" x14ac:dyDescent="0.2">
      <c r="A55" s="35">
        <v>2021</v>
      </c>
      <c r="B55" s="36" t="s">
        <v>3</v>
      </c>
      <c r="C55" s="37" t="s">
        <v>259</v>
      </c>
      <c r="D55" s="37" t="s">
        <v>254</v>
      </c>
      <c r="E55" s="38">
        <v>6055</v>
      </c>
    </row>
    <row r="56" spans="1:5" x14ac:dyDescent="0.2">
      <c r="A56" s="35">
        <v>2021</v>
      </c>
      <c r="B56" s="36" t="s">
        <v>3</v>
      </c>
      <c r="C56" s="37" t="s">
        <v>259</v>
      </c>
      <c r="D56" s="37" t="s">
        <v>256</v>
      </c>
      <c r="E56" s="38">
        <v>0</v>
      </c>
    </row>
    <row r="57" spans="1:5" x14ac:dyDescent="0.2">
      <c r="A57" s="35">
        <v>2021</v>
      </c>
      <c r="B57" s="36" t="s">
        <v>3</v>
      </c>
      <c r="C57" s="37" t="s">
        <v>259</v>
      </c>
      <c r="D57" s="37" t="s">
        <v>258</v>
      </c>
      <c r="E57" s="38">
        <v>3267305</v>
      </c>
    </row>
    <row r="58" spans="1:5" x14ac:dyDescent="0.2">
      <c r="A58" s="35">
        <v>2021</v>
      </c>
      <c r="B58" s="36" t="s">
        <v>3</v>
      </c>
      <c r="C58" s="37" t="s">
        <v>261</v>
      </c>
      <c r="D58" s="37" t="s">
        <v>230</v>
      </c>
      <c r="E58" s="38">
        <v>4031284</v>
      </c>
    </row>
    <row r="59" spans="1:5" x14ac:dyDescent="0.2">
      <c r="A59" s="35">
        <v>2021</v>
      </c>
      <c r="B59" s="36" t="s">
        <v>3</v>
      </c>
      <c r="C59" s="37" t="s">
        <v>261</v>
      </c>
      <c r="D59" s="37" t="s">
        <v>252</v>
      </c>
      <c r="E59" s="38">
        <v>4031284</v>
      </c>
    </row>
    <row r="60" spans="1:5" x14ac:dyDescent="0.2">
      <c r="A60" s="35">
        <v>2021</v>
      </c>
      <c r="B60" s="36" t="s">
        <v>3</v>
      </c>
      <c r="C60" s="37" t="s">
        <v>262</v>
      </c>
      <c r="D60" s="37" t="s">
        <v>230</v>
      </c>
      <c r="E60" s="38">
        <v>26941613</v>
      </c>
    </row>
    <row r="61" spans="1:5" x14ac:dyDescent="0.2">
      <c r="A61" s="35">
        <v>2021</v>
      </c>
      <c r="B61" s="36" t="s">
        <v>3</v>
      </c>
      <c r="C61" s="37" t="s">
        <v>262</v>
      </c>
      <c r="D61" s="37" t="s">
        <v>252</v>
      </c>
      <c r="E61" s="38">
        <v>26416295</v>
      </c>
    </row>
    <row r="62" spans="1:5" x14ac:dyDescent="0.2">
      <c r="A62" s="35">
        <v>2021</v>
      </c>
      <c r="B62" s="36" t="s">
        <v>3</v>
      </c>
      <c r="C62" s="37" t="s">
        <v>262</v>
      </c>
      <c r="D62" s="37" t="s">
        <v>253</v>
      </c>
      <c r="E62" s="38">
        <v>28</v>
      </c>
    </row>
    <row r="63" spans="1:5" x14ac:dyDescent="0.2">
      <c r="A63" s="35">
        <v>2021</v>
      </c>
      <c r="B63" s="36" t="s">
        <v>3</v>
      </c>
      <c r="C63" s="37" t="s">
        <v>262</v>
      </c>
      <c r="D63" s="37" t="s">
        <v>254</v>
      </c>
      <c r="E63" s="38">
        <v>11648</v>
      </c>
    </row>
    <row r="64" spans="1:5" x14ac:dyDescent="0.2">
      <c r="A64" s="35">
        <v>2021</v>
      </c>
      <c r="B64" s="36" t="s">
        <v>3</v>
      </c>
      <c r="C64" s="37" t="s">
        <v>262</v>
      </c>
      <c r="D64" s="37" t="s">
        <v>255</v>
      </c>
      <c r="E64" s="38">
        <v>469702</v>
      </c>
    </row>
    <row r="65" spans="1:5" x14ac:dyDescent="0.2">
      <c r="A65" s="35">
        <v>2021</v>
      </c>
      <c r="B65" s="36" t="s">
        <v>3</v>
      </c>
      <c r="C65" s="37" t="s">
        <v>262</v>
      </c>
      <c r="D65" s="37" t="s">
        <v>256</v>
      </c>
      <c r="E65" s="38">
        <v>43940</v>
      </c>
    </row>
    <row r="66" spans="1:5" x14ac:dyDescent="0.2">
      <c r="A66" s="35">
        <v>2021</v>
      </c>
      <c r="B66" s="36" t="s">
        <v>3</v>
      </c>
      <c r="C66" s="37" t="s">
        <v>263</v>
      </c>
      <c r="D66" s="37" t="s">
        <v>230</v>
      </c>
      <c r="E66" s="38">
        <v>106804340</v>
      </c>
    </row>
    <row r="67" spans="1:5" x14ac:dyDescent="0.2">
      <c r="A67" s="35">
        <v>2021</v>
      </c>
      <c r="B67" s="36" t="s">
        <v>3</v>
      </c>
      <c r="C67" s="37" t="s">
        <v>263</v>
      </c>
      <c r="D67" s="37" t="s">
        <v>250</v>
      </c>
      <c r="E67" s="38">
        <v>26900889</v>
      </c>
    </row>
    <row r="68" spans="1:5" x14ac:dyDescent="0.2">
      <c r="A68" s="35">
        <v>2021</v>
      </c>
      <c r="B68" s="36" t="s">
        <v>3</v>
      </c>
      <c r="C68" s="37" t="s">
        <v>263</v>
      </c>
      <c r="D68" s="37" t="s">
        <v>251</v>
      </c>
      <c r="E68" s="38">
        <v>11520809</v>
      </c>
    </row>
    <row r="69" spans="1:5" x14ac:dyDescent="0.2">
      <c r="A69" s="35">
        <v>2021</v>
      </c>
      <c r="B69" s="36" t="s">
        <v>3</v>
      </c>
      <c r="C69" s="37" t="s">
        <v>263</v>
      </c>
      <c r="D69" s="37" t="s">
        <v>252</v>
      </c>
      <c r="E69" s="38">
        <v>22317648</v>
      </c>
    </row>
    <row r="70" spans="1:5" x14ac:dyDescent="0.2">
      <c r="A70" s="35">
        <v>2021</v>
      </c>
      <c r="B70" s="36" t="s">
        <v>3</v>
      </c>
      <c r="C70" s="37" t="s">
        <v>263</v>
      </c>
      <c r="D70" s="37" t="s">
        <v>264</v>
      </c>
      <c r="E70" s="38">
        <v>46036489</v>
      </c>
    </row>
    <row r="71" spans="1:5" x14ac:dyDescent="0.2">
      <c r="A71" s="35">
        <v>2021</v>
      </c>
      <c r="B71" s="36" t="s">
        <v>3</v>
      </c>
      <c r="C71" s="37" t="s">
        <v>263</v>
      </c>
      <c r="D71" s="37" t="s">
        <v>254</v>
      </c>
      <c r="E71" s="38">
        <v>4212</v>
      </c>
    </row>
    <row r="72" spans="1:5" x14ac:dyDescent="0.2">
      <c r="A72" s="35">
        <v>2021</v>
      </c>
      <c r="B72" s="36" t="s">
        <v>3</v>
      </c>
      <c r="C72" s="37" t="s">
        <v>263</v>
      </c>
      <c r="D72" s="37" t="s">
        <v>255</v>
      </c>
      <c r="E72" s="38">
        <v>24293</v>
      </c>
    </row>
    <row r="73" spans="1:5" x14ac:dyDescent="0.2">
      <c r="A73" s="35">
        <v>2021</v>
      </c>
      <c r="B73" s="36" t="s">
        <v>12</v>
      </c>
      <c r="C73" s="37" t="s">
        <v>249</v>
      </c>
      <c r="D73" s="37" t="s">
        <v>230</v>
      </c>
      <c r="E73" s="38">
        <v>61100068</v>
      </c>
    </row>
    <row r="74" spans="1:5" x14ac:dyDescent="0.2">
      <c r="A74" s="35">
        <v>2021</v>
      </c>
      <c r="B74" s="36" t="s">
        <v>12</v>
      </c>
      <c r="C74" s="37" t="s">
        <v>249</v>
      </c>
      <c r="D74" s="37" t="s">
        <v>250</v>
      </c>
      <c r="E74" s="38">
        <v>21418877</v>
      </c>
    </row>
    <row r="75" spans="1:5" x14ac:dyDescent="0.2">
      <c r="A75" s="35">
        <v>2021</v>
      </c>
      <c r="B75" s="36" t="s">
        <v>12</v>
      </c>
      <c r="C75" s="37" t="s">
        <v>249</v>
      </c>
      <c r="D75" s="37" t="s">
        <v>266</v>
      </c>
      <c r="E75" s="38">
        <v>83706</v>
      </c>
    </row>
    <row r="76" spans="1:5" x14ac:dyDescent="0.2">
      <c r="A76" s="35">
        <v>2021</v>
      </c>
      <c r="B76" s="36" t="s">
        <v>12</v>
      </c>
      <c r="C76" s="37" t="s">
        <v>249</v>
      </c>
      <c r="D76" s="37" t="s">
        <v>251</v>
      </c>
      <c r="E76" s="38">
        <v>4028679</v>
      </c>
    </row>
    <row r="77" spans="1:5" x14ac:dyDescent="0.2">
      <c r="A77" s="35">
        <v>2021</v>
      </c>
      <c r="B77" s="36" t="s">
        <v>12</v>
      </c>
      <c r="C77" s="37" t="s">
        <v>249</v>
      </c>
      <c r="D77" s="37" t="s">
        <v>252</v>
      </c>
      <c r="E77" s="38">
        <v>20629134</v>
      </c>
    </row>
    <row r="78" spans="1:5" x14ac:dyDescent="0.2">
      <c r="A78" s="35">
        <v>2021</v>
      </c>
      <c r="B78" s="36" t="s">
        <v>12</v>
      </c>
      <c r="C78" s="37" t="s">
        <v>249</v>
      </c>
      <c r="D78" s="37" t="s">
        <v>264</v>
      </c>
      <c r="E78" s="38">
        <v>13555684</v>
      </c>
    </row>
    <row r="79" spans="1:5" x14ac:dyDescent="0.2">
      <c r="A79" s="35">
        <v>2021</v>
      </c>
      <c r="B79" s="36" t="s">
        <v>12</v>
      </c>
      <c r="C79" s="37" t="s">
        <v>249</v>
      </c>
      <c r="D79" s="37" t="s">
        <v>253</v>
      </c>
      <c r="E79" s="38">
        <v>7572</v>
      </c>
    </row>
    <row r="80" spans="1:5" x14ac:dyDescent="0.2">
      <c r="A80" s="35">
        <v>2021</v>
      </c>
      <c r="B80" s="36" t="s">
        <v>12</v>
      </c>
      <c r="C80" s="37" t="s">
        <v>249</v>
      </c>
      <c r="D80" s="37" t="s">
        <v>254</v>
      </c>
      <c r="E80" s="38">
        <v>55532</v>
      </c>
    </row>
    <row r="81" spans="1:5" x14ac:dyDescent="0.2">
      <c r="A81" s="35">
        <v>2021</v>
      </c>
      <c r="B81" s="36" t="s">
        <v>12</v>
      </c>
      <c r="C81" s="37" t="s">
        <v>249</v>
      </c>
      <c r="D81" s="37" t="s">
        <v>255</v>
      </c>
      <c r="E81" s="38">
        <v>462281</v>
      </c>
    </row>
    <row r="82" spans="1:5" x14ac:dyDescent="0.2">
      <c r="A82" s="35">
        <v>2021</v>
      </c>
      <c r="B82" s="36" t="s">
        <v>12</v>
      </c>
      <c r="C82" s="37" t="s">
        <v>249</v>
      </c>
      <c r="D82" s="37" t="s">
        <v>256</v>
      </c>
      <c r="E82" s="38">
        <v>61417</v>
      </c>
    </row>
    <row r="83" spans="1:5" x14ac:dyDescent="0.2">
      <c r="A83" s="35">
        <v>2021</v>
      </c>
      <c r="B83" s="36" t="s">
        <v>12</v>
      </c>
      <c r="C83" s="37" t="s">
        <v>249</v>
      </c>
      <c r="D83" s="37" t="s">
        <v>258</v>
      </c>
      <c r="E83" s="38">
        <v>797187</v>
      </c>
    </row>
    <row r="84" spans="1:5" x14ac:dyDescent="0.2">
      <c r="A84" s="35">
        <v>2021</v>
      </c>
      <c r="B84" s="36" t="s">
        <v>12</v>
      </c>
      <c r="C84" s="37" t="s">
        <v>259</v>
      </c>
      <c r="D84" s="37" t="s">
        <v>230</v>
      </c>
      <c r="E84" s="38">
        <v>1083567</v>
      </c>
    </row>
    <row r="85" spans="1:5" x14ac:dyDescent="0.2">
      <c r="A85" s="35">
        <v>2021</v>
      </c>
      <c r="B85" s="36" t="s">
        <v>12</v>
      </c>
      <c r="C85" s="37" t="s">
        <v>259</v>
      </c>
      <c r="D85" s="37" t="s">
        <v>250</v>
      </c>
      <c r="E85" s="38">
        <v>34190</v>
      </c>
    </row>
    <row r="86" spans="1:5" x14ac:dyDescent="0.2">
      <c r="A86" s="35">
        <v>2021</v>
      </c>
      <c r="B86" s="36" t="s">
        <v>12</v>
      </c>
      <c r="C86" s="37" t="s">
        <v>259</v>
      </c>
      <c r="D86" s="37" t="s">
        <v>252</v>
      </c>
      <c r="E86" s="38">
        <v>240744</v>
      </c>
    </row>
    <row r="87" spans="1:5" x14ac:dyDescent="0.2">
      <c r="A87" s="35">
        <v>2021</v>
      </c>
      <c r="B87" s="36" t="s">
        <v>12</v>
      </c>
      <c r="C87" s="37" t="s">
        <v>259</v>
      </c>
      <c r="D87" s="37" t="s">
        <v>253</v>
      </c>
      <c r="E87" s="38">
        <v>8019</v>
      </c>
    </row>
    <row r="88" spans="1:5" x14ac:dyDescent="0.2">
      <c r="A88" s="35">
        <v>2021</v>
      </c>
      <c r="B88" s="36" t="s">
        <v>12</v>
      </c>
      <c r="C88" s="37" t="s">
        <v>259</v>
      </c>
      <c r="D88" s="37" t="s">
        <v>254</v>
      </c>
      <c r="E88" s="38">
        <v>141</v>
      </c>
    </row>
    <row r="89" spans="1:5" x14ac:dyDescent="0.2">
      <c r="A89" s="35">
        <v>2021</v>
      </c>
      <c r="B89" s="36" t="s">
        <v>12</v>
      </c>
      <c r="C89" s="37" t="s">
        <v>259</v>
      </c>
      <c r="D89" s="37" t="s">
        <v>255</v>
      </c>
      <c r="E89" s="38">
        <v>3286</v>
      </c>
    </row>
    <row r="90" spans="1:5" x14ac:dyDescent="0.2">
      <c r="A90" s="35">
        <v>2021</v>
      </c>
      <c r="B90" s="36" t="s">
        <v>12</v>
      </c>
      <c r="C90" s="37" t="s">
        <v>259</v>
      </c>
      <c r="D90" s="37" t="s">
        <v>258</v>
      </c>
      <c r="E90" s="38">
        <v>797187</v>
      </c>
    </row>
    <row r="91" spans="1:5" x14ac:dyDescent="0.2">
      <c r="A91" s="35">
        <v>2021</v>
      </c>
      <c r="B91" s="36" t="s">
        <v>12</v>
      </c>
      <c r="C91" s="37" t="s">
        <v>260</v>
      </c>
      <c r="D91" s="37" t="s">
        <v>230</v>
      </c>
      <c r="E91" s="38">
        <v>65161</v>
      </c>
    </row>
    <row r="92" spans="1:5" x14ac:dyDescent="0.2">
      <c r="A92" s="35">
        <v>2021</v>
      </c>
      <c r="B92" s="36" t="s">
        <v>12</v>
      </c>
      <c r="C92" s="37" t="s">
        <v>260</v>
      </c>
      <c r="D92" s="37" t="s">
        <v>252</v>
      </c>
      <c r="E92" s="38">
        <v>42315</v>
      </c>
    </row>
    <row r="93" spans="1:5" x14ac:dyDescent="0.2">
      <c r="A93" s="35">
        <v>2021</v>
      </c>
      <c r="B93" s="36" t="s">
        <v>12</v>
      </c>
      <c r="C93" s="37" t="s">
        <v>260</v>
      </c>
      <c r="D93" s="37" t="s">
        <v>253</v>
      </c>
      <c r="E93" s="38">
        <v>-447</v>
      </c>
    </row>
    <row r="94" spans="1:5" x14ac:dyDescent="0.2">
      <c r="A94" s="35">
        <v>2021</v>
      </c>
      <c r="B94" s="36" t="s">
        <v>12</v>
      </c>
      <c r="C94" s="37" t="s">
        <v>260</v>
      </c>
      <c r="D94" s="37" t="s">
        <v>255</v>
      </c>
      <c r="E94" s="38">
        <v>18826</v>
      </c>
    </row>
    <row r="95" spans="1:5" x14ac:dyDescent="0.2">
      <c r="A95" s="35">
        <v>2021</v>
      </c>
      <c r="B95" s="36" t="s">
        <v>12</v>
      </c>
      <c r="C95" s="37" t="s">
        <v>260</v>
      </c>
      <c r="D95" s="37" t="s">
        <v>256</v>
      </c>
      <c r="E95" s="38">
        <v>4468</v>
      </c>
    </row>
    <row r="96" spans="1:5" x14ac:dyDescent="0.2">
      <c r="A96" s="35">
        <v>2021</v>
      </c>
      <c r="B96" s="36" t="s">
        <v>12</v>
      </c>
      <c r="C96" s="37" t="s">
        <v>261</v>
      </c>
      <c r="D96" s="37" t="s">
        <v>230</v>
      </c>
      <c r="E96" s="38">
        <v>999324</v>
      </c>
    </row>
    <row r="97" spans="1:5" x14ac:dyDescent="0.2">
      <c r="A97" s="35">
        <v>2021</v>
      </c>
      <c r="B97" s="36" t="s">
        <v>12</v>
      </c>
      <c r="C97" s="37" t="s">
        <v>261</v>
      </c>
      <c r="D97" s="37" t="s">
        <v>252</v>
      </c>
      <c r="E97" s="38">
        <v>999324</v>
      </c>
    </row>
    <row r="98" spans="1:5" x14ac:dyDescent="0.2">
      <c r="A98" s="35">
        <v>2021</v>
      </c>
      <c r="B98" s="36" t="s">
        <v>12</v>
      </c>
      <c r="C98" s="37" t="s">
        <v>261</v>
      </c>
      <c r="D98" s="37" t="s">
        <v>254</v>
      </c>
      <c r="E98" s="38">
        <v>0</v>
      </c>
    </row>
    <row r="99" spans="1:5" x14ac:dyDescent="0.2">
      <c r="A99" s="35">
        <v>2021</v>
      </c>
      <c r="B99" s="36" t="s">
        <v>12</v>
      </c>
      <c r="C99" s="37" t="s">
        <v>261</v>
      </c>
      <c r="D99" s="37" t="s">
        <v>256</v>
      </c>
      <c r="E99" s="38">
        <v>0</v>
      </c>
    </row>
    <row r="100" spans="1:5" x14ac:dyDescent="0.2">
      <c r="A100" s="35">
        <v>2021</v>
      </c>
      <c r="B100" s="36" t="s">
        <v>12</v>
      </c>
      <c r="C100" s="37" t="s">
        <v>262</v>
      </c>
      <c r="D100" s="37" t="s">
        <v>230</v>
      </c>
      <c r="E100" s="38">
        <v>4597642</v>
      </c>
    </row>
    <row r="101" spans="1:5" x14ac:dyDescent="0.2">
      <c r="A101" s="35">
        <v>2021</v>
      </c>
      <c r="B101" s="36" t="s">
        <v>12</v>
      </c>
      <c r="C101" s="37" t="s">
        <v>262</v>
      </c>
      <c r="D101" s="37" t="s">
        <v>250</v>
      </c>
      <c r="E101" s="38">
        <v>4034328</v>
      </c>
    </row>
    <row r="102" spans="1:5" x14ac:dyDescent="0.2">
      <c r="A102" s="35">
        <v>2021</v>
      </c>
      <c r="B102" s="36" t="s">
        <v>12</v>
      </c>
      <c r="C102" s="37" t="s">
        <v>262</v>
      </c>
      <c r="D102" s="37" t="s">
        <v>251</v>
      </c>
      <c r="E102" s="38">
        <v>60208</v>
      </c>
    </row>
    <row r="103" spans="1:5" x14ac:dyDescent="0.2">
      <c r="A103" s="35">
        <v>2021</v>
      </c>
      <c r="B103" s="36" t="s">
        <v>12</v>
      </c>
      <c r="C103" s="37" t="s">
        <v>262</v>
      </c>
      <c r="D103" s="37" t="s">
        <v>254</v>
      </c>
      <c r="E103" s="38">
        <v>11891</v>
      </c>
    </row>
    <row r="104" spans="1:5" x14ac:dyDescent="0.2">
      <c r="A104" s="35">
        <v>2021</v>
      </c>
      <c r="B104" s="36" t="s">
        <v>12</v>
      </c>
      <c r="C104" s="37" t="s">
        <v>262</v>
      </c>
      <c r="D104" s="37" t="s">
        <v>255</v>
      </c>
      <c r="E104" s="38">
        <v>434266</v>
      </c>
    </row>
    <row r="105" spans="1:5" x14ac:dyDescent="0.2">
      <c r="A105" s="35">
        <v>2021</v>
      </c>
      <c r="B105" s="36" t="s">
        <v>12</v>
      </c>
      <c r="C105" s="37" t="s">
        <v>262</v>
      </c>
      <c r="D105" s="37" t="s">
        <v>256</v>
      </c>
      <c r="E105" s="38">
        <v>56949</v>
      </c>
    </row>
    <row r="106" spans="1:5" x14ac:dyDescent="0.2">
      <c r="A106" s="35">
        <v>2021</v>
      </c>
      <c r="B106" s="36" t="s">
        <v>12</v>
      </c>
      <c r="C106" s="37" t="s">
        <v>263</v>
      </c>
      <c r="D106" s="37" t="s">
        <v>230</v>
      </c>
      <c r="E106" s="38">
        <v>54354374</v>
      </c>
    </row>
    <row r="107" spans="1:5" x14ac:dyDescent="0.2">
      <c r="A107" s="35">
        <v>2021</v>
      </c>
      <c r="B107" s="36" t="s">
        <v>12</v>
      </c>
      <c r="C107" s="37" t="s">
        <v>263</v>
      </c>
      <c r="D107" s="37" t="s">
        <v>250</v>
      </c>
      <c r="E107" s="38">
        <v>17350359</v>
      </c>
    </row>
    <row r="108" spans="1:5" x14ac:dyDescent="0.2">
      <c r="A108" s="35">
        <v>2021</v>
      </c>
      <c r="B108" s="36" t="s">
        <v>12</v>
      </c>
      <c r="C108" s="37" t="s">
        <v>263</v>
      </c>
      <c r="D108" s="37" t="s">
        <v>266</v>
      </c>
      <c r="E108" s="38">
        <v>83706</v>
      </c>
    </row>
    <row r="109" spans="1:5" x14ac:dyDescent="0.2">
      <c r="A109" s="35">
        <v>2021</v>
      </c>
      <c r="B109" s="36" t="s">
        <v>12</v>
      </c>
      <c r="C109" s="37" t="s">
        <v>263</v>
      </c>
      <c r="D109" s="37" t="s">
        <v>251</v>
      </c>
      <c r="E109" s="38">
        <v>3968471</v>
      </c>
    </row>
    <row r="110" spans="1:5" x14ac:dyDescent="0.2">
      <c r="A110" s="35">
        <v>2021</v>
      </c>
      <c r="B110" s="36" t="s">
        <v>12</v>
      </c>
      <c r="C110" s="37" t="s">
        <v>263</v>
      </c>
      <c r="D110" s="37" t="s">
        <v>252</v>
      </c>
      <c r="E110" s="38">
        <v>19346751</v>
      </c>
    </row>
    <row r="111" spans="1:5" x14ac:dyDescent="0.2">
      <c r="A111" s="35">
        <v>2021</v>
      </c>
      <c r="B111" s="36" t="s">
        <v>12</v>
      </c>
      <c r="C111" s="37" t="s">
        <v>263</v>
      </c>
      <c r="D111" s="37" t="s">
        <v>264</v>
      </c>
      <c r="E111" s="38">
        <v>13555684</v>
      </c>
    </row>
    <row r="112" spans="1:5" x14ac:dyDescent="0.2">
      <c r="A112" s="35">
        <v>2021</v>
      </c>
      <c r="B112" s="36" t="s">
        <v>12</v>
      </c>
      <c r="C112" s="37" t="s">
        <v>263</v>
      </c>
      <c r="D112" s="37" t="s">
        <v>254</v>
      </c>
      <c r="E112" s="38">
        <v>43500</v>
      </c>
    </row>
    <row r="113" spans="1:5" x14ac:dyDescent="0.2">
      <c r="A113" s="35">
        <v>2021</v>
      </c>
      <c r="B113" s="36" t="s">
        <v>12</v>
      </c>
      <c r="C113" s="37" t="s">
        <v>263</v>
      </c>
      <c r="D113" s="37" t="s">
        <v>255</v>
      </c>
      <c r="E113" s="38">
        <v>5903</v>
      </c>
    </row>
    <row r="114" spans="1:5" x14ac:dyDescent="0.2">
      <c r="A114" s="35">
        <v>2021</v>
      </c>
      <c r="B114" s="36" t="s">
        <v>8</v>
      </c>
      <c r="C114" s="37" t="s">
        <v>249</v>
      </c>
      <c r="D114" s="37" t="s">
        <v>230</v>
      </c>
      <c r="E114" s="38">
        <v>108604620</v>
      </c>
    </row>
    <row r="115" spans="1:5" x14ac:dyDescent="0.2">
      <c r="A115" s="35">
        <v>2021</v>
      </c>
      <c r="B115" s="36" t="s">
        <v>8</v>
      </c>
      <c r="C115" s="37" t="s">
        <v>249</v>
      </c>
      <c r="D115" s="37" t="s">
        <v>250</v>
      </c>
      <c r="E115" s="38">
        <v>14300572</v>
      </c>
    </row>
    <row r="116" spans="1:5" x14ac:dyDescent="0.2">
      <c r="A116" s="35">
        <v>2021</v>
      </c>
      <c r="B116" s="36" t="s">
        <v>8</v>
      </c>
      <c r="C116" s="37" t="s">
        <v>249</v>
      </c>
      <c r="D116" s="37" t="s">
        <v>266</v>
      </c>
      <c r="E116" s="38">
        <v>90895</v>
      </c>
    </row>
    <row r="117" spans="1:5" x14ac:dyDescent="0.2">
      <c r="A117" s="35">
        <v>2021</v>
      </c>
      <c r="B117" s="36" t="s">
        <v>8</v>
      </c>
      <c r="C117" s="37" t="s">
        <v>249</v>
      </c>
      <c r="D117" s="37" t="s">
        <v>251</v>
      </c>
      <c r="E117" s="38">
        <v>5972854</v>
      </c>
    </row>
    <row r="118" spans="1:5" x14ac:dyDescent="0.2">
      <c r="A118" s="35">
        <v>2021</v>
      </c>
      <c r="B118" s="36" t="s">
        <v>8</v>
      </c>
      <c r="C118" s="37" t="s">
        <v>249</v>
      </c>
      <c r="D118" s="37" t="s">
        <v>252</v>
      </c>
      <c r="E118" s="38">
        <v>48053133</v>
      </c>
    </row>
    <row r="119" spans="1:5" x14ac:dyDescent="0.2">
      <c r="A119" s="35">
        <v>2021</v>
      </c>
      <c r="B119" s="36" t="s">
        <v>8</v>
      </c>
      <c r="C119" s="37" t="s">
        <v>249</v>
      </c>
      <c r="D119" s="37" t="s">
        <v>264</v>
      </c>
      <c r="E119" s="38">
        <v>31629862</v>
      </c>
    </row>
    <row r="120" spans="1:5" x14ac:dyDescent="0.2">
      <c r="A120" s="35">
        <v>2021</v>
      </c>
      <c r="B120" s="36" t="s">
        <v>8</v>
      </c>
      <c r="C120" s="37" t="s">
        <v>249</v>
      </c>
      <c r="D120" s="37" t="s">
        <v>253</v>
      </c>
      <c r="E120" s="38">
        <v>-7543</v>
      </c>
    </row>
    <row r="121" spans="1:5" x14ac:dyDescent="0.2">
      <c r="A121" s="35">
        <v>2021</v>
      </c>
      <c r="B121" s="36" t="s">
        <v>8</v>
      </c>
      <c r="C121" s="37" t="s">
        <v>249</v>
      </c>
      <c r="D121" s="37" t="s">
        <v>254</v>
      </c>
      <c r="E121" s="38">
        <v>43534</v>
      </c>
    </row>
    <row r="122" spans="1:5" x14ac:dyDescent="0.2">
      <c r="A122" s="35">
        <v>2021</v>
      </c>
      <c r="B122" s="36" t="s">
        <v>8</v>
      </c>
      <c r="C122" s="37" t="s">
        <v>249</v>
      </c>
      <c r="D122" s="37" t="s">
        <v>255</v>
      </c>
      <c r="E122" s="38">
        <v>6710877</v>
      </c>
    </row>
    <row r="123" spans="1:5" x14ac:dyDescent="0.2">
      <c r="A123" s="35">
        <v>2021</v>
      </c>
      <c r="B123" s="36" t="s">
        <v>8</v>
      </c>
      <c r="C123" s="37" t="s">
        <v>249</v>
      </c>
      <c r="D123" s="37" t="s">
        <v>256</v>
      </c>
      <c r="E123" s="38">
        <v>19470</v>
      </c>
    </row>
    <row r="124" spans="1:5" x14ac:dyDescent="0.2">
      <c r="A124" s="35">
        <v>2021</v>
      </c>
      <c r="B124" s="36" t="s">
        <v>8</v>
      </c>
      <c r="C124" s="37" t="s">
        <v>249</v>
      </c>
      <c r="D124" s="37" t="s">
        <v>257</v>
      </c>
      <c r="E124" s="38">
        <v>1600319</v>
      </c>
    </row>
    <row r="125" spans="1:5" x14ac:dyDescent="0.2">
      <c r="A125" s="35">
        <v>2021</v>
      </c>
      <c r="B125" s="36" t="s">
        <v>8</v>
      </c>
      <c r="C125" s="37" t="s">
        <v>249</v>
      </c>
      <c r="D125" s="37" t="s">
        <v>258</v>
      </c>
      <c r="E125" s="38">
        <v>190646</v>
      </c>
    </row>
    <row r="126" spans="1:5" x14ac:dyDescent="0.2">
      <c r="A126" s="35">
        <v>2021</v>
      </c>
      <c r="B126" s="36" t="s">
        <v>8</v>
      </c>
      <c r="C126" s="37" t="s">
        <v>260</v>
      </c>
      <c r="D126" s="37" t="s">
        <v>230</v>
      </c>
      <c r="E126" s="38">
        <v>150887</v>
      </c>
    </row>
    <row r="127" spans="1:5" x14ac:dyDescent="0.2">
      <c r="A127" s="35">
        <v>2021</v>
      </c>
      <c r="B127" s="36" t="s">
        <v>8</v>
      </c>
      <c r="C127" s="37" t="s">
        <v>260</v>
      </c>
      <c r="D127" s="37" t="s">
        <v>252</v>
      </c>
      <c r="E127" s="38">
        <v>132109</v>
      </c>
    </row>
    <row r="128" spans="1:5" x14ac:dyDescent="0.2">
      <c r="A128" s="35">
        <v>2021</v>
      </c>
      <c r="B128" s="36" t="s">
        <v>8</v>
      </c>
      <c r="C128" s="37" t="s">
        <v>260</v>
      </c>
      <c r="D128" s="37" t="s">
        <v>254</v>
      </c>
      <c r="E128" s="38">
        <v>15</v>
      </c>
    </row>
    <row r="129" spans="1:5" x14ac:dyDescent="0.2">
      <c r="A129" s="35">
        <v>2021</v>
      </c>
      <c r="B129" s="36" t="s">
        <v>8</v>
      </c>
      <c r="C129" s="37" t="s">
        <v>260</v>
      </c>
      <c r="D129" s="37" t="s">
        <v>255</v>
      </c>
      <c r="E129" s="38">
        <v>18763</v>
      </c>
    </row>
    <row r="130" spans="1:5" x14ac:dyDescent="0.2">
      <c r="A130" s="35">
        <v>2021</v>
      </c>
      <c r="B130" s="36" t="s">
        <v>8</v>
      </c>
      <c r="C130" s="37" t="s">
        <v>261</v>
      </c>
      <c r="D130" s="37" t="s">
        <v>230</v>
      </c>
      <c r="E130" s="38">
        <v>52607</v>
      </c>
    </row>
    <row r="131" spans="1:5" x14ac:dyDescent="0.2">
      <c r="A131" s="35">
        <v>2021</v>
      </c>
      <c r="B131" s="36" t="s">
        <v>8</v>
      </c>
      <c r="C131" s="37" t="s">
        <v>261</v>
      </c>
      <c r="D131" s="37" t="s">
        <v>252</v>
      </c>
      <c r="E131" s="38">
        <v>52607</v>
      </c>
    </row>
    <row r="132" spans="1:5" x14ac:dyDescent="0.2">
      <c r="A132" s="35">
        <v>2021</v>
      </c>
      <c r="B132" s="36" t="s">
        <v>8</v>
      </c>
      <c r="C132" s="37" t="s">
        <v>261</v>
      </c>
      <c r="D132" s="37" t="s">
        <v>254</v>
      </c>
      <c r="E132" s="38">
        <v>0</v>
      </c>
    </row>
    <row r="133" spans="1:5" x14ac:dyDescent="0.2">
      <c r="A133" s="35">
        <v>2021</v>
      </c>
      <c r="B133" s="36" t="s">
        <v>8</v>
      </c>
      <c r="C133" s="37" t="s">
        <v>262</v>
      </c>
      <c r="D133" s="37" t="s">
        <v>230</v>
      </c>
      <c r="E133" s="38">
        <v>21988689</v>
      </c>
    </row>
    <row r="134" spans="1:5" x14ac:dyDescent="0.2">
      <c r="A134" s="35">
        <v>2021</v>
      </c>
      <c r="B134" s="36" t="s">
        <v>8</v>
      </c>
      <c r="C134" s="37" t="s">
        <v>262</v>
      </c>
      <c r="D134" s="37" t="s">
        <v>252</v>
      </c>
      <c r="E134" s="38">
        <v>14224925</v>
      </c>
    </row>
    <row r="135" spans="1:5" x14ac:dyDescent="0.2">
      <c r="A135" s="35">
        <v>2021</v>
      </c>
      <c r="B135" s="36" t="s">
        <v>8</v>
      </c>
      <c r="C135" s="37" t="s">
        <v>262</v>
      </c>
      <c r="D135" s="37" t="s">
        <v>253</v>
      </c>
      <c r="E135" s="38">
        <v>-6329</v>
      </c>
    </row>
    <row r="136" spans="1:5" x14ac:dyDescent="0.2">
      <c r="A136" s="35">
        <v>2021</v>
      </c>
      <c r="B136" s="36" t="s">
        <v>8</v>
      </c>
      <c r="C136" s="37" t="s">
        <v>262</v>
      </c>
      <c r="D136" s="37" t="s">
        <v>255</v>
      </c>
      <c r="E136" s="38">
        <v>5959658</v>
      </c>
    </row>
    <row r="137" spans="1:5" x14ac:dyDescent="0.2">
      <c r="A137" s="35">
        <v>2021</v>
      </c>
      <c r="B137" s="36" t="s">
        <v>8</v>
      </c>
      <c r="C137" s="37" t="s">
        <v>262</v>
      </c>
      <c r="D137" s="37" t="s">
        <v>256</v>
      </c>
      <c r="E137" s="38">
        <v>19470</v>
      </c>
    </row>
    <row r="138" spans="1:5" x14ac:dyDescent="0.2">
      <c r="A138" s="35">
        <v>2021</v>
      </c>
      <c r="B138" s="36" t="s">
        <v>8</v>
      </c>
      <c r="C138" s="37" t="s">
        <v>262</v>
      </c>
      <c r="D138" s="37" t="s">
        <v>257</v>
      </c>
      <c r="E138" s="38">
        <v>1600319</v>
      </c>
    </row>
    <row r="139" spans="1:5" x14ac:dyDescent="0.2">
      <c r="A139" s="35">
        <v>2021</v>
      </c>
      <c r="B139" s="36" t="s">
        <v>8</v>
      </c>
      <c r="C139" s="37" t="s">
        <v>262</v>
      </c>
      <c r="D139" s="37" t="s">
        <v>258</v>
      </c>
      <c r="E139" s="38">
        <v>190646</v>
      </c>
    </row>
    <row r="140" spans="1:5" x14ac:dyDescent="0.2">
      <c r="A140" s="35">
        <v>2021</v>
      </c>
      <c r="B140" s="36" t="s">
        <v>8</v>
      </c>
      <c r="C140" s="37" t="s">
        <v>263</v>
      </c>
      <c r="D140" s="37" t="s">
        <v>230</v>
      </c>
      <c r="E140" s="38">
        <v>86412437</v>
      </c>
    </row>
    <row r="141" spans="1:5" x14ac:dyDescent="0.2">
      <c r="A141" s="35">
        <v>2021</v>
      </c>
      <c r="B141" s="36" t="s">
        <v>8</v>
      </c>
      <c r="C141" s="37" t="s">
        <v>263</v>
      </c>
      <c r="D141" s="37" t="s">
        <v>250</v>
      </c>
      <c r="E141" s="38">
        <v>14300572</v>
      </c>
    </row>
    <row r="142" spans="1:5" x14ac:dyDescent="0.2">
      <c r="A142" s="35">
        <v>2021</v>
      </c>
      <c r="B142" s="36" t="s">
        <v>8</v>
      </c>
      <c r="C142" s="37" t="s">
        <v>263</v>
      </c>
      <c r="D142" s="37" t="s">
        <v>266</v>
      </c>
      <c r="E142" s="38">
        <v>90895</v>
      </c>
    </row>
    <row r="143" spans="1:5" x14ac:dyDescent="0.2">
      <c r="A143" s="35">
        <v>2021</v>
      </c>
      <c r="B143" s="36" t="s">
        <v>8</v>
      </c>
      <c r="C143" s="37" t="s">
        <v>263</v>
      </c>
      <c r="D143" s="37" t="s">
        <v>251</v>
      </c>
      <c r="E143" s="38">
        <v>5972854</v>
      </c>
    </row>
    <row r="144" spans="1:5" x14ac:dyDescent="0.2">
      <c r="A144" s="35">
        <v>2021</v>
      </c>
      <c r="B144" s="36" t="s">
        <v>8</v>
      </c>
      <c r="C144" s="37" t="s">
        <v>263</v>
      </c>
      <c r="D144" s="37" t="s">
        <v>252</v>
      </c>
      <c r="E144" s="38">
        <v>33643492</v>
      </c>
    </row>
    <row r="145" spans="1:5" x14ac:dyDescent="0.2">
      <c r="A145" s="35">
        <v>2021</v>
      </c>
      <c r="B145" s="36" t="s">
        <v>8</v>
      </c>
      <c r="C145" s="37" t="s">
        <v>263</v>
      </c>
      <c r="D145" s="37" t="s">
        <v>264</v>
      </c>
      <c r="E145" s="38">
        <v>31629862</v>
      </c>
    </row>
    <row r="146" spans="1:5" x14ac:dyDescent="0.2">
      <c r="A146" s="35">
        <v>2021</v>
      </c>
      <c r="B146" s="36" t="s">
        <v>8</v>
      </c>
      <c r="C146" s="37" t="s">
        <v>263</v>
      </c>
      <c r="D146" s="37" t="s">
        <v>253</v>
      </c>
      <c r="E146" s="38">
        <v>-1214</v>
      </c>
    </row>
    <row r="147" spans="1:5" x14ac:dyDescent="0.2">
      <c r="A147" s="35">
        <v>2021</v>
      </c>
      <c r="B147" s="36" t="s">
        <v>8</v>
      </c>
      <c r="C147" s="37" t="s">
        <v>263</v>
      </c>
      <c r="D147" s="37" t="s">
        <v>254</v>
      </c>
      <c r="E147" s="38">
        <v>43519</v>
      </c>
    </row>
    <row r="148" spans="1:5" x14ac:dyDescent="0.2">
      <c r="A148" s="35">
        <v>2021</v>
      </c>
      <c r="B148" s="36" t="s">
        <v>8</v>
      </c>
      <c r="C148" s="37" t="s">
        <v>263</v>
      </c>
      <c r="D148" s="37" t="s">
        <v>255</v>
      </c>
      <c r="E148" s="38">
        <v>732457</v>
      </c>
    </row>
    <row r="149" spans="1:5" x14ac:dyDescent="0.2">
      <c r="A149" s="35">
        <v>2021</v>
      </c>
      <c r="B149" s="36" t="s">
        <v>8</v>
      </c>
      <c r="C149" s="37" t="s">
        <v>263</v>
      </c>
      <c r="D149" s="37" t="s">
        <v>256</v>
      </c>
      <c r="E149" s="38">
        <v>0</v>
      </c>
    </row>
    <row r="150" spans="1:5" x14ac:dyDescent="0.2">
      <c r="A150" s="35">
        <v>2021</v>
      </c>
      <c r="B150" s="36" t="s">
        <v>15</v>
      </c>
      <c r="C150" s="37" t="s">
        <v>249</v>
      </c>
      <c r="D150" s="37" t="s">
        <v>230</v>
      </c>
      <c r="E150" s="38">
        <v>197165106</v>
      </c>
    </row>
    <row r="151" spans="1:5" x14ac:dyDescent="0.2">
      <c r="A151" s="35">
        <v>2021</v>
      </c>
      <c r="B151" s="36" t="s">
        <v>15</v>
      </c>
      <c r="C151" s="37" t="s">
        <v>249</v>
      </c>
      <c r="D151" s="37" t="s">
        <v>250</v>
      </c>
      <c r="E151" s="38">
        <v>294154</v>
      </c>
    </row>
    <row r="152" spans="1:5" x14ac:dyDescent="0.2">
      <c r="A152" s="35">
        <v>2021</v>
      </c>
      <c r="B152" s="36" t="s">
        <v>15</v>
      </c>
      <c r="C152" s="37" t="s">
        <v>249</v>
      </c>
      <c r="D152" s="37" t="s">
        <v>267</v>
      </c>
      <c r="E152" s="38">
        <v>11127544</v>
      </c>
    </row>
    <row r="153" spans="1:5" x14ac:dyDescent="0.2">
      <c r="A153" s="35">
        <v>2021</v>
      </c>
      <c r="B153" s="36" t="s">
        <v>15</v>
      </c>
      <c r="C153" s="37" t="s">
        <v>249</v>
      </c>
      <c r="D153" s="37" t="s">
        <v>266</v>
      </c>
      <c r="E153" s="38">
        <v>-317434</v>
      </c>
    </row>
    <row r="154" spans="1:5" x14ac:dyDescent="0.2">
      <c r="A154" s="35">
        <v>2021</v>
      </c>
      <c r="B154" s="36" t="s">
        <v>15</v>
      </c>
      <c r="C154" s="37" t="s">
        <v>249</v>
      </c>
      <c r="D154" s="37" t="s">
        <v>251</v>
      </c>
      <c r="E154" s="38">
        <v>14677580</v>
      </c>
    </row>
    <row r="155" spans="1:5" x14ac:dyDescent="0.2">
      <c r="A155" s="35">
        <v>2021</v>
      </c>
      <c r="B155" s="36" t="s">
        <v>15</v>
      </c>
      <c r="C155" s="37" t="s">
        <v>249</v>
      </c>
      <c r="D155" s="37" t="s">
        <v>252</v>
      </c>
      <c r="E155" s="38">
        <v>97427092</v>
      </c>
    </row>
    <row r="156" spans="1:5" x14ac:dyDescent="0.2">
      <c r="A156" s="35">
        <v>2021</v>
      </c>
      <c r="B156" s="36" t="s">
        <v>15</v>
      </c>
      <c r="C156" s="37" t="s">
        <v>249</v>
      </c>
      <c r="D156" s="37" t="s">
        <v>264</v>
      </c>
      <c r="E156" s="38">
        <v>16477366</v>
      </c>
    </row>
    <row r="157" spans="1:5" x14ac:dyDescent="0.2">
      <c r="A157" s="35">
        <v>2021</v>
      </c>
      <c r="B157" s="36" t="s">
        <v>15</v>
      </c>
      <c r="C157" s="37" t="s">
        <v>249</v>
      </c>
      <c r="D157" s="37" t="s">
        <v>265</v>
      </c>
      <c r="E157" s="38">
        <v>1368920</v>
      </c>
    </row>
    <row r="158" spans="1:5" x14ac:dyDescent="0.2">
      <c r="A158" s="35">
        <v>2021</v>
      </c>
      <c r="B158" s="36" t="s">
        <v>15</v>
      </c>
      <c r="C158" s="37" t="s">
        <v>249</v>
      </c>
      <c r="D158" s="37" t="s">
        <v>253</v>
      </c>
      <c r="E158" s="38">
        <v>575895</v>
      </c>
    </row>
    <row r="159" spans="1:5" x14ac:dyDescent="0.2">
      <c r="A159" s="35">
        <v>2021</v>
      </c>
      <c r="B159" s="36" t="s">
        <v>15</v>
      </c>
      <c r="C159" s="37" t="s">
        <v>249</v>
      </c>
      <c r="D159" s="37" t="s">
        <v>254</v>
      </c>
      <c r="E159" s="38">
        <v>76998</v>
      </c>
    </row>
    <row r="160" spans="1:5" x14ac:dyDescent="0.2">
      <c r="A160" s="35">
        <v>2021</v>
      </c>
      <c r="B160" s="36" t="s">
        <v>15</v>
      </c>
      <c r="C160" s="37" t="s">
        <v>249</v>
      </c>
      <c r="D160" s="37" t="s">
        <v>255</v>
      </c>
      <c r="E160" s="38">
        <v>34863922</v>
      </c>
    </row>
    <row r="161" spans="1:5" x14ac:dyDescent="0.2">
      <c r="A161" s="35">
        <v>2021</v>
      </c>
      <c r="B161" s="36" t="s">
        <v>15</v>
      </c>
      <c r="C161" s="37" t="s">
        <v>249</v>
      </c>
      <c r="D161" s="37" t="s">
        <v>256</v>
      </c>
      <c r="E161" s="38">
        <v>2574350</v>
      </c>
    </row>
    <row r="162" spans="1:5" x14ac:dyDescent="0.2">
      <c r="A162" s="35">
        <v>2021</v>
      </c>
      <c r="B162" s="36" t="s">
        <v>15</v>
      </c>
      <c r="C162" s="37" t="s">
        <v>249</v>
      </c>
      <c r="D162" s="37" t="s">
        <v>257</v>
      </c>
      <c r="E162" s="38">
        <v>15177006</v>
      </c>
    </row>
    <row r="163" spans="1:5" x14ac:dyDescent="0.2">
      <c r="A163" s="35">
        <v>2021</v>
      </c>
      <c r="B163" s="36" t="s">
        <v>15</v>
      </c>
      <c r="C163" s="37" t="s">
        <v>249</v>
      </c>
      <c r="D163" s="37" t="s">
        <v>258</v>
      </c>
      <c r="E163" s="38">
        <v>2841712</v>
      </c>
    </row>
    <row r="164" spans="1:5" x14ac:dyDescent="0.2">
      <c r="A164" s="35">
        <v>2021</v>
      </c>
      <c r="B164" s="36" t="s">
        <v>15</v>
      </c>
      <c r="C164" s="37" t="s">
        <v>259</v>
      </c>
      <c r="D164" s="37" t="s">
        <v>230</v>
      </c>
      <c r="E164" s="38">
        <v>13389479</v>
      </c>
    </row>
    <row r="165" spans="1:5" x14ac:dyDescent="0.2">
      <c r="A165" s="35">
        <v>2021</v>
      </c>
      <c r="B165" s="36" t="s">
        <v>15</v>
      </c>
      <c r="C165" s="37" t="s">
        <v>259</v>
      </c>
      <c r="D165" s="37" t="s">
        <v>250</v>
      </c>
      <c r="E165" s="38">
        <v>294154</v>
      </c>
    </row>
    <row r="166" spans="1:5" x14ac:dyDescent="0.2">
      <c r="A166" s="35">
        <v>2021</v>
      </c>
      <c r="B166" s="36" t="s">
        <v>15</v>
      </c>
      <c r="C166" s="37" t="s">
        <v>259</v>
      </c>
      <c r="D166" s="37" t="s">
        <v>252</v>
      </c>
      <c r="E166" s="38">
        <v>10348655</v>
      </c>
    </row>
    <row r="167" spans="1:5" x14ac:dyDescent="0.2">
      <c r="A167" s="35">
        <v>2021</v>
      </c>
      <c r="B167" s="36" t="s">
        <v>15</v>
      </c>
      <c r="C167" s="37" t="s">
        <v>259</v>
      </c>
      <c r="D167" s="37" t="s">
        <v>265</v>
      </c>
      <c r="E167" s="38">
        <v>1368920</v>
      </c>
    </row>
    <row r="168" spans="1:5" x14ac:dyDescent="0.2">
      <c r="A168" s="35">
        <v>2021</v>
      </c>
      <c r="B168" s="36" t="s">
        <v>15</v>
      </c>
      <c r="C168" s="37" t="s">
        <v>259</v>
      </c>
      <c r="D168" s="37" t="s">
        <v>253</v>
      </c>
      <c r="E168" s="38">
        <v>560274</v>
      </c>
    </row>
    <row r="169" spans="1:5" x14ac:dyDescent="0.2">
      <c r="A169" s="35">
        <v>2021</v>
      </c>
      <c r="B169" s="36" t="s">
        <v>15</v>
      </c>
      <c r="C169" s="37" t="s">
        <v>259</v>
      </c>
      <c r="D169" s="37" t="s">
        <v>254</v>
      </c>
      <c r="E169" s="38">
        <v>32708</v>
      </c>
    </row>
    <row r="170" spans="1:5" x14ac:dyDescent="0.2">
      <c r="A170" s="35">
        <v>2021</v>
      </c>
      <c r="B170" s="36" t="s">
        <v>15</v>
      </c>
      <c r="C170" s="37" t="s">
        <v>259</v>
      </c>
      <c r="D170" s="37" t="s">
        <v>255</v>
      </c>
      <c r="E170" s="38">
        <v>86600</v>
      </c>
    </row>
    <row r="171" spans="1:5" x14ac:dyDescent="0.2">
      <c r="A171" s="35">
        <v>2021</v>
      </c>
      <c r="B171" s="36" t="s">
        <v>15</v>
      </c>
      <c r="C171" s="37" t="s">
        <v>259</v>
      </c>
      <c r="D171" s="37" t="s">
        <v>256</v>
      </c>
      <c r="E171" s="38">
        <v>14934</v>
      </c>
    </row>
    <row r="172" spans="1:5" x14ac:dyDescent="0.2">
      <c r="A172" s="35">
        <v>2021</v>
      </c>
      <c r="B172" s="36" t="s">
        <v>15</v>
      </c>
      <c r="C172" s="37" t="s">
        <v>259</v>
      </c>
      <c r="D172" s="37" t="s">
        <v>257</v>
      </c>
      <c r="E172" s="38">
        <v>6014</v>
      </c>
    </row>
    <row r="173" spans="1:5" x14ac:dyDescent="0.2">
      <c r="A173" s="35">
        <v>2021</v>
      </c>
      <c r="B173" s="36" t="s">
        <v>15</v>
      </c>
      <c r="C173" s="37" t="s">
        <v>259</v>
      </c>
      <c r="D173" s="37" t="s">
        <v>258</v>
      </c>
      <c r="E173" s="38">
        <v>677220</v>
      </c>
    </row>
    <row r="174" spans="1:5" x14ac:dyDescent="0.2">
      <c r="A174" s="35">
        <v>2021</v>
      </c>
      <c r="B174" s="36" t="s">
        <v>15</v>
      </c>
      <c r="C174" s="37" t="s">
        <v>260</v>
      </c>
      <c r="D174" s="37" t="s">
        <v>230</v>
      </c>
      <c r="E174" s="38">
        <v>2458070</v>
      </c>
    </row>
    <row r="175" spans="1:5" x14ac:dyDescent="0.2">
      <c r="A175" s="35">
        <v>2021</v>
      </c>
      <c r="B175" s="36" t="s">
        <v>15</v>
      </c>
      <c r="C175" s="37" t="s">
        <v>260</v>
      </c>
      <c r="D175" s="37" t="s">
        <v>266</v>
      </c>
      <c r="E175" s="38">
        <v>0</v>
      </c>
    </row>
    <row r="176" spans="1:5" x14ac:dyDescent="0.2">
      <c r="A176" s="35">
        <v>2021</v>
      </c>
      <c r="B176" s="36" t="s">
        <v>15</v>
      </c>
      <c r="C176" s="37" t="s">
        <v>260</v>
      </c>
      <c r="D176" s="37" t="s">
        <v>251</v>
      </c>
      <c r="E176" s="38">
        <v>8520</v>
      </c>
    </row>
    <row r="177" spans="1:5" x14ac:dyDescent="0.2">
      <c r="A177" s="35">
        <v>2021</v>
      </c>
      <c r="B177" s="36" t="s">
        <v>15</v>
      </c>
      <c r="C177" s="37" t="s">
        <v>260</v>
      </c>
      <c r="D177" s="37" t="s">
        <v>252</v>
      </c>
      <c r="E177" s="38">
        <v>1550023</v>
      </c>
    </row>
    <row r="178" spans="1:5" x14ac:dyDescent="0.2">
      <c r="A178" s="35">
        <v>2021</v>
      </c>
      <c r="B178" s="36" t="s">
        <v>15</v>
      </c>
      <c r="C178" s="37" t="s">
        <v>260</v>
      </c>
      <c r="D178" s="37" t="s">
        <v>253</v>
      </c>
      <c r="E178" s="38">
        <v>-237</v>
      </c>
    </row>
    <row r="179" spans="1:5" x14ac:dyDescent="0.2">
      <c r="A179" s="35">
        <v>2021</v>
      </c>
      <c r="B179" s="36" t="s">
        <v>15</v>
      </c>
      <c r="C179" s="37" t="s">
        <v>260</v>
      </c>
      <c r="D179" s="37" t="s">
        <v>254</v>
      </c>
      <c r="E179" s="38">
        <v>513</v>
      </c>
    </row>
    <row r="180" spans="1:5" x14ac:dyDescent="0.2">
      <c r="A180" s="35">
        <v>2021</v>
      </c>
      <c r="B180" s="36" t="s">
        <v>15</v>
      </c>
      <c r="C180" s="37" t="s">
        <v>260</v>
      </c>
      <c r="D180" s="37" t="s">
        <v>255</v>
      </c>
      <c r="E180" s="38">
        <v>186756</v>
      </c>
    </row>
    <row r="181" spans="1:5" x14ac:dyDescent="0.2">
      <c r="A181" s="35">
        <v>2021</v>
      </c>
      <c r="B181" s="36" t="s">
        <v>15</v>
      </c>
      <c r="C181" s="37" t="s">
        <v>260</v>
      </c>
      <c r="D181" s="37" t="s">
        <v>256</v>
      </c>
      <c r="E181" s="38">
        <v>706312</v>
      </c>
    </row>
    <row r="182" spans="1:5" x14ac:dyDescent="0.2">
      <c r="A182" s="35">
        <v>2021</v>
      </c>
      <c r="B182" s="36" t="s">
        <v>15</v>
      </c>
      <c r="C182" s="37" t="s">
        <v>260</v>
      </c>
      <c r="D182" s="37" t="s">
        <v>257</v>
      </c>
      <c r="E182" s="38">
        <v>6182</v>
      </c>
    </row>
    <row r="183" spans="1:5" x14ac:dyDescent="0.2">
      <c r="A183" s="35">
        <v>2021</v>
      </c>
      <c r="B183" s="36" t="s">
        <v>15</v>
      </c>
      <c r="C183" s="37" t="s">
        <v>260</v>
      </c>
      <c r="D183" s="37" t="s">
        <v>258</v>
      </c>
      <c r="E183" s="38">
        <v>0</v>
      </c>
    </row>
    <row r="184" spans="1:5" x14ac:dyDescent="0.2">
      <c r="A184" s="35">
        <v>2021</v>
      </c>
      <c r="B184" s="36" t="s">
        <v>15</v>
      </c>
      <c r="C184" s="37" t="s">
        <v>261</v>
      </c>
      <c r="D184" s="37" t="s">
        <v>230</v>
      </c>
      <c r="E184" s="38">
        <v>12496170</v>
      </c>
    </row>
    <row r="185" spans="1:5" x14ac:dyDescent="0.2">
      <c r="A185" s="35">
        <v>2021</v>
      </c>
      <c r="B185" s="36" t="s">
        <v>15</v>
      </c>
      <c r="C185" s="37" t="s">
        <v>261</v>
      </c>
      <c r="D185" s="37" t="s">
        <v>250</v>
      </c>
      <c r="E185" s="38">
        <v>0</v>
      </c>
    </row>
    <row r="186" spans="1:5" x14ac:dyDescent="0.2">
      <c r="A186" s="35">
        <v>2021</v>
      </c>
      <c r="B186" s="36" t="s">
        <v>15</v>
      </c>
      <c r="C186" s="37" t="s">
        <v>261</v>
      </c>
      <c r="D186" s="37" t="s">
        <v>252</v>
      </c>
      <c r="E186" s="38">
        <v>11406649</v>
      </c>
    </row>
    <row r="187" spans="1:5" x14ac:dyDescent="0.2">
      <c r="A187" s="35">
        <v>2021</v>
      </c>
      <c r="B187" s="36" t="s">
        <v>15</v>
      </c>
      <c r="C187" s="37" t="s">
        <v>261</v>
      </c>
      <c r="D187" s="37" t="s">
        <v>253</v>
      </c>
      <c r="E187" s="38">
        <v>98699</v>
      </c>
    </row>
    <row r="188" spans="1:5" x14ac:dyDescent="0.2">
      <c r="A188" s="35">
        <v>2021</v>
      </c>
      <c r="B188" s="36" t="s">
        <v>15</v>
      </c>
      <c r="C188" s="37" t="s">
        <v>261</v>
      </c>
      <c r="D188" s="37" t="s">
        <v>254</v>
      </c>
      <c r="E188" s="38">
        <v>0</v>
      </c>
    </row>
    <row r="189" spans="1:5" x14ac:dyDescent="0.2">
      <c r="A189" s="35">
        <v>2021</v>
      </c>
      <c r="B189" s="36" t="s">
        <v>15</v>
      </c>
      <c r="C189" s="37" t="s">
        <v>261</v>
      </c>
      <c r="D189" s="37" t="s">
        <v>255</v>
      </c>
      <c r="E189" s="38">
        <v>7417</v>
      </c>
    </row>
    <row r="190" spans="1:5" x14ac:dyDescent="0.2">
      <c r="A190" s="35">
        <v>2021</v>
      </c>
      <c r="B190" s="36" t="s">
        <v>15</v>
      </c>
      <c r="C190" s="37" t="s">
        <v>261</v>
      </c>
      <c r="D190" s="37" t="s">
        <v>256</v>
      </c>
      <c r="E190" s="38">
        <v>180497</v>
      </c>
    </row>
    <row r="191" spans="1:5" x14ac:dyDescent="0.2">
      <c r="A191" s="35">
        <v>2021</v>
      </c>
      <c r="B191" s="36" t="s">
        <v>15</v>
      </c>
      <c r="C191" s="37" t="s">
        <v>261</v>
      </c>
      <c r="D191" s="37" t="s">
        <v>258</v>
      </c>
      <c r="E191" s="38">
        <v>802908</v>
      </c>
    </row>
    <row r="192" spans="1:5" x14ac:dyDescent="0.2">
      <c r="A192" s="35">
        <v>2021</v>
      </c>
      <c r="B192" s="36" t="s">
        <v>15</v>
      </c>
      <c r="C192" s="37" t="s">
        <v>262</v>
      </c>
      <c r="D192" s="37" t="s">
        <v>230</v>
      </c>
      <c r="E192" s="38">
        <v>106631213</v>
      </c>
    </row>
    <row r="193" spans="1:5" x14ac:dyDescent="0.2">
      <c r="A193" s="35">
        <v>2021</v>
      </c>
      <c r="B193" s="36" t="s">
        <v>15</v>
      </c>
      <c r="C193" s="37" t="s">
        <v>262</v>
      </c>
      <c r="D193" s="37" t="s">
        <v>267</v>
      </c>
      <c r="E193" s="38">
        <v>10331338</v>
      </c>
    </row>
    <row r="194" spans="1:5" x14ac:dyDescent="0.2">
      <c r="A194" s="35">
        <v>2021</v>
      </c>
      <c r="B194" s="36" t="s">
        <v>15</v>
      </c>
      <c r="C194" s="37" t="s">
        <v>262</v>
      </c>
      <c r="D194" s="37" t="s">
        <v>251</v>
      </c>
      <c r="E194" s="38">
        <v>795754</v>
      </c>
    </row>
    <row r="195" spans="1:5" x14ac:dyDescent="0.2">
      <c r="A195" s="35">
        <v>2021</v>
      </c>
      <c r="B195" s="36" t="s">
        <v>15</v>
      </c>
      <c r="C195" s="37" t="s">
        <v>262</v>
      </c>
      <c r="D195" s="37" t="s">
        <v>252</v>
      </c>
      <c r="E195" s="38">
        <v>44138799</v>
      </c>
    </row>
    <row r="196" spans="1:5" x14ac:dyDescent="0.2">
      <c r="A196" s="35">
        <v>2021</v>
      </c>
      <c r="B196" s="36" t="s">
        <v>15</v>
      </c>
      <c r="C196" s="37" t="s">
        <v>262</v>
      </c>
      <c r="D196" s="37" t="s">
        <v>253</v>
      </c>
      <c r="E196" s="38">
        <v>-69368</v>
      </c>
    </row>
    <row r="197" spans="1:5" x14ac:dyDescent="0.2">
      <c r="A197" s="35">
        <v>2021</v>
      </c>
      <c r="B197" s="36" t="s">
        <v>15</v>
      </c>
      <c r="C197" s="37" t="s">
        <v>262</v>
      </c>
      <c r="D197" s="37" t="s">
        <v>254</v>
      </c>
      <c r="E197" s="38">
        <v>9701</v>
      </c>
    </row>
    <row r="198" spans="1:5" x14ac:dyDescent="0.2">
      <c r="A198" s="35">
        <v>2021</v>
      </c>
      <c r="B198" s="36" t="s">
        <v>15</v>
      </c>
      <c r="C198" s="37" t="s">
        <v>262</v>
      </c>
      <c r="D198" s="37" t="s">
        <v>255</v>
      </c>
      <c r="E198" s="38">
        <v>34168928</v>
      </c>
    </row>
    <row r="199" spans="1:5" x14ac:dyDescent="0.2">
      <c r="A199" s="35">
        <v>2021</v>
      </c>
      <c r="B199" s="36" t="s">
        <v>15</v>
      </c>
      <c r="C199" s="37" t="s">
        <v>262</v>
      </c>
      <c r="D199" s="37" t="s">
        <v>256</v>
      </c>
      <c r="E199" s="38">
        <v>1602924</v>
      </c>
    </row>
    <row r="200" spans="1:5" x14ac:dyDescent="0.2">
      <c r="A200" s="35">
        <v>2021</v>
      </c>
      <c r="B200" s="36" t="s">
        <v>15</v>
      </c>
      <c r="C200" s="37" t="s">
        <v>262</v>
      </c>
      <c r="D200" s="37" t="s">
        <v>257</v>
      </c>
      <c r="E200" s="38">
        <v>14291552</v>
      </c>
    </row>
    <row r="201" spans="1:5" x14ac:dyDescent="0.2">
      <c r="A201" s="35">
        <v>2021</v>
      </c>
      <c r="B201" s="36" t="s">
        <v>15</v>
      </c>
      <c r="C201" s="37" t="s">
        <v>262</v>
      </c>
      <c r="D201" s="37" t="s">
        <v>258</v>
      </c>
      <c r="E201" s="38">
        <v>1361584</v>
      </c>
    </row>
    <row r="202" spans="1:5" x14ac:dyDescent="0.2">
      <c r="A202" s="35">
        <v>2021</v>
      </c>
      <c r="B202" s="36" t="s">
        <v>15</v>
      </c>
      <c r="C202" s="37" t="s">
        <v>263</v>
      </c>
      <c r="D202" s="37" t="s">
        <v>230</v>
      </c>
      <c r="E202" s="38">
        <v>62190174</v>
      </c>
    </row>
    <row r="203" spans="1:5" x14ac:dyDescent="0.2">
      <c r="A203" s="35">
        <v>2021</v>
      </c>
      <c r="B203" s="36" t="s">
        <v>15</v>
      </c>
      <c r="C203" s="37" t="s">
        <v>263</v>
      </c>
      <c r="D203" s="37" t="s">
        <v>267</v>
      </c>
      <c r="E203" s="38">
        <v>796206</v>
      </c>
    </row>
    <row r="204" spans="1:5" x14ac:dyDescent="0.2">
      <c r="A204" s="35">
        <v>2021</v>
      </c>
      <c r="B204" s="36" t="s">
        <v>15</v>
      </c>
      <c r="C204" s="37" t="s">
        <v>263</v>
      </c>
      <c r="D204" s="37" t="s">
        <v>266</v>
      </c>
      <c r="E204" s="38">
        <v>-317434</v>
      </c>
    </row>
    <row r="205" spans="1:5" x14ac:dyDescent="0.2">
      <c r="A205" s="35">
        <v>2021</v>
      </c>
      <c r="B205" s="36" t="s">
        <v>15</v>
      </c>
      <c r="C205" s="37" t="s">
        <v>263</v>
      </c>
      <c r="D205" s="37" t="s">
        <v>251</v>
      </c>
      <c r="E205" s="38">
        <v>13873306</v>
      </c>
    </row>
    <row r="206" spans="1:5" x14ac:dyDescent="0.2">
      <c r="A206" s="35">
        <v>2021</v>
      </c>
      <c r="B206" s="36" t="s">
        <v>15</v>
      </c>
      <c r="C206" s="37" t="s">
        <v>263</v>
      </c>
      <c r="D206" s="37" t="s">
        <v>252</v>
      </c>
      <c r="E206" s="38">
        <v>29982967</v>
      </c>
    </row>
    <row r="207" spans="1:5" x14ac:dyDescent="0.2">
      <c r="A207" s="35">
        <v>2021</v>
      </c>
      <c r="B207" s="36" t="s">
        <v>15</v>
      </c>
      <c r="C207" s="37" t="s">
        <v>263</v>
      </c>
      <c r="D207" s="37" t="s">
        <v>264</v>
      </c>
      <c r="E207" s="38">
        <v>16477366</v>
      </c>
    </row>
    <row r="208" spans="1:5" x14ac:dyDescent="0.2">
      <c r="A208" s="35">
        <v>2021</v>
      </c>
      <c r="B208" s="36" t="s">
        <v>15</v>
      </c>
      <c r="C208" s="37" t="s">
        <v>263</v>
      </c>
      <c r="D208" s="37" t="s">
        <v>265</v>
      </c>
      <c r="E208" s="38">
        <v>0</v>
      </c>
    </row>
    <row r="209" spans="1:5" x14ac:dyDescent="0.2">
      <c r="A209" s="35">
        <v>2021</v>
      </c>
      <c r="B209" s="36" t="s">
        <v>15</v>
      </c>
      <c r="C209" s="37" t="s">
        <v>263</v>
      </c>
      <c r="D209" s="37" t="s">
        <v>253</v>
      </c>
      <c r="E209" s="38">
        <v>-13473</v>
      </c>
    </row>
    <row r="210" spans="1:5" x14ac:dyDescent="0.2">
      <c r="A210" s="35">
        <v>2021</v>
      </c>
      <c r="B210" s="36" t="s">
        <v>15</v>
      </c>
      <c r="C210" s="37" t="s">
        <v>263</v>
      </c>
      <c r="D210" s="37" t="s">
        <v>254</v>
      </c>
      <c r="E210" s="38">
        <v>34075</v>
      </c>
    </row>
    <row r="211" spans="1:5" x14ac:dyDescent="0.2">
      <c r="A211" s="35">
        <v>2021</v>
      </c>
      <c r="B211" s="36" t="s">
        <v>15</v>
      </c>
      <c r="C211" s="37" t="s">
        <v>263</v>
      </c>
      <c r="D211" s="37" t="s">
        <v>255</v>
      </c>
      <c r="E211" s="38">
        <v>414221</v>
      </c>
    </row>
    <row r="212" spans="1:5" x14ac:dyDescent="0.2">
      <c r="A212" s="35">
        <v>2021</v>
      </c>
      <c r="B212" s="36" t="s">
        <v>15</v>
      </c>
      <c r="C212" s="37" t="s">
        <v>263</v>
      </c>
      <c r="D212" s="37" t="s">
        <v>256</v>
      </c>
      <c r="E212" s="38">
        <v>69682</v>
      </c>
    </row>
    <row r="213" spans="1:5" x14ac:dyDescent="0.2">
      <c r="A213" s="35">
        <v>2021</v>
      </c>
      <c r="B213" s="36" t="s">
        <v>15</v>
      </c>
      <c r="C213" s="37" t="s">
        <v>263</v>
      </c>
      <c r="D213" s="37" t="s">
        <v>257</v>
      </c>
      <c r="E213" s="38">
        <v>873258</v>
      </c>
    </row>
    <row r="214" spans="1:5" x14ac:dyDescent="0.2">
      <c r="A214" s="35">
        <v>2021</v>
      </c>
      <c r="B214" s="36" t="s">
        <v>16</v>
      </c>
      <c r="C214" s="37" t="s">
        <v>249</v>
      </c>
      <c r="D214" s="37" t="s">
        <v>230</v>
      </c>
      <c r="E214" s="38">
        <v>56838472</v>
      </c>
    </row>
    <row r="215" spans="1:5" x14ac:dyDescent="0.2">
      <c r="A215" s="35">
        <v>2021</v>
      </c>
      <c r="B215" s="36" t="s">
        <v>16</v>
      </c>
      <c r="C215" s="37" t="s">
        <v>249</v>
      </c>
      <c r="D215" s="37" t="s">
        <v>250</v>
      </c>
      <c r="E215" s="38">
        <v>23602042</v>
      </c>
    </row>
    <row r="216" spans="1:5" x14ac:dyDescent="0.2">
      <c r="A216" s="35">
        <v>2021</v>
      </c>
      <c r="B216" s="36" t="s">
        <v>16</v>
      </c>
      <c r="C216" s="37" t="s">
        <v>249</v>
      </c>
      <c r="D216" s="37" t="s">
        <v>266</v>
      </c>
      <c r="E216" s="38">
        <v>-35500</v>
      </c>
    </row>
    <row r="217" spans="1:5" x14ac:dyDescent="0.2">
      <c r="A217" s="35">
        <v>2021</v>
      </c>
      <c r="B217" s="36" t="s">
        <v>16</v>
      </c>
      <c r="C217" s="37" t="s">
        <v>249</v>
      </c>
      <c r="D217" s="37" t="s">
        <v>251</v>
      </c>
      <c r="E217" s="38">
        <v>1598310</v>
      </c>
    </row>
    <row r="218" spans="1:5" x14ac:dyDescent="0.2">
      <c r="A218" s="35">
        <v>2021</v>
      </c>
      <c r="B218" s="36" t="s">
        <v>16</v>
      </c>
      <c r="C218" s="37" t="s">
        <v>249</v>
      </c>
      <c r="D218" s="37" t="s">
        <v>252</v>
      </c>
      <c r="E218" s="38">
        <v>14559773</v>
      </c>
    </row>
    <row r="219" spans="1:5" x14ac:dyDescent="0.2">
      <c r="A219" s="35">
        <v>2021</v>
      </c>
      <c r="B219" s="36" t="s">
        <v>16</v>
      </c>
      <c r="C219" s="37" t="s">
        <v>249</v>
      </c>
      <c r="D219" s="37" t="s">
        <v>265</v>
      </c>
      <c r="E219" s="38">
        <v>6452</v>
      </c>
    </row>
    <row r="220" spans="1:5" x14ac:dyDescent="0.2">
      <c r="A220" s="35">
        <v>2021</v>
      </c>
      <c r="B220" s="36" t="s">
        <v>16</v>
      </c>
      <c r="C220" s="37" t="s">
        <v>249</v>
      </c>
      <c r="D220" s="37" t="s">
        <v>253</v>
      </c>
      <c r="E220" s="38">
        <v>54858</v>
      </c>
    </row>
    <row r="221" spans="1:5" x14ac:dyDescent="0.2">
      <c r="A221" s="35">
        <v>2021</v>
      </c>
      <c r="B221" s="36" t="s">
        <v>16</v>
      </c>
      <c r="C221" s="37" t="s">
        <v>249</v>
      </c>
      <c r="D221" s="37" t="s">
        <v>254</v>
      </c>
      <c r="E221" s="38">
        <v>27809</v>
      </c>
    </row>
    <row r="222" spans="1:5" x14ac:dyDescent="0.2">
      <c r="A222" s="35">
        <v>2021</v>
      </c>
      <c r="B222" s="36" t="s">
        <v>16</v>
      </c>
      <c r="C222" s="37" t="s">
        <v>249</v>
      </c>
      <c r="D222" s="37" t="s">
        <v>255</v>
      </c>
      <c r="E222" s="38">
        <v>1729948</v>
      </c>
    </row>
    <row r="223" spans="1:5" x14ac:dyDescent="0.2">
      <c r="A223" s="35">
        <v>2021</v>
      </c>
      <c r="B223" s="36" t="s">
        <v>16</v>
      </c>
      <c r="C223" s="37" t="s">
        <v>249</v>
      </c>
      <c r="D223" s="37" t="s">
        <v>256</v>
      </c>
      <c r="E223" s="38">
        <v>74231</v>
      </c>
    </row>
    <row r="224" spans="1:5" x14ac:dyDescent="0.2">
      <c r="A224" s="35">
        <v>2021</v>
      </c>
      <c r="B224" s="36" t="s">
        <v>16</v>
      </c>
      <c r="C224" s="37" t="s">
        <v>249</v>
      </c>
      <c r="D224" s="37" t="s">
        <v>257</v>
      </c>
      <c r="E224" s="38">
        <v>15125697</v>
      </c>
    </row>
    <row r="225" spans="1:5" x14ac:dyDescent="0.2">
      <c r="A225" s="35">
        <v>2021</v>
      </c>
      <c r="B225" s="36" t="s">
        <v>16</v>
      </c>
      <c r="C225" s="37" t="s">
        <v>249</v>
      </c>
      <c r="D225" s="37" t="s">
        <v>258</v>
      </c>
      <c r="E225" s="38">
        <v>94851</v>
      </c>
    </row>
    <row r="226" spans="1:5" x14ac:dyDescent="0.2">
      <c r="A226" s="35">
        <v>2021</v>
      </c>
      <c r="B226" s="36" t="s">
        <v>16</v>
      </c>
      <c r="C226" s="37" t="s">
        <v>259</v>
      </c>
      <c r="D226" s="37" t="s">
        <v>230</v>
      </c>
      <c r="E226" s="38">
        <v>240911</v>
      </c>
    </row>
    <row r="227" spans="1:5" x14ac:dyDescent="0.2">
      <c r="A227" s="35">
        <v>2021</v>
      </c>
      <c r="B227" s="36" t="s">
        <v>16</v>
      </c>
      <c r="C227" s="37" t="s">
        <v>259</v>
      </c>
      <c r="D227" s="37" t="s">
        <v>250</v>
      </c>
      <c r="E227" s="38">
        <v>0</v>
      </c>
    </row>
    <row r="228" spans="1:5" x14ac:dyDescent="0.2">
      <c r="A228" s="35">
        <v>2021</v>
      </c>
      <c r="B228" s="36" t="s">
        <v>16</v>
      </c>
      <c r="C228" s="37" t="s">
        <v>259</v>
      </c>
      <c r="D228" s="37" t="s">
        <v>252</v>
      </c>
      <c r="E228" s="38">
        <v>183786</v>
      </c>
    </row>
    <row r="229" spans="1:5" x14ac:dyDescent="0.2">
      <c r="A229" s="35">
        <v>2021</v>
      </c>
      <c r="B229" s="36" t="s">
        <v>16</v>
      </c>
      <c r="C229" s="37" t="s">
        <v>259</v>
      </c>
      <c r="D229" s="37" t="s">
        <v>265</v>
      </c>
      <c r="E229" s="38">
        <v>6452</v>
      </c>
    </row>
    <row r="230" spans="1:5" x14ac:dyDescent="0.2">
      <c r="A230" s="35">
        <v>2021</v>
      </c>
      <c r="B230" s="36" t="s">
        <v>16</v>
      </c>
      <c r="C230" s="37" t="s">
        <v>259</v>
      </c>
      <c r="D230" s="37" t="s">
        <v>253</v>
      </c>
      <c r="E230" s="38">
        <v>47842</v>
      </c>
    </row>
    <row r="231" spans="1:5" x14ac:dyDescent="0.2">
      <c r="A231" s="35">
        <v>2021</v>
      </c>
      <c r="B231" s="36" t="s">
        <v>16</v>
      </c>
      <c r="C231" s="37" t="s">
        <v>259</v>
      </c>
      <c r="D231" s="37" t="s">
        <v>254</v>
      </c>
      <c r="E231" s="38">
        <v>40</v>
      </c>
    </row>
    <row r="232" spans="1:5" x14ac:dyDescent="0.2">
      <c r="A232" s="35">
        <v>2021</v>
      </c>
      <c r="B232" s="36" t="s">
        <v>16</v>
      </c>
      <c r="C232" s="37" t="s">
        <v>259</v>
      </c>
      <c r="D232" s="37" t="s">
        <v>257</v>
      </c>
      <c r="E232" s="38">
        <v>2791</v>
      </c>
    </row>
    <row r="233" spans="1:5" x14ac:dyDescent="0.2">
      <c r="A233" s="35">
        <v>2021</v>
      </c>
      <c r="B233" s="36" t="s">
        <v>16</v>
      </c>
      <c r="C233" s="37" t="s">
        <v>260</v>
      </c>
      <c r="D233" s="37" t="s">
        <v>230</v>
      </c>
      <c r="E233" s="38">
        <v>26710</v>
      </c>
    </row>
    <row r="234" spans="1:5" x14ac:dyDescent="0.2">
      <c r="A234" s="35">
        <v>2021</v>
      </c>
      <c r="B234" s="36" t="s">
        <v>16</v>
      </c>
      <c r="C234" s="37" t="s">
        <v>260</v>
      </c>
      <c r="D234" s="37" t="s">
        <v>251</v>
      </c>
      <c r="E234" s="38">
        <v>13993</v>
      </c>
    </row>
    <row r="235" spans="1:5" x14ac:dyDescent="0.2">
      <c r="A235" s="35">
        <v>2021</v>
      </c>
      <c r="B235" s="36" t="s">
        <v>16</v>
      </c>
      <c r="C235" s="37" t="s">
        <v>260</v>
      </c>
      <c r="D235" s="37" t="s">
        <v>252</v>
      </c>
      <c r="E235" s="38">
        <v>2544</v>
      </c>
    </row>
    <row r="236" spans="1:5" x14ac:dyDescent="0.2">
      <c r="A236" s="35">
        <v>2021</v>
      </c>
      <c r="B236" s="36" t="s">
        <v>16</v>
      </c>
      <c r="C236" s="37" t="s">
        <v>260</v>
      </c>
      <c r="D236" s="37" t="s">
        <v>253</v>
      </c>
      <c r="E236" s="38">
        <v>-5</v>
      </c>
    </row>
    <row r="237" spans="1:5" x14ac:dyDescent="0.2">
      <c r="A237" s="35">
        <v>2021</v>
      </c>
      <c r="B237" s="36" t="s">
        <v>16</v>
      </c>
      <c r="C237" s="37" t="s">
        <v>260</v>
      </c>
      <c r="D237" s="37" t="s">
        <v>254</v>
      </c>
      <c r="E237" s="38">
        <v>0</v>
      </c>
    </row>
    <row r="238" spans="1:5" x14ac:dyDescent="0.2">
      <c r="A238" s="35">
        <v>2021</v>
      </c>
      <c r="B238" s="36" t="s">
        <v>16</v>
      </c>
      <c r="C238" s="37" t="s">
        <v>260</v>
      </c>
      <c r="D238" s="37" t="s">
        <v>255</v>
      </c>
      <c r="E238" s="38">
        <v>10178</v>
      </c>
    </row>
    <row r="239" spans="1:5" x14ac:dyDescent="0.2">
      <c r="A239" s="35">
        <v>2021</v>
      </c>
      <c r="B239" s="36" t="s">
        <v>16</v>
      </c>
      <c r="C239" s="37" t="s">
        <v>261</v>
      </c>
      <c r="D239" s="37" t="s">
        <v>230</v>
      </c>
      <c r="E239" s="38">
        <v>36629</v>
      </c>
    </row>
    <row r="240" spans="1:5" x14ac:dyDescent="0.2">
      <c r="A240" s="35">
        <v>2021</v>
      </c>
      <c r="B240" s="36" t="s">
        <v>16</v>
      </c>
      <c r="C240" s="37" t="s">
        <v>261</v>
      </c>
      <c r="D240" s="37" t="s">
        <v>252</v>
      </c>
      <c r="E240" s="38">
        <v>646</v>
      </c>
    </row>
    <row r="241" spans="1:5" x14ac:dyDescent="0.2">
      <c r="A241" s="35">
        <v>2021</v>
      </c>
      <c r="B241" s="36" t="s">
        <v>16</v>
      </c>
      <c r="C241" s="37" t="s">
        <v>261</v>
      </c>
      <c r="D241" s="37" t="s">
        <v>254</v>
      </c>
      <c r="E241" s="38">
        <v>0</v>
      </c>
    </row>
    <row r="242" spans="1:5" x14ac:dyDescent="0.2">
      <c r="A242" s="35">
        <v>2021</v>
      </c>
      <c r="B242" s="36" t="s">
        <v>16</v>
      </c>
      <c r="C242" s="37" t="s">
        <v>261</v>
      </c>
      <c r="D242" s="37" t="s">
        <v>256</v>
      </c>
      <c r="E242" s="38">
        <v>35983</v>
      </c>
    </row>
    <row r="243" spans="1:5" x14ac:dyDescent="0.2">
      <c r="A243" s="35">
        <v>2021</v>
      </c>
      <c r="B243" s="36" t="s">
        <v>16</v>
      </c>
      <c r="C243" s="37" t="s">
        <v>262</v>
      </c>
      <c r="D243" s="37" t="s">
        <v>230</v>
      </c>
      <c r="E243" s="38">
        <v>15042665</v>
      </c>
    </row>
    <row r="244" spans="1:5" x14ac:dyDescent="0.2">
      <c r="A244" s="35">
        <v>2021</v>
      </c>
      <c r="B244" s="36" t="s">
        <v>16</v>
      </c>
      <c r="C244" s="37" t="s">
        <v>262</v>
      </c>
      <c r="D244" s="37" t="s">
        <v>251</v>
      </c>
      <c r="E244" s="38">
        <v>173124</v>
      </c>
    </row>
    <row r="245" spans="1:5" x14ac:dyDescent="0.2">
      <c r="A245" s="35">
        <v>2021</v>
      </c>
      <c r="B245" s="36" t="s">
        <v>16</v>
      </c>
      <c r="C245" s="37" t="s">
        <v>262</v>
      </c>
      <c r="D245" s="37" t="s">
        <v>252</v>
      </c>
      <c r="E245" s="38">
        <v>2171991</v>
      </c>
    </row>
    <row r="246" spans="1:5" x14ac:dyDescent="0.2">
      <c r="A246" s="35">
        <v>2021</v>
      </c>
      <c r="B246" s="36" t="s">
        <v>16</v>
      </c>
      <c r="C246" s="37" t="s">
        <v>262</v>
      </c>
      <c r="D246" s="37" t="s">
        <v>253</v>
      </c>
      <c r="E246" s="38">
        <v>7277</v>
      </c>
    </row>
    <row r="247" spans="1:5" x14ac:dyDescent="0.2">
      <c r="A247" s="35">
        <v>2021</v>
      </c>
      <c r="B247" s="36" t="s">
        <v>16</v>
      </c>
      <c r="C247" s="37" t="s">
        <v>262</v>
      </c>
      <c r="D247" s="37" t="s">
        <v>254</v>
      </c>
      <c r="E247" s="38">
        <v>0</v>
      </c>
    </row>
    <row r="248" spans="1:5" x14ac:dyDescent="0.2">
      <c r="A248" s="35">
        <v>2021</v>
      </c>
      <c r="B248" s="36" t="s">
        <v>16</v>
      </c>
      <c r="C248" s="37" t="s">
        <v>262</v>
      </c>
      <c r="D248" s="37" t="s">
        <v>255</v>
      </c>
      <c r="E248" s="38">
        <v>1706507</v>
      </c>
    </row>
    <row r="249" spans="1:5" x14ac:dyDescent="0.2">
      <c r="A249" s="35">
        <v>2021</v>
      </c>
      <c r="B249" s="36" t="s">
        <v>16</v>
      </c>
      <c r="C249" s="37" t="s">
        <v>262</v>
      </c>
      <c r="D249" s="37" t="s">
        <v>256</v>
      </c>
      <c r="E249" s="38">
        <v>38248</v>
      </c>
    </row>
    <row r="250" spans="1:5" x14ac:dyDescent="0.2">
      <c r="A250" s="35">
        <v>2021</v>
      </c>
      <c r="B250" s="36" t="s">
        <v>16</v>
      </c>
      <c r="C250" s="37" t="s">
        <v>262</v>
      </c>
      <c r="D250" s="37" t="s">
        <v>257</v>
      </c>
      <c r="E250" s="38">
        <v>10850667</v>
      </c>
    </row>
    <row r="251" spans="1:5" x14ac:dyDescent="0.2">
      <c r="A251" s="35">
        <v>2021</v>
      </c>
      <c r="B251" s="36" t="s">
        <v>16</v>
      </c>
      <c r="C251" s="37" t="s">
        <v>262</v>
      </c>
      <c r="D251" s="37" t="s">
        <v>258</v>
      </c>
      <c r="E251" s="38">
        <v>94851</v>
      </c>
    </row>
    <row r="252" spans="1:5" x14ac:dyDescent="0.2">
      <c r="A252" s="35">
        <v>2021</v>
      </c>
      <c r="B252" s="36" t="s">
        <v>16</v>
      </c>
      <c r="C252" s="37" t="s">
        <v>263</v>
      </c>
      <c r="D252" s="37" t="s">
        <v>230</v>
      </c>
      <c r="E252" s="38">
        <v>41491555</v>
      </c>
    </row>
    <row r="253" spans="1:5" x14ac:dyDescent="0.2">
      <c r="A253" s="35">
        <v>2021</v>
      </c>
      <c r="B253" s="36" t="s">
        <v>16</v>
      </c>
      <c r="C253" s="37" t="s">
        <v>263</v>
      </c>
      <c r="D253" s="37" t="s">
        <v>250</v>
      </c>
      <c r="E253" s="38">
        <v>23602042</v>
      </c>
    </row>
    <row r="254" spans="1:5" x14ac:dyDescent="0.2">
      <c r="A254" s="35">
        <v>2021</v>
      </c>
      <c r="B254" s="36" t="s">
        <v>16</v>
      </c>
      <c r="C254" s="37" t="s">
        <v>263</v>
      </c>
      <c r="D254" s="37" t="s">
        <v>266</v>
      </c>
      <c r="E254" s="38">
        <v>-35500</v>
      </c>
    </row>
    <row r="255" spans="1:5" x14ac:dyDescent="0.2">
      <c r="A255" s="35">
        <v>2021</v>
      </c>
      <c r="B255" s="36" t="s">
        <v>16</v>
      </c>
      <c r="C255" s="37" t="s">
        <v>263</v>
      </c>
      <c r="D255" s="37" t="s">
        <v>251</v>
      </c>
      <c r="E255" s="38">
        <v>1411193</v>
      </c>
    </row>
    <row r="256" spans="1:5" x14ac:dyDescent="0.2">
      <c r="A256" s="35">
        <v>2021</v>
      </c>
      <c r="B256" s="36" t="s">
        <v>16</v>
      </c>
      <c r="C256" s="37" t="s">
        <v>263</v>
      </c>
      <c r="D256" s="37" t="s">
        <v>252</v>
      </c>
      <c r="E256" s="38">
        <v>12200806</v>
      </c>
    </row>
    <row r="257" spans="1:5" x14ac:dyDescent="0.2">
      <c r="A257" s="35">
        <v>2021</v>
      </c>
      <c r="B257" s="36" t="s">
        <v>16</v>
      </c>
      <c r="C257" s="37" t="s">
        <v>263</v>
      </c>
      <c r="D257" s="37" t="s">
        <v>253</v>
      </c>
      <c r="E257" s="38">
        <v>-256</v>
      </c>
    </row>
    <row r="258" spans="1:5" x14ac:dyDescent="0.2">
      <c r="A258" s="35">
        <v>2021</v>
      </c>
      <c r="B258" s="36" t="s">
        <v>16</v>
      </c>
      <c r="C258" s="37" t="s">
        <v>263</v>
      </c>
      <c r="D258" s="37" t="s">
        <v>254</v>
      </c>
      <c r="E258" s="38">
        <v>27769</v>
      </c>
    </row>
    <row r="259" spans="1:5" x14ac:dyDescent="0.2">
      <c r="A259" s="35">
        <v>2021</v>
      </c>
      <c r="B259" s="36" t="s">
        <v>16</v>
      </c>
      <c r="C259" s="37" t="s">
        <v>263</v>
      </c>
      <c r="D259" s="37" t="s">
        <v>255</v>
      </c>
      <c r="E259" s="38">
        <v>13263</v>
      </c>
    </row>
    <row r="260" spans="1:5" x14ac:dyDescent="0.2">
      <c r="A260" s="35">
        <v>2021</v>
      </c>
      <c r="B260" s="36" t="s">
        <v>16</v>
      </c>
      <c r="C260" s="37" t="s">
        <v>263</v>
      </c>
      <c r="D260" s="37" t="s">
        <v>257</v>
      </c>
      <c r="E260" s="38">
        <v>4272239</v>
      </c>
    </row>
    <row r="261" spans="1:5" x14ac:dyDescent="0.2">
      <c r="A261" s="35">
        <v>2021</v>
      </c>
      <c r="B261" s="36" t="s">
        <v>19</v>
      </c>
      <c r="C261" s="37" t="s">
        <v>249</v>
      </c>
      <c r="D261" s="37" t="s">
        <v>230</v>
      </c>
      <c r="E261" s="38">
        <v>44079943</v>
      </c>
    </row>
    <row r="262" spans="1:5" x14ac:dyDescent="0.2">
      <c r="A262" s="35">
        <v>2021</v>
      </c>
      <c r="B262" s="36" t="s">
        <v>19</v>
      </c>
      <c r="C262" s="37" t="s">
        <v>249</v>
      </c>
      <c r="D262" s="37" t="s">
        <v>250</v>
      </c>
      <c r="E262" s="38">
        <v>244647</v>
      </c>
    </row>
    <row r="263" spans="1:5" x14ac:dyDescent="0.2">
      <c r="A263" s="35">
        <v>2021</v>
      </c>
      <c r="B263" s="36" t="s">
        <v>19</v>
      </c>
      <c r="C263" s="37" t="s">
        <v>249</v>
      </c>
      <c r="D263" s="37" t="s">
        <v>266</v>
      </c>
      <c r="E263" s="38">
        <v>433</v>
      </c>
    </row>
    <row r="264" spans="1:5" x14ac:dyDescent="0.2">
      <c r="A264" s="35">
        <v>2021</v>
      </c>
      <c r="B264" s="36" t="s">
        <v>19</v>
      </c>
      <c r="C264" s="37" t="s">
        <v>249</v>
      </c>
      <c r="D264" s="37" t="s">
        <v>251</v>
      </c>
      <c r="E264" s="38">
        <v>477571</v>
      </c>
    </row>
    <row r="265" spans="1:5" x14ac:dyDescent="0.2">
      <c r="A265" s="35">
        <v>2021</v>
      </c>
      <c r="B265" s="36" t="s">
        <v>19</v>
      </c>
      <c r="C265" s="37" t="s">
        <v>249</v>
      </c>
      <c r="D265" s="37" t="s">
        <v>252</v>
      </c>
      <c r="E265" s="38">
        <v>24488902</v>
      </c>
    </row>
    <row r="266" spans="1:5" x14ac:dyDescent="0.2">
      <c r="A266" s="35">
        <v>2021</v>
      </c>
      <c r="B266" s="36" t="s">
        <v>19</v>
      </c>
      <c r="C266" s="37" t="s">
        <v>249</v>
      </c>
      <c r="D266" s="37" t="s">
        <v>264</v>
      </c>
      <c r="E266" s="38">
        <v>17216509</v>
      </c>
    </row>
    <row r="267" spans="1:5" x14ac:dyDescent="0.2">
      <c r="A267" s="35">
        <v>2021</v>
      </c>
      <c r="B267" s="36" t="s">
        <v>19</v>
      </c>
      <c r="C267" s="37" t="s">
        <v>249</v>
      </c>
      <c r="D267" s="37" t="s">
        <v>253</v>
      </c>
      <c r="E267" s="38">
        <v>571132</v>
      </c>
    </row>
    <row r="268" spans="1:5" x14ac:dyDescent="0.2">
      <c r="A268" s="35">
        <v>2021</v>
      </c>
      <c r="B268" s="36" t="s">
        <v>19</v>
      </c>
      <c r="C268" s="37" t="s">
        <v>249</v>
      </c>
      <c r="D268" s="37" t="s">
        <v>254</v>
      </c>
      <c r="E268" s="38">
        <v>45950</v>
      </c>
    </row>
    <row r="269" spans="1:5" x14ac:dyDescent="0.2">
      <c r="A269" s="35">
        <v>2021</v>
      </c>
      <c r="B269" s="36" t="s">
        <v>19</v>
      </c>
      <c r="C269" s="37" t="s">
        <v>249</v>
      </c>
      <c r="D269" s="37" t="s">
        <v>255</v>
      </c>
      <c r="E269" s="38">
        <v>265188</v>
      </c>
    </row>
    <row r="270" spans="1:5" x14ac:dyDescent="0.2">
      <c r="A270" s="35">
        <v>2021</v>
      </c>
      <c r="B270" s="36" t="s">
        <v>19</v>
      </c>
      <c r="C270" s="37" t="s">
        <v>249</v>
      </c>
      <c r="D270" s="37" t="s">
        <v>256</v>
      </c>
      <c r="E270" s="38">
        <v>473999</v>
      </c>
    </row>
    <row r="271" spans="1:5" x14ac:dyDescent="0.2">
      <c r="A271" s="35">
        <v>2021</v>
      </c>
      <c r="B271" s="36" t="s">
        <v>19</v>
      </c>
      <c r="C271" s="37" t="s">
        <v>249</v>
      </c>
      <c r="D271" s="37" t="s">
        <v>257</v>
      </c>
      <c r="E271" s="38">
        <v>12758</v>
      </c>
    </row>
    <row r="272" spans="1:5" x14ac:dyDescent="0.2">
      <c r="A272" s="35">
        <v>2021</v>
      </c>
      <c r="B272" s="36" t="s">
        <v>19</v>
      </c>
      <c r="C272" s="37" t="s">
        <v>249</v>
      </c>
      <c r="D272" s="37" t="s">
        <v>258</v>
      </c>
      <c r="E272" s="38">
        <v>282855</v>
      </c>
    </row>
    <row r="273" spans="1:5" x14ac:dyDescent="0.2">
      <c r="A273" s="35">
        <v>2021</v>
      </c>
      <c r="B273" s="36" t="s">
        <v>19</v>
      </c>
      <c r="C273" s="37" t="s">
        <v>259</v>
      </c>
      <c r="D273" s="37" t="s">
        <v>230</v>
      </c>
      <c r="E273" s="38">
        <v>644693</v>
      </c>
    </row>
    <row r="274" spans="1:5" x14ac:dyDescent="0.2">
      <c r="A274" s="35">
        <v>2021</v>
      </c>
      <c r="B274" s="36" t="s">
        <v>19</v>
      </c>
      <c r="C274" s="37" t="s">
        <v>259</v>
      </c>
      <c r="D274" s="37" t="s">
        <v>252</v>
      </c>
      <c r="E274" s="38">
        <v>641626</v>
      </c>
    </row>
    <row r="275" spans="1:5" x14ac:dyDescent="0.2">
      <c r="A275" s="35">
        <v>2021</v>
      </c>
      <c r="B275" s="36" t="s">
        <v>19</v>
      </c>
      <c r="C275" s="37" t="s">
        <v>259</v>
      </c>
      <c r="D275" s="37" t="s">
        <v>254</v>
      </c>
      <c r="E275" s="38">
        <v>2957</v>
      </c>
    </row>
    <row r="276" spans="1:5" x14ac:dyDescent="0.2">
      <c r="A276" s="35">
        <v>2021</v>
      </c>
      <c r="B276" s="36" t="s">
        <v>19</v>
      </c>
      <c r="C276" s="37" t="s">
        <v>259</v>
      </c>
      <c r="D276" s="37" t="s">
        <v>255</v>
      </c>
      <c r="E276" s="38">
        <v>110</v>
      </c>
    </row>
    <row r="277" spans="1:5" x14ac:dyDescent="0.2">
      <c r="A277" s="35">
        <v>2021</v>
      </c>
      <c r="B277" s="36" t="s">
        <v>19</v>
      </c>
      <c r="C277" s="37" t="s">
        <v>260</v>
      </c>
      <c r="D277" s="37" t="s">
        <v>230</v>
      </c>
      <c r="E277" s="38">
        <v>314097</v>
      </c>
    </row>
    <row r="278" spans="1:5" x14ac:dyDescent="0.2">
      <c r="A278" s="35">
        <v>2021</v>
      </c>
      <c r="B278" s="36" t="s">
        <v>19</v>
      </c>
      <c r="C278" s="37" t="s">
        <v>260</v>
      </c>
      <c r="D278" s="37" t="s">
        <v>252</v>
      </c>
      <c r="E278" s="38">
        <v>309412</v>
      </c>
    </row>
    <row r="279" spans="1:5" x14ac:dyDescent="0.2">
      <c r="A279" s="35">
        <v>2021</v>
      </c>
      <c r="B279" s="36" t="s">
        <v>19</v>
      </c>
      <c r="C279" s="37" t="s">
        <v>260</v>
      </c>
      <c r="D279" s="37" t="s">
        <v>254</v>
      </c>
      <c r="E279" s="38">
        <v>1410</v>
      </c>
    </row>
    <row r="280" spans="1:5" x14ac:dyDescent="0.2">
      <c r="A280" s="35">
        <v>2021</v>
      </c>
      <c r="B280" s="36" t="s">
        <v>19</v>
      </c>
      <c r="C280" s="37" t="s">
        <v>260</v>
      </c>
      <c r="D280" s="37" t="s">
        <v>255</v>
      </c>
      <c r="E280" s="38">
        <v>3275</v>
      </c>
    </row>
    <row r="281" spans="1:5" x14ac:dyDescent="0.2">
      <c r="A281" s="35">
        <v>2021</v>
      </c>
      <c r="B281" s="36" t="s">
        <v>19</v>
      </c>
      <c r="C281" s="37" t="s">
        <v>261</v>
      </c>
      <c r="D281" s="37" t="s">
        <v>230</v>
      </c>
      <c r="E281" s="38">
        <v>184053</v>
      </c>
    </row>
    <row r="282" spans="1:5" x14ac:dyDescent="0.2">
      <c r="A282" s="35">
        <v>2021</v>
      </c>
      <c r="B282" s="36" t="s">
        <v>19</v>
      </c>
      <c r="C282" s="37" t="s">
        <v>261</v>
      </c>
      <c r="D282" s="37" t="s">
        <v>252</v>
      </c>
      <c r="E282" s="38">
        <v>183729</v>
      </c>
    </row>
    <row r="283" spans="1:5" x14ac:dyDescent="0.2">
      <c r="A283" s="35">
        <v>2021</v>
      </c>
      <c r="B283" s="36" t="s">
        <v>19</v>
      </c>
      <c r="C283" s="37" t="s">
        <v>261</v>
      </c>
      <c r="D283" s="37" t="s">
        <v>254</v>
      </c>
      <c r="E283" s="38">
        <v>324</v>
      </c>
    </row>
    <row r="284" spans="1:5" x14ac:dyDescent="0.2">
      <c r="A284" s="35">
        <v>2021</v>
      </c>
      <c r="B284" s="36" t="s">
        <v>19</v>
      </c>
      <c r="C284" s="37" t="s">
        <v>262</v>
      </c>
      <c r="D284" s="37" t="s">
        <v>230</v>
      </c>
      <c r="E284" s="38">
        <v>42824314</v>
      </c>
    </row>
    <row r="285" spans="1:5" x14ac:dyDescent="0.2">
      <c r="A285" s="35">
        <v>2021</v>
      </c>
      <c r="B285" s="36" t="s">
        <v>19</v>
      </c>
      <c r="C285" s="37" t="s">
        <v>262</v>
      </c>
      <c r="D285" s="37" t="s">
        <v>250</v>
      </c>
      <c r="E285" s="38">
        <v>244647</v>
      </c>
    </row>
    <row r="286" spans="1:5" x14ac:dyDescent="0.2">
      <c r="A286" s="35">
        <v>2021</v>
      </c>
      <c r="B286" s="36" t="s">
        <v>19</v>
      </c>
      <c r="C286" s="37" t="s">
        <v>262</v>
      </c>
      <c r="D286" s="37" t="s">
        <v>266</v>
      </c>
      <c r="E286" s="38">
        <v>433</v>
      </c>
    </row>
    <row r="287" spans="1:5" x14ac:dyDescent="0.2">
      <c r="A287" s="35">
        <v>2021</v>
      </c>
      <c r="B287" s="36" t="s">
        <v>19</v>
      </c>
      <c r="C287" s="37" t="s">
        <v>262</v>
      </c>
      <c r="D287" s="37" t="s">
        <v>251</v>
      </c>
      <c r="E287" s="38">
        <v>433767</v>
      </c>
    </row>
    <row r="288" spans="1:5" x14ac:dyDescent="0.2">
      <c r="A288" s="35">
        <v>2021</v>
      </c>
      <c r="B288" s="36" t="s">
        <v>19</v>
      </c>
      <c r="C288" s="37" t="s">
        <v>262</v>
      </c>
      <c r="D288" s="37" t="s">
        <v>252</v>
      </c>
      <c r="E288" s="38">
        <v>23292429</v>
      </c>
    </row>
    <row r="289" spans="1:5" x14ac:dyDescent="0.2">
      <c r="A289" s="35">
        <v>2021</v>
      </c>
      <c r="B289" s="36" t="s">
        <v>19</v>
      </c>
      <c r="C289" s="37" t="s">
        <v>262</v>
      </c>
      <c r="D289" s="37" t="s">
        <v>264</v>
      </c>
      <c r="E289" s="38">
        <v>17216509</v>
      </c>
    </row>
    <row r="290" spans="1:5" x14ac:dyDescent="0.2">
      <c r="A290" s="35">
        <v>2021</v>
      </c>
      <c r="B290" s="36" t="s">
        <v>19</v>
      </c>
      <c r="C290" s="37" t="s">
        <v>262</v>
      </c>
      <c r="D290" s="37" t="s">
        <v>253</v>
      </c>
      <c r="E290" s="38">
        <v>571132</v>
      </c>
    </row>
    <row r="291" spans="1:5" x14ac:dyDescent="0.2">
      <c r="A291" s="35">
        <v>2021</v>
      </c>
      <c r="B291" s="36" t="s">
        <v>19</v>
      </c>
      <c r="C291" s="37" t="s">
        <v>262</v>
      </c>
      <c r="D291" s="37" t="s">
        <v>254</v>
      </c>
      <c r="E291" s="38">
        <v>36385</v>
      </c>
    </row>
    <row r="292" spans="1:5" x14ac:dyDescent="0.2">
      <c r="A292" s="35">
        <v>2021</v>
      </c>
      <c r="B292" s="36" t="s">
        <v>19</v>
      </c>
      <c r="C292" s="37" t="s">
        <v>262</v>
      </c>
      <c r="D292" s="37" t="s">
        <v>255</v>
      </c>
      <c r="E292" s="38">
        <v>259400</v>
      </c>
    </row>
    <row r="293" spans="1:5" x14ac:dyDescent="0.2">
      <c r="A293" s="35">
        <v>2021</v>
      </c>
      <c r="B293" s="36" t="s">
        <v>19</v>
      </c>
      <c r="C293" s="37" t="s">
        <v>262</v>
      </c>
      <c r="D293" s="37" t="s">
        <v>256</v>
      </c>
      <c r="E293" s="38">
        <v>473999</v>
      </c>
    </row>
    <row r="294" spans="1:5" x14ac:dyDescent="0.2">
      <c r="A294" s="35">
        <v>2021</v>
      </c>
      <c r="B294" s="36" t="s">
        <v>19</v>
      </c>
      <c r="C294" s="37" t="s">
        <v>262</v>
      </c>
      <c r="D294" s="37" t="s">
        <v>257</v>
      </c>
      <c r="E294" s="38">
        <v>12758</v>
      </c>
    </row>
    <row r="295" spans="1:5" x14ac:dyDescent="0.2">
      <c r="A295" s="35">
        <v>2021</v>
      </c>
      <c r="B295" s="36" t="s">
        <v>19</v>
      </c>
      <c r="C295" s="37" t="s">
        <v>262</v>
      </c>
      <c r="D295" s="37" t="s">
        <v>258</v>
      </c>
      <c r="E295" s="38">
        <v>282855</v>
      </c>
    </row>
    <row r="296" spans="1:5" x14ac:dyDescent="0.2">
      <c r="A296" s="35">
        <v>2021</v>
      </c>
      <c r="B296" s="36" t="s">
        <v>19</v>
      </c>
      <c r="C296" s="37" t="s">
        <v>263</v>
      </c>
      <c r="D296" s="37" t="s">
        <v>230</v>
      </c>
      <c r="E296" s="38">
        <v>112785</v>
      </c>
    </row>
    <row r="297" spans="1:5" x14ac:dyDescent="0.2">
      <c r="A297" s="35">
        <v>2021</v>
      </c>
      <c r="B297" s="36" t="s">
        <v>19</v>
      </c>
      <c r="C297" s="37" t="s">
        <v>263</v>
      </c>
      <c r="D297" s="37" t="s">
        <v>251</v>
      </c>
      <c r="E297" s="38">
        <v>43804</v>
      </c>
    </row>
    <row r="298" spans="1:5" x14ac:dyDescent="0.2">
      <c r="A298" s="35">
        <v>2021</v>
      </c>
      <c r="B298" s="36" t="s">
        <v>19</v>
      </c>
      <c r="C298" s="37" t="s">
        <v>263</v>
      </c>
      <c r="D298" s="37" t="s">
        <v>252</v>
      </c>
      <c r="E298" s="38">
        <v>61705</v>
      </c>
    </row>
    <row r="299" spans="1:5" x14ac:dyDescent="0.2">
      <c r="A299" s="35">
        <v>2021</v>
      </c>
      <c r="B299" s="36" t="s">
        <v>19</v>
      </c>
      <c r="C299" s="37" t="s">
        <v>263</v>
      </c>
      <c r="D299" s="37" t="s">
        <v>254</v>
      </c>
      <c r="E299" s="38">
        <v>4874</v>
      </c>
    </row>
    <row r="300" spans="1:5" x14ac:dyDescent="0.2">
      <c r="A300" s="35">
        <v>2021</v>
      </c>
      <c r="B300" s="36" t="s">
        <v>19</v>
      </c>
      <c r="C300" s="37" t="s">
        <v>263</v>
      </c>
      <c r="D300" s="37" t="s">
        <v>255</v>
      </c>
      <c r="E300" s="38">
        <v>2403</v>
      </c>
    </row>
    <row r="301" spans="1:5" x14ac:dyDescent="0.2">
      <c r="A301" s="35">
        <v>2021</v>
      </c>
      <c r="B301" s="36" t="s">
        <v>19</v>
      </c>
      <c r="C301" s="37" t="s">
        <v>263</v>
      </c>
      <c r="D301" s="37" t="s">
        <v>256</v>
      </c>
      <c r="E301" s="38">
        <v>0</v>
      </c>
    </row>
    <row r="302" spans="1:5" x14ac:dyDescent="0.2">
      <c r="A302" s="35">
        <v>2021</v>
      </c>
      <c r="B302" s="36" t="s">
        <v>184</v>
      </c>
      <c r="C302" s="37" t="s">
        <v>249</v>
      </c>
      <c r="D302" s="37" t="s">
        <v>230</v>
      </c>
      <c r="E302" s="38">
        <v>211101</v>
      </c>
    </row>
    <row r="303" spans="1:5" x14ac:dyDescent="0.2">
      <c r="A303" s="35">
        <v>2021</v>
      </c>
      <c r="B303" s="36" t="s">
        <v>184</v>
      </c>
      <c r="C303" s="37" t="s">
        <v>249</v>
      </c>
      <c r="D303" s="37" t="s">
        <v>252</v>
      </c>
      <c r="E303" s="38">
        <v>137072</v>
      </c>
    </row>
    <row r="304" spans="1:5" x14ac:dyDescent="0.2">
      <c r="A304" s="35">
        <v>2021</v>
      </c>
      <c r="B304" s="36" t="s">
        <v>184</v>
      </c>
      <c r="C304" s="37" t="s">
        <v>249</v>
      </c>
      <c r="D304" s="37" t="s">
        <v>254</v>
      </c>
      <c r="E304" s="38">
        <v>38</v>
      </c>
    </row>
    <row r="305" spans="1:5" x14ac:dyDescent="0.2">
      <c r="A305" s="35">
        <v>2021</v>
      </c>
      <c r="B305" s="36" t="s">
        <v>184</v>
      </c>
      <c r="C305" s="37" t="s">
        <v>249</v>
      </c>
      <c r="D305" s="37" t="s">
        <v>255</v>
      </c>
      <c r="E305" s="38">
        <v>18269</v>
      </c>
    </row>
    <row r="306" spans="1:5" x14ac:dyDescent="0.2">
      <c r="A306" s="35">
        <v>2021</v>
      </c>
      <c r="B306" s="36" t="s">
        <v>184</v>
      </c>
      <c r="C306" s="37" t="s">
        <v>249</v>
      </c>
      <c r="D306" s="37" t="s">
        <v>256</v>
      </c>
      <c r="E306" s="38">
        <v>55721</v>
      </c>
    </row>
    <row r="307" spans="1:5" x14ac:dyDescent="0.2">
      <c r="A307" s="35">
        <v>2021</v>
      </c>
      <c r="B307" s="36" t="s">
        <v>184</v>
      </c>
      <c r="C307" s="37" t="s">
        <v>260</v>
      </c>
      <c r="D307" s="37" t="s">
        <v>230</v>
      </c>
      <c r="E307" s="38">
        <v>192832</v>
      </c>
    </row>
    <row r="308" spans="1:5" x14ac:dyDescent="0.2">
      <c r="A308" s="35">
        <v>2021</v>
      </c>
      <c r="B308" s="36" t="s">
        <v>184</v>
      </c>
      <c r="C308" s="37" t="s">
        <v>260</v>
      </c>
      <c r="D308" s="37" t="s">
        <v>252</v>
      </c>
      <c r="E308" s="38">
        <v>137072</v>
      </c>
    </row>
    <row r="309" spans="1:5" x14ac:dyDescent="0.2">
      <c r="A309" s="35">
        <v>2021</v>
      </c>
      <c r="B309" s="36" t="s">
        <v>184</v>
      </c>
      <c r="C309" s="37" t="s">
        <v>260</v>
      </c>
      <c r="D309" s="37" t="s">
        <v>254</v>
      </c>
      <c r="E309" s="38">
        <v>38</v>
      </c>
    </row>
    <row r="310" spans="1:5" x14ac:dyDescent="0.2">
      <c r="A310" s="35">
        <v>2021</v>
      </c>
      <c r="B310" s="36" t="s">
        <v>184</v>
      </c>
      <c r="C310" s="37" t="s">
        <v>260</v>
      </c>
      <c r="D310" s="37" t="s">
        <v>256</v>
      </c>
      <c r="E310" s="38">
        <v>55721</v>
      </c>
    </row>
    <row r="311" spans="1:5" x14ac:dyDescent="0.2">
      <c r="A311" s="35">
        <v>2021</v>
      </c>
      <c r="B311" s="36" t="s">
        <v>184</v>
      </c>
      <c r="C311" s="37" t="s">
        <v>262</v>
      </c>
      <c r="D311" s="37" t="s">
        <v>230</v>
      </c>
      <c r="E311" s="38">
        <v>18269</v>
      </c>
    </row>
    <row r="312" spans="1:5" x14ac:dyDescent="0.2">
      <c r="A312" s="35">
        <v>2021</v>
      </c>
      <c r="B312" s="36" t="s">
        <v>184</v>
      </c>
      <c r="C312" s="37" t="s">
        <v>262</v>
      </c>
      <c r="D312" s="37" t="s">
        <v>255</v>
      </c>
      <c r="E312" s="38">
        <v>18269</v>
      </c>
    </row>
    <row r="313" spans="1:5" x14ac:dyDescent="0.2">
      <c r="A313" s="35">
        <v>2021</v>
      </c>
      <c r="B313" s="36" t="s">
        <v>22</v>
      </c>
      <c r="C313" s="37" t="s">
        <v>249</v>
      </c>
      <c r="D313" s="37" t="s">
        <v>230</v>
      </c>
      <c r="E313" s="38">
        <v>4305126</v>
      </c>
    </row>
    <row r="314" spans="1:5" x14ac:dyDescent="0.2">
      <c r="A314" s="35">
        <v>2021</v>
      </c>
      <c r="B314" s="36" t="s">
        <v>22</v>
      </c>
      <c r="C314" s="37" t="s">
        <v>249</v>
      </c>
      <c r="D314" s="37" t="s">
        <v>250</v>
      </c>
      <c r="E314" s="38">
        <v>276729</v>
      </c>
    </row>
    <row r="315" spans="1:5" x14ac:dyDescent="0.2">
      <c r="A315" s="35">
        <v>2021</v>
      </c>
      <c r="B315" s="36" t="s">
        <v>22</v>
      </c>
      <c r="C315" s="37" t="s">
        <v>249</v>
      </c>
      <c r="D315" s="37" t="s">
        <v>252</v>
      </c>
      <c r="E315" s="38">
        <v>3734203</v>
      </c>
    </row>
    <row r="316" spans="1:5" x14ac:dyDescent="0.2">
      <c r="A316" s="35">
        <v>2021</v>
      </c>
      <c r="B316" s="36" t="s">
        <v>22</v>
      </c>
      <c r="C316" s="37" t="s">
        <v>249</v>
      </c>
      <c r="D316" s="37" t="s">
        <v>265</v>
      </c>
      <c r="E316" s="38">
        <v>141823</v>
      </c>
    </row>
    <row r="317" spans="1:5" x14ac:dyDescent="0.2">
      <c r="A317" s="35">
        <v>2021</v>
      </c>
      <c r="B317" s="36" t="s">
        <v>22</v>
      </c>
      <c r="C317" s="37" t="s">
        <v>249</v>
      </c>
      <c r="D317" s="37" t="s">
        <v>254</v>
      </c>
      <c r="E317" s="38">
        <v>16747</v>
      </c>
    </row>
    <row r="318" spans="1:5" x14ac:dyDescent="0.2">
      <c r="A318" s="35">
        <v>2021</v>
      </c>
      <c r="B318" s="36" t="s">
        <v>22</v>
      </c>
      <c r="C318" s="37" t="s">
        <v>249</v>
      </c>
      <c r="D318" s="37" t="s">
        <v>255</v>
      </c>
      <c r="E318" s="38">
        <v>57126</v>
      </c>
    </row>
    <row r="319" spans="1:5" x14ac:dyDescent="0.2">
      <c r="A319" s="35">
        <v>2021</v>
      </c>
      <c r="B319" s="36" t="s">
        <v>22</v>
      </c>
      <c r="C319" s="37" t="s">
        <v>249</v>
      </c>
      <c r="D319" s="37" t="s">
        <v>256</v>
      </c>
      <c r="E319" s="38">
        <v>73648</v>
      </c>
    </row>
    <row r="320" spans="1:5" x14ac:dyDescent="0.2">
      <c r="A320" s="35">
        <v>2021</v>
      </c>
      <c r="B320" s="36" t="s">
        <v>22</v>
      </c>
      <c r="C320" s="37" t="s">
        <v>249</v>
      </c>
      <c r="D320" s="37" t="s">
        <v>257</v>
      </c>
      <c r="E320" s="38">
        <v>4849</v>
      </c>
    </row>
    <row r="321" spans="1:5" x14ac:dyDescent="0.2">
      <c r="A321" s="35">
        <v>2021</v>
      </c>
      <c r="B321" s="36" t="s">
        <v>22</v>
      </c>
      <c r="C321" s="37" t="s">
        <v>259</v>
      </c>
      <c r="D321" s="37" t="s">
        <v>230</v>
      </c>
      <c r="E321" s="38">
        <v>911355</v>
      </c>
    </row>
    <row r="322" spans="1:5" x14ac:dyDescent="0.2">
      <c r="A322" s="35">
        <v>2021</v>
      </c>
      <c r="B322" s="36" t="s">
        <v>22</v>
      </c>
      <c r="C322" s="37" t="s">
        <v>259</v>
      </c>
      <c r="D322" s="37" t="s">
        <v>252</v>
      </c>
      <c r="E322" s="38">
        <v>758285</v>
      </c>
    </row>
    <row r="323" spans="1:5" x14ac:dyDescent="0.2">
      <c r="A323" s="35">
        <v>2021</v>
      </c>
      <c r="B323" s="36" t="s">
        <v>22</v>
      </c>
      <c r="C323" s="37" t="s">
        <v>259</v>
      </c>
      <c r="D323" s="37" t="s">
        <v>265</v>
      </c>
      <c r="E323" s="38">
        <v>141823</v>
      </c>
    </row>
    <row r="324" spans="1:5" x14ac:dyDescent="0.2">
      <c r="A324" s="35">
        <v>2021</v>
      </c>
      <c r="B324" s="36" t="s">
        <v>22</v>
      </c>
      <c r="C324" s="37" t="s">
        <v>259</v>
      </c>
      <c r="D324" s="37" t="s">
        <v>254</v>
      </c>
      <c r="E324" s="38">
        <v>0</v>
      </c>
    </row>
    <row r="325" spans="1:5" x14ac:dyDescent="0.2">
      <c r="A325" s="35">
        <v>2021</v>
      </c>
      <c r="B325" s="36" t="s">
        <v>22</v>
      </c>
      <c r="C325" s="37" t="s">
        <v>259</v>
      </c>
      <c r="D325" s="37" t="s">
        <v>256</v>
      </c>
      <c r="E325" s="38">
        <v>11247</v>
      </c>
    </row>
    <row r="326" spans="1:5" x14ac:dyDescent="0.2">
      <c r="A326" s="35">
        <v>2021</v>
      </c>
      <c r="B326" s="36" t="s">
        <v>22</v>
      </c>
      <c r="C326" s="37" t="s">
        <v>260</v>
      </c>
      <c r="D326" s="37" t="s">
        <v>230</v>
      </c>
      <c r="E326" s="38">
        <v>6427</v>
      </c>
    </row>
    <row r="327" spans="1:5" x14ac:dyDescent="0.2">
      <c r="A327" s="35">
        <v>2021</v>
      </c>
      <c r="B327" s="36" t="s">
        <v>22</v>
      </c>
      <c r="C327" s="37" t="s">
        <v>260</v>
      </c>
      <c r="D327" s="37" t="s">
        <v>255</v>
      </c>
      <c r="E327" s="38">
        <v>1578</v>
      </c>
    </row>
    <row r="328" spans="1:5" x14ac:dyDescent="0.2">
      <c r="A328" s="35">
        <v>2021</v>
      </c>
      <c r="B328" s="36" t="s">
        <v>22</v>
      </c>
      <c r="C328" s="37" t="s">
        <v>260</v>
      </c>
      <c r="D328" s="37" t="s">
        <v>257</v>
      </c>
      <c r="E328" s="38">
        <v>4849</v>
      </c>
    </row>
    <row r="329" spans="1:5" x14ac:dyDescent="0.2">
      <c r="A329" s="35">
        <v>2021</v>
      </c>
      <c r="B329" s="36" t="s">
        <v>22</v>
      </c>
      <c r="C329" s="37" t="s">
        <v>261</v>
      </c>
      <c r="D329" s="37" t="s">
        <v>230</v>
      </c>
      <c r="E329" s="38">
        <v>120682</v>
      </c>
    </row>
    <row r="330" spans="1:5" x14ac:dyDescent="0.2">
      <c r="A330" s="35">
        <v>2021</v>
      </c>
      <c r="B330" s="36" t="s">
        <v>22</v>
      </c>
      <c r="C330" s="37" t="s">
        <v>261</v>
      </c>
      <c r="D330" s="37" t="s">
        <v>250</v>
      </c>
      <c r="E330" s="38">
        <v>0</v>
      </c>
    </row>
    <row r="331" spans="1:5" x14ac:dyDescent="0.2">
      <c r="A331" s="35">
        <v>2021</v>
      </c>
      <c r="B331" s="36" t="s">
        <v>22</v>
      </c>
      <c r="C331" s="37" t="s">
        <v>261</v>
      </c>
      <c r="D331" s="37" t="s">
        <v>252</v>
      </c>
      <c r="E331" s="38">
        <v>120044</v>
      </c>
    </row>
    <row r="332" spans="1:5" x14ac:dyDescent="0.2">
      <c r="A332" s="35">
        <v>2021</v>
      </c>
      <c r="B332" s="36" t="s">
        <v>22</v>
      </c>
      <c r="C332" s="37" t="s">
        <v>261</v>
      </c>
      <c r="D332" s="37" t="s">
        <v>254</v>
      </c>
      <c r="E332" s="38">
        <v>638</v>
      </c>
    </row>
    <row r="333" spans="1:5" x14ac:dyDescent="0.2">
      <c r="A333" s="35">
        <v>2021</v>
      </c>
      <c r="B333" s="36" t="s">
        <v>22</v>
      </c>
      <c r="C333" s="37" t="s">
        <v>262</v>
      </c>
      <c r="D333" s="37" t="s">
        <v>230</v>
      </c>
      <c r="E333" s="38">
        <v>3239150</v>
      </c>
    </row>
    <row r="334" spans="1:5" x14ac:dyDescent="0.2">
      <c r="A334" s="35">
        <v>2021</v>
      </c>
      <c r="B334" s="36" t="s">
        <v>22</v>
      </c>
      <c r="C334" s="37" t="s">
        <v>262</v>
      </c>
      <c r="D334" s="37" t="s">
        <v>250</v>
      </c>
      <c r="E334" s="38">
        <v>276729</v>
      </c>
    </row>
    <row r="335" spans="1:5" x14ac:dyDescent="0.2">
      <c r="A335" s="35">
        <v>2021</v>
      </c>
      <c r="B335" s="36" t="s">
        <v>22</v>
      </c>
      <c r="C335" s="37" t="s">
        <v>262</v>
      </c>
      <c r="D335" s="37" t="s">
        <v>252</v>
      </c>
      <c r="E335" s="38">
        <v>2836122</v>
      </c>
    </row>
    <row r="336" spans="1:5" x14ac:dyDescent="0.2">
      <c r="A336" s="35">
        <v>2021</v>
      </c>
      <c r="B336" s="36" t="s">
        <v>22</v>
      </c>
      <c r="C336" s="37" t="s">
        <v>262</v>
      </c>
      <c r="D336" s="37" t="s">
        <v>254</v>
      </c>
      <c r="E336" s="38">
        <v>14297</v>
      </c>
    </row>
    <row r="337" spans="1:5" x14ac:dyDescent="0.2">
      <c r="A337" s="35">
        <v>2021</v>
      </c>
      <c r="B337" s="36" t="s">
        <v>22</v>
      </c>
      <c r="C337" s="37" t="s">
        <v>262</v>
      </c>
      <c r="D337" s="37" t="s">
        <v>255</v>
      </c>
      <c r="E337" s="38">
        <v>49601</v>
      </c>
    </row>
    <row r="338" spans="1:5" x14ac:dyDescent="0.2">
      <c r="A338" s="35">
        <v>2021</v>
      </c>
      <c r="B338" s="36" t="s">
        <v>22</v>
      </c>
      <c r="C338" s="37" t="s">
        <v>262</v>
      </c>
      <c r="D338" s="37" t="s">
        <v>256</v>
      </c>
      <c r="E338" s="38">
        <v>62401</v>
      </c>
    </row>
    <row r="339" spans="1:5" x14ac:dyDescent="0.2">
      <c r="A339" s="35">
        <v>2021</v>
      </c>
      <c r="B339" s="36" t="s">
        <v>22</v>
      </c>
      <c r="C339" s="37" t="s">
        <v>263</v>
      </c>
      <c r="D339" s="37" t="s">
        <v>230</v>
      </c>
      <c r="E339" s="38">
        <v>27512</v>
      </c>
    </row>
    <row r="340" spans="1:5" x14ac:dyDescent="0.2">
      <c r="A340" s="35">
        <v>2021</v>
      </c>
      <c r="B340" s="36" t="s">
        <v>22</v>
      </c>
      <c r="C340" s="37" t="s">
        <v>263</v>
      </c>
      <c r="D340" s="37" t="s">
        <v>252</v>
      </c>
      <c r="E340" s="38">
        <v>19753</v>
      </c>
    </row>
    <row r="341" spans="1:5" x14ac:dyDescent="0.2">
      <c r="A341" s="35">
        <v>2021</v>
      </c>
      <c r="B341" s="36" t="s">
        <v>22</v>
      </c>
      <c r="C341" s="37" t="s">
        <v>263</v>
      </c>
      <c r="D341" s="37" t="s">
        <v>254</v>
      </c>
      <c r="E341" s="38">
        <v>1812</v>
      </c>
    </row>
    <row r="342" spans="1:5" x14ac:dyDescent="0.2">
      <c r="A342" s="35">
        <v>2021</v>
      </c>
      <c r="B342" s="36" t="s">
        <v>22</v>
      </c>
      <c r="C342" s="37" t="s">
        <v>263</v>
      </c>
      <c r="D342" s="37" t="s">
        <v>255</v>
      </c>
      <c r="E342" s="38">
        <v>5947</v>
      </c>
    </row>
    <row r="343" spans="1:5" x14ac:dyDescent="0.2">
      <c r="A343" s="35">
        <v>2021</v>
      </c>
      <c r="B343" s="36" t="s">
        <v>24</v>
      </c>
      <c r="C343" s="37" t="s">
        <v>249</v>
      </c>
      <c r="D343" s="37" t="s">
        <v>230</v>
      </c>
      <c r="E343" s="38">
        <v>247906982</v>
      </c>
    </row>
    <row r="344" spans="1:5" x14ac:dyDescent="0.2">
      <c r="A344" s="35">
        <v>2021</v>
      </c>
      <c r="B344" s="36" t="s">
        <v>24</v>
      </c>
      <c r="C344" s="37" t="s">
        <v>249</v>
      </c>
      <c r="D344" s="37" t="s">
        <v>250</v>
      </c>
      <c r="E344" s="38">
        <v>18384804</v>
      </c>
    </row>
    <row r="345" spans="1:5" x14ac:dyDescent="0.2">
      <c r="A345" s="35">
        <v>2021</v>
      </c>
      <c r="B345" s="36" t="s">
        <v>24</v>
      </c>
      <c r="C345" s="37" t="s">
        <v>249</v>
      </c>
      <c r="D345" s="37" t="s">
        <v>251</v>
      </c>
      <c r="E345" s="38">
        <v>251607</v>
      </c>
    </row>
    <row r="346" spans="1:5" x14ac:dyDescent="0.2">
      <c r="A346" s="35">
        <v>2021</v>
      </c>
      <c r="B346" s="36" t="s">
        <v>24</v>
      </c>
      <c r="C346" s="37" t="s">
        <v>249</v>
      </c>
      <c r="D346" s="37" t="s">
        <v>252</v>
      </c>
      <c r="E346" s="38">
        <v>182619846</v>
      </c>
    </row>
    <row r="347" spans="1:5" x14ac:dyDescent="0.2">
      <c r="A347" s="35">
        <v>2021</v>
      </c>
      <c r="B347" s="36" t="s">
        <v>24</v>
      </c>
      <c r="C347" s="37" t="s">
        <v>249</v>
      </c>
      <c r="D347" s="37" t="s">
        <v>264</v>
      </c>
      <c r="E347" s="38">
        <v>29514894</v>
      </c>
    </row>
    <row r="348" spans="1:5" x14ac:dyDescent="0.2">
      <c r="A348" s="35">
        <v>2021</v>
      </c>
      <c r="B348" s="36" t="s">
        <v>24</v>
      </c>
      <c r="C348" s="37" t="s">
        <v>249</v>
      </c>
      <c r="D348" s="37" t="s">
        <v>265</v>
      </c>
      <c r="E348" s="38">
        <v>141</v>
      </c>
    </row>
    <row r="349" spans="1:5" x14ac:dyDescent="0.2">
      <c r="A349" s="35">
        <v>2021</v>
      </c>
      <c r="B349" s="36" t="s">
        <v>24</v>
      </c>
      <c r="C349" s="37" t="s">
        <v>249</v>
      </c>
      <c r="D349" s="37" t="s">
        <v>253</v>
      </c>
      <c r="E349" s="38">
        <v>2697079</v>
      </c>
    </row>
    <row r="350" spans="1:5" x14ac:dyDescent="0.2">
      <c r="A350" s="35">
        <v>2021</v>
      </c>
      <c r="B350" s="36" t="s">
        <v>24</v>
      </c>
      <c r="C350" s="37" t="s">
        <v>249</v>
      </c>
      <c r="D350" s="37" t="s">
        <v>254</v>
      </c>
      <c r="E350" s="38">
        <v>1162018</v>
      </c>
    </row>
    <row r="351" spans="1:5" x14ac:dyDescent="0.2">
      <c r="A351" s="35">
        <v>2021</v>
      </c>
      <c r="B351" s="36" t="s">
        <v>24</v>
      </c>
      <c r="C351" s="37" t="s">
        <v>249</v>
      </c>
      <c r="D351" s="37" t="s">
        <v>255</v>
      </c>
      <c r="E351" s="38">
        <v>9048715</v>
      </c>
    </row>
    <row r="352" spans="1:5" x14ac:dyDescent="0.2">
      <c r="A352" s="35">
        <v>2021</v>
      </c>
      <c r="B352" s="36" t="s">
        <v>24</v>
      </c>
      <c r="C352" s="37" t="s">
        <v>249</v>
      </c>
      <c r="D352" s="37" t="s">
        <v>256</v>
      </c>
      <c r="E352" s="38">
        <v>2081285</v>
      </c>
    </row>
    <row r="353" spans="1:5" x14ac:dyDescent="0.2">
      <c r="A353" s="35">
        <v>2021</v>
      </c>
      <c r="B353" s="36" t="s">
        <v>24</v>
      </c>
      <c r="C353" s="37" t="s">
        <v>249</v>
      </c>
      <c r="D353" s="37" t="s">
        <v>258</v>
      </c>
      <c r="E353" s="38">
        <v>2146592</v>
      </c>
    </row>
    <row r="354" spans="1:5" x14ac:dyDescent="0.2">
      <c r="A354" s="35">
        <v>2021</v>
      </c>
      <c r="B354" s="36" t="s">
        <v>24</v>
      </c>
      <c r="C354" s="37" t="s">
        <v>259</v>
      </c>
      <c r="D354" s="37" t="s">
        <v>230</v>
      </c>
      <c r="E354" s="38">
        <v>4730359</v>
      </c>
    </row>
    <row r="355" spans="1:5" x14ac:dyDescent="0.2">
      <c r="A355" s="35">
        <v>2021</v>
      </c>
      <c r="B355" s="36" t="s">
        <v>24</v>
      </c>
      <c r="C355" s="37" t="s">
        <v>259</v>
      </c>
      <c r="D355" s="37" t="s">
        <v>250</v>
      </c>
      <c r="E355" s="38">
        <v>46307</v>
      </c>
    </row>
    <row r="356" spans="1:5" x14ac:dyDescent="0.2">
      <c r="A356" s="35">
        <v>2021</v>
      </c>
      <c r="B356" s="36" t="s">
        <v>24</v>
      </c>
      <c r="C356" s="37" t="s">
        <v>259</v>
      </c>
      <c r="D356" s="37" t="s">
        <v>252</v>
      </c>
      <c r="E356" s="38">
        <v>1776617</v>
      </c>
    </row>
    <row r="357" spans="1:5" x14ac:dyDescent="0.2">
      <c r="A357" s="35">
        <v>2021</v>
      </c>
      <c r="B357" s="36" t="s">
        <v>24</v>
      </c>
      <c r="C357" s="37" t="s">
        <v>259</v>
      </c>
      <c r="D357" s="37" t="s">
        <v>265</v>
      </c>
      <c r="E357" s="38">
        <v>141</v>
      </c>
    </row>
    <row r="358" spans="1:5" x14ac:dyDescent="0.2">
      <c r="A358" s="35">
        <v>2021</v>
      </c>
      <c r="B358" s="36" t="s">
        <v>24</v>
      </c>
      <c r="C358" s="37" t="s">
        <v>259</v>
      </c>
      <c r="D358" s="37" t="s">
        <v>253</v>
      </c>
      <c r="E358" s="38">
        <v>1067136</v>
      </c>
    </row>
    <row r="359" spans="1:5" x14ac:dyDescent="0.2">
      <c r="A359" s="35">
        <v>2021</v>
      </c>
      <c r="B359" s="36" t="s">
        <v>24</v>
      </c>
      <c r="C359" s="37" t="s">
        <v>259</v>
      </c>
      <c r="D359" s="37" t="s">
        <v>254</v>
      </c>
      <c r="E359" s="38">
        <v>20011</v>
      </c>
    </row>
    <row r="360" spans="1:5" x14ac:dyDescent="0.2">
      <c r="A360" s="35">
        <v>2021</v>
      </c>
      <c r="B360" s="36" t="s">
        <v>24</v>
      </c>
      <c r="C360" s="37" t="s">
        <v>259</v>
      </c>
      <c r="D360" s="37" t="s">
        <v>255</v>
      </c>
      <c r="E360" s="38">
        <v>3173</v>
      </c>
    </row>
    <row r="361" spans="1:5" x14ac:dyDescent="0.2">
      <c r="A361" s="35">
        <v>2021</v>
      </c>
      <c r="B361" s="36" t="s">
        <v>24</v>
      </c>
      <c r="C361" s="37" t="s">
        <v>259</v>
      </c>
      <c r="D361" s="37" t="s">
        <v>256</v>
      </c>
      <c r="E361" s="38">
        <v>279524</v>
      </c>
    </row>
    <row r="362" spans="1:5" x14ac:dyDescent="0.2">
      <c r="A362" s="35">
        <v>2021</v>
      </c>
      <c r="B362" s="36" t="s">
        <v>24</v>
      </c>
      <c r="C362" s="37" t="s">
        <v>259</v>
      </c>
      <c r="D362" s="37" t="s">
        <v>258</v>
      </c>
      <c r="E362" s="38">
        <v>1537449</v>
      </c>
    </row>
    <row r="363" spans="1:5" x14ac:dyDescent="0.2">
      <c r="A363" s="35">
        <v>2021</v>
      </c>
      <c r="B363" s="36" t="s">
        <v>24</v>
      </c>
      <c r="C363" s="37" t="s">
        <v>260</v>
      </c>
      <c r="D363" s="37" t="s">
        <v>230</v>
      </c>
      <c r="E363" s="38">
        <v>437227</v>
      </c>
    </row>
    <row r="364" spans="1:5" x14ac:dyDescent="0.2">
      <c r="A364" s="35">
        <v>2021</v>
      </c>
      <c r="B364" s="36" t="s">
        <v>24</v>
      </c>
      <c r="C364" s="37" t="s">
        <v>260</v>
      </c>
      <c r="D364" s="37" t="s">
        <v>252</v>
      </c>
      <c r="E364" s="38">
        <v>68591</v>
      </c>
    </row>
    <row r="365" spans="1:5" x14ac:dyDescent="0.2">
      <c r="A365" s="35">
        <v>2021</v>
      </c>
      <c r="B365" s="36" t="s">
        <v>24</v>
      </c>
      <c r="C365" s="37" t="s">
        <v>260</v>
      </c>
      <c r="D365" s="37" t="s">
        <v>253</v>
      </c>
      <c r="E365" s="38">
        <v>190290</v>
      </c>
    </row>
    <row r="366" spans="1:5" x14ac:dyDescent="0.2">
      <c r="A366" s="35">
        <v>2021</v>
      </c>
      <c r="B366" s="36" t="s">
        <v>24</v>
      </c>
      <c r="C366" s="37" t="s">
        <v>260</v>
      </c>
      <c r="D366" s="37" t="s">
        <v>254</v>
      </c>
      <c r="E366" s="38">
        <v>0</v>
      </c>
    </row>
    <row r="367" spans="1:5" x14ac:dyDescent="0.2">
      <c r="A367" s="35">
        <v>2021</v>
      </c>
      <c r="B367" s="36" t="s">
        <v>24</v>
      </c>
      <c r="C367" s="37" t="s">
        <v>260</v>
      </c>
      <c r="D367" s="37" t="s">
        <v>255</v>
      </c>
      <c r="E367" s="38">
        <v>7234</v>
      </c>
    </row>
    <row r="368" spans="1:5" x14ac:dyDescent="0.2">
      <c r="A368" s="35">
        <v>2021</v>
      </c>
      <c r="B368" s="36" t="s">
        <v>24</v>
      </c>
      <c r="C368" s="37" t="s">
        <v>260</v>
      </c>
      <c r="D368" s="37" t="s">
        <v>256</v>
      </c>
      <c r="E368" s="38">
        <v>171111</v>
      </c>
    </row>
    <row r="369" spans="1:5" x14ac:dyDescent="0.2">
      <c r="A369" s="35">
        <v>2021</v>
      </c>
      <c r="B369" s="36" t="s">
        <v>24</v>
      </c>
      <c r="C369" s="37" t="s">
        <v>261</v>
      </c>
      <c r="D369" s="37" t="s">
        <v>230</v>
      </c>
      <c r="E369" s="38">
        <v>2007886</v>
      </c>
    </row>
    <row r="370" spans="1:5" x14ac:dyDescent="0.2">
      <c r="A370" s="35">
        <v>2021</v>
      </c>
      <c r="B370" s="36" t="s">
        <v>24</v>
      </c>
      <c r="C370" s="37" t="s">
        <v>261</v>
      </c>
      <c r="D370" s="37" t="s">
        <v>252</v>
      </c>
      <c r="E370" s="38">
        <v>1971416</v>
      </c>
    </row>
    <row r="371" spans="1:5" x14ac:dyDescent="0.2">
      <c r="A371" s="35">
        <v>2021</v>
      </c>
      <c r="B371" s="36" t="s">
        <v>24</v>
      </c>
      <c r="C371" s="37" t="s">
        <v>261</v>
      </c>
      <c r="D371" s="37" t="s">
        <v>254</v>
      </c>
      <c r="E371" s="38">
        <v>0</v>
      </c>
    </row>
    <row r="372" spans="1:5" x14ac:dyDescent="0.2">
      <c r="A372" s="35">
        <v>2021</v>
      </c>
      <c r="B372" s="36" t="s">
        <v>24</v>
      </c>
      <c r="C372" s="37" t="s">
        <v>261</v>
      </c>
      <c r="D372" s="37" t="s">
        <v>256</v>
      </c>
      <c r="E372" s="38">
        <v>36469</v>
      </c>
    </row>
    <row r="373" spans="1:5" x14ac:dyDescent="0.2">
      <c r="A373" s="35">
        <v>2021</v>
      </c>
      <c r="B373" s="36" t="s">
        <v>24</v>
      </c>
      <c r="C373" s="37" t="s">
        <v>261</v>
      </c>
      <c r="D373" s="37" t="s">
        <v>258</v>
      </c>
      <c r="E373" s="38">
        <v>0</v>
      </c>
    </row>
    <row r="374" spans="1:5" x14ac:dyDescent="0.2">
      <c r="A374" s="35">
        <v>2021</v>
      </c>
      <c r="B374" s="36" t="s">
        <v>24</v>
      </c>
      <c r="C374" s="37" t="s">
        <v>262</v>
      </c>
      <c r="D374" s="37" t="s">
        <v>230</v>
      </c>
      <c r="E374" s="38">
        <v>9617459</v>
      </c>
    </row>
    <row r="375" spans="1:5" x14ac:dyDescent="0.2">
      <c r="A375" s="35">
        <v>2021</v>
      </c>
      <c r="B375" s="36" t="s">
        <v>24</v>
      </c>
      <c r="C375" s="37" t="s">
        <v>262</v>
      </c>
      <c r="D375" s="37" t="s">
        <v>252</v>
      </c>
      <c r="E375" s="38">
        <v>5702624</v>
      </c>
    </row>
    <row r="376" spans="1:5" x14ac:dyDescent="0.2">
      <c r="A376" s="35">
        <v>2021</v>
      </c>
      <c r="B376" s="36" t="s">
        <v>24</v>
      </c>
      <c r="C376" s="37" t="s">
        <v>262</v>
      </c>
      <c r="D376" s="37" t="s">
        <v>253</v>
      </c>
      <c r="E376" s="38">
        <v>1441191</v>
      </c>
    </row>
    <row r="377" spans="1:5" x14ac:dyDescent="0.2">
      <c r="A377" s="35">
        <v>2021</v>
      </c>
      <c r="B377" s="36" t="s">
        <v>24</v>
      </c>
      <c r="C377" s="37" t="s">
        <v>262</v>
      </c>
      <c r="D377" s="37" t="s">
        <v>254</v>
      </c>
      <c r="E377" s="38">
        <v>21755</v>
      </c>
    </row>
    <row r="378" spans="1:5" x14ac:dyDescent="0.2">
      <c r="A378" s="35">
        <v>2021</v>
      </c>
      <c r="B378" s="36" t="s">
        <v>24</v>
      </c>
      <c r="C378" s="37" t="s">
        <v>262</v>
      </c>
      <c r="D378" s="37" t="s">
        <v>255</v>
      </c>
      <c r="E378" s="38">
        <v>933743</v>
      </c>
    </row>
    <row r="379" spans="1:5" x14ac:dyDescent="0.2">
      <c r="A379" s="35">
        <v>2021</v>
      </c>
      <c r="B379" s="36" t="s">
        <v>24</v>
      </c>
      <c r="C379" s="37" t="s">
        <v>262</v>
      </c>
      <c r="D379" s="37" t="s">
        <v>256</v>
      </c>
      <c r="E379" s="38">
        <v>1518146</v>
      </c>
    </row>
    <row r="380" spans="1:5" x14ac:dyDescent="0.2">
      <c r="A380" s="35">
        <v>2021</v>
      </c>
      <c r="B380" s="36" t="s">
        <v>24</v>
      </c>
      <c r="C380" s="37" t="s">
        <v>263</v>
      </c>
      <c r="D380" s="37" t="s">
        <v>230</v>
      </c>
      <c r="E380" s="38">
        <v>231114052</v>
      </c>
    </row>
    <row r="381" spans="1:5" x14ac:dyDescent="0.2">
      <c r="A381" s="35">
        <v>2021</v>
      </c>
      <c r="B381" s="36" t="s">
        <v>24</v>
      </c>
      <c r="C381" s="37" t="s">
        <v>263</v>
      </c>
      <c r="D381" s="37" t="s">
        <v>250</v>
      </c>
      <c r="E381" s="38">
        <v>18338497</v>
      </c>
    </row>
    <row r="382" spans="1:5" x14ac:dyDescent="0.2">
      <c r="A382" s="35">
        <v>2021</v>
      </c>
      <c r="B382" s="36" t="s">
        <v>24</v>
      </c>
      <c r="C382" s="37" t="s">
        <v>263</v>
      </c>
      <c r="D382" s="37" t="s">
        <v>251</v>
      </c>
      <c r="E382" s="38">
        <v>251607</v>
      </c>
    </row>
    <row r="383" spans="1:5" x14ac:dyDescent="0.2">
      <c r="A383" s="35">
        <v>2021</v>
      </c>
      <c r="B383" s="36" t="s">
        <v>24</v>
      </c>
      <c r="C383" s="37" t="s">
        <v>263</v>
      </c>
      <c r="D383" s="37" t="s">
        <v>252</v>
      </c>
      <c r="E383" s="38">
        <v>173100597</v>
      </c>
    </row>
    <row r="384" spans="1:5" x14ac:dyDescent="0.2">
      <c r="A384" s="35">
        <v>2021</v>
      </c>
      <c r="B384" s="36" t="s">
        <v>24</v>
      </c>
      <c r="C384" s="37" t="s">
        <v>263</v>
      </c>
      <c r="D384" s="37" t="s">
        <v>264</v>
      </c>
      <c r="E384" s="38">
        <v>29514894</v>
      </c>
    </row>
    <row r="385" spans="1:5" x14ac:dyDescent="0.2">
      <c r="A385" s="35">
        <v>2021</v>
      </c>
      <c r="B385" s="36" t="s">
        <v>24</v>
      </c>
      <c r="C385" s="37" t="s">
        <v>263</v>
      </c>
      <c r="D385" s="37" t="s">
        <v>253</v>
      </c>
      <c r="E385" s="38">
        <v>-1538</v>
      </c>
    </row>
    <row r="386" spans="1:5" x14ac:dyDescent="0.2">
      <c r="A386" s="35">
        <v>2021</v>
      </c>
      <c r="B386" s="36" t="s">
        <v>24</v>
      </c>
      <c r="C386" s="37" t="s">
        <v>263</v>
      </c>
      <c r="D386" s="37" t="s">
        <v>254</v>
      </c>
      <c r="E386" s="38">
        <v>1120252</v>
      </c>
    </row>
    <row r="387" spans="1:5" x14ac:dyDescent="0.2">
      <c r="A387" s="35">
        <v>2021</v>
      </c>
      <c r="B387" s="36" t="s">
        <v>24</v>
      </c>
      <c r="C387" s="37" t="s">
        <v>263</v>
      </c>
      <c r="D387" s="37" t="s">
        <v>255</v>
      </c>
      <c r="E387" s="38">
        <v>8104565</v>
      </c>
    </row>
    <row r="388" spans="1:5" x14ac:dyDescent="0.2">
      <c r="A388" s="35">
        <v>2021</v>
      </c>
      <c r="B388" s="36" t="s">
        <v>24</v>
      </c>
      <c r="C388" s="37" t="s">
        <v>263</v>
      </c>
      <c r="D388" s="37" t="s">
        <v>256</v>
      </c>
      <c r="E388" s="38">
        <v>76035</v>
      </c>
    </row>
    <row r="389" spans="1:5" x14ac:dyDescent="0.2">
      <c r="A389" s="35">
        <v>2021</v>
      </c>
      <c r="B389" s="36" t="s">
        <v>24</v>
      </c>
      <c r="C389" s="37" t="s">
        <v>263</v>
      </c>
      <c r="D389" s="37" t="s">
        <v>258</v>
      </c>
      <c r="E389" s="38">
        <v>609143</v>
      </c>
    </row>
    <row r="390" spans="1:5" x14ac:dyDescent="0.2">
      <c r="A390" s="35">
        <v>2021</v>
      </c>
      <c r="B390" s="36" t="s">
        <v>27</v>
      </c>
      <c r="C390" s="37" t="s">
        <v>249</v>
      </c>
      <c r="D390" s="37" t="s">
        <v>230</v>
      </c>
      <c r="E390" s="38">
        <v>124200528</v>
      </c>
    </row>
    <row r="391" spans="1:5" x14ac:dyDescent="0.2">
      <c r="A391" s="35">
        <v>2021</v>
      </c>
      <c r="B391" s="36" t="s">
        <v>27</v>
      </c>
      <c r="C391" s="37" t="s">
        <v>249</v>
      </c>
      <c r="D391" s="37" t="s">
        <v>250</v>
      </c>
      <c r="E391" s="38">
        <v>19076184</v>
      </c>
    </row>
    <row r="392" spans="1:5" x14ac:dyDescent="0.2">
      <c r="A392" s="35">
        <v>2021</v>
      </c>
      <c r="B392" s="36" t="s">
        <v>27</v>
      </c>
      <c r="C392" s="37" t="s">
        <v>249</v>
      </c>
      <c r="D392" s="37" t="s">
        <v>266</v>
      </c>
      <c r="E392" s="38">
        <v>-133728</v>
      </c>
    </row>
    <row r="393" spans="1:5" x14ac:dyDescent="0.2">
      <c r="A393" s="35">
        <v>2021</v>
      </c>
      <c r="B393" s="36" t="s">
        <v>27</v>
      </c>
      <c r="C393" s="37" t="s">
        <v>249</v>
      </c>
      <c r="D393" s="37" t="s">
        <v>251</v>
      </c>
      <c r="E393" s="38">
        <v>3661043</v>
      </c>
    </row>
    <row r="394" spans="1:5" x14ac:dyDescent="0.2">
      <c r="A394" s="35">
        <v>2021</v>
      </c>
      <c r="B394" s="36" t="s">
        <v>27</v>
      </c>
      <c r="C394" s="37" t="s">
        <v>249</v>
      </c>
      <c r="D394" s="37" t="s">
        <v>252</v>
      </c>
      <c r="E394" s="38">
        <v>56673115</v>
      </c>
    </row>
    <row r="395" spans="1:5" x14ac:dyDescent="0.2">
      <c r="A395" s="35">
        <v>2021</v>
      </c>
      <c r="B395" s="36" t="s">
        <v>27</v>
      </c>
      <c r="C395" s="37" t="s">
        <v>249</v>
      </c>
      <c r="D395" s="37" t="s">
        <v>264</v>
      </c>
      <c r="E395" s="38">
        <v>33951976</v>
      </c>
    </row>
    <row r="396" spans="1:5" x14ac:dyDescent="0.2">
      <c r="A396" s="35">
        <v>2021</v>
      </c>
      <c r="B396" s="36" t="s">
        <v>27</v>
      </c>
      <c r="C396" s="37" t="s">
        <v>249</v>
      </c>
      <c r="D396" s="37" t="s">
        <v>253</v>
      </c>
      <c r="E396" s="38">
        <v>78958</v>
      </c>
    </row>
    <row r="397" spans="1:5" x14ac:dyDescent="0.2">
      <c r="A397" s="35">
        <v>2021</v>
      </c>
      <c r="B397" s="36" t="s">
        <v>27</v>
      </c>
      <c r="C397" s="37" t="s">
        <v>249</v>
      </c>
      <c r="D397" s="37" t="s">
        <v>254</v>
      </c>
      <c r="E397" s="38">
        <v>179031</v>
      </c>
    </row>
    <row r="398" spans="1:5" x14ac:dyDescent="0.2">
      <c r="A398" s="35">
        <v>2021</v>
      </c>
      <c r="B398" s="36" t="s">
        <v>27</v>
      </c>
      <c r="C398" s="37" t="s">
        <v>249</v>
      </c>
      <c r="D398" s="37" t="s">
        <v>255</v>
      </c>
      <c r="E398" s="38">
        <v>4868365</v>
      </c>
    </row>
    <row r="399" spans="1:5" x14ac:dyDescent="0.2">
      <c r="A399" s="35">
        <v>2021</v>
      </c>
      <c r="B399" s="36" t="s">
        <v>27</v>
      </c>
      <c r="C399" s="37" t="s">
        <v>249</v>
      </c>
      <c r="D399" s="37" t="s">
        <v>256</v>
      </c>
      <c r="E399" s="38">
        <v>324305</v>
      </c>
    </row>
    <row r="400" spans="1:5" x14ac:dyDescent="0.2">
      <c r="A400" s="35">
        <v>2021</v>
      </c>
      <c r="B400" s="36" t="s">
        <v>27</v>
      </c>
      <c r="C400" s="37" t="s">
        <v>249</v>
      </c>
      <c r="D400" s="37" t="s">
        <v>258</v>
      </c>
      <c r="E400" s="38">
        <v>5521280</v>
      </c>
    </row>
    <row r="401" spans="1:5" x14ac:dyDescent="0.2">
      <c r="A401" s="35">
        <v>2021</v>
      </c>
      <c r="B401" s="36" t="s">
        <v>27</v>
      </c>
      <c r="C401" s="37" t="s">
        <v>259</v>
      </c>
      <c r="D401" s="37" t="s">
        <v>230</v>
      </c>
      <c r="E401" s="38">
        <v>5135755</v>
      </c>
    </row>
    <row r="402" spans="1:5" x14ac:dyDescent="0.2">
      <c r="A402" s="35">
        <v>2021</v>
      </c>
      <c r="B402" s="36" t="s">
        <v>27</v>
      </c>
      <c r="C402" s="37" t="s">
        <v>259</v>
      </c>
      <c r="D402" s="37" t="s">
        <v>250</v>
      </c>
      <c r="E402" s="38">
        <v>180791</v>
      </c>
    </row>
    <row r="403" spans="1:5" x14ac:dyDescent="0.2">
      <c r="A403" s="35">
        <v>2021</v>
      </c>
      <c r="B403" s="36" t="s">
        <v>27</v>
      </c>
      <c r="C403" s="37" t="s">
        <v>259</v>
      </c>
      <c r="D403" s="37" t="s">
        <v>251</v>
      </c>
      <c r="E403" s="38">
        <v>20472</v>
      </c>
    </row>
    <row r="404" spans="1:5" x14ac:dyDescent="0.2">
      <c r="A404" s="35">
        <v>2021</v>
      </c>
      <c r="B404" s="36" t="s">
        <v>27</v>
      </c>
      <c r="C404" s="37" t="s">
        <v>259</v>
      </c>
      <c r="D404" s="37" t="s">
        <v>252</v>
      </c>
      <c r="E404" s="38">
        <v>772018</v>
      </c>
    </row>
    <row r="405" spans="1:5" x14ac:dyDescent="0.2">
      <c r="A405" s="35">
        <v>2021</v>
      </c>
      <c r="B405" s="36" t="s">
        <v>27</v>
      </c>
      <c r="C405" s="37" t="s">
        <v>259</v>
      </c>
      <c r="D405" s="37" t="s">
        <v>253</v>
      </c>
      <c r="E405" s="38">
        <v>79262</v>
      </c>
    </row>
    <row r="406" spans="1:5" x14ac:dyDescent="0.2">
      <c r="A406" s="35">
        <v>2021</v>
      </c>
      <c r="B406" s="36" t="s">
        <v>27</v>
      </c>
      <c r="C406" s="37" t="s">
        <v>259</v>
      </c>
      <c r="D406" s="37" t="s">
        <v>254</v>
      </c>
      <c r="E406" s="38">
        <v>142890</v>
      </c>
    </row>
    <row r="407" spans="1:5" x14ac:dyDescent="0.2">
      <c r="A407" s="35">
        <v>2021</v>
      </c>
      <c r="B407" s="36" t="s">
        <v>27</v>
      </c>
      <c r="C407" s="37" t="s">
        <v>259</v>
      </c>
      <c r="D407" s="37" t="s">
        <v>256</v>
      </c>
      <c r="E407" s="38">
        <v>35057</v>
      </c>
    </row>
    <row r="408" spans="1:5" x14ac:dyDescent="0.2">
      <c r="A408" s="35">
        <v>2021</v>
      </c>
      <c r="B408" s="36" t="s">
        <v>27</v>
      </c>
      <c r="C408" s="37" t="s">
        <v>259</v>
      </c>
      <c r="D408" s="37" t="s">
        <v>258</v>
      </c>
      <c r="E408" s="38">
        <v>3905265</v>
      </c>
    </row>
    <row r="409" spans="1:5" x14ac:dyDescent="0.2">
      <c r="A409" s="35">
        <v>2021</v>
      </c>
      <c r="B409" s="36" t="s">
        <v>27</v>
      </c>
      <c r="C409" s="37" t="s">
        <v>260</v>
      </c>
      <c r="D409" s="37" t="s">
        <v>230</v>
      </c>
      <c r="E409" s="38">
        <v>2933</v>
      </c>
    </row>
    <row r="410" spans="1:5" x14ac:dyDescent="0.2">
      <c r="A410" s="35">
        <v>2021</v>
      </c>
      <c r="B410" s="36" t="s">
        <v>27</v>
      </c>
      <c r="C410" s="37" t="s">
        <v>260</v>
      </c>
      <c r="D410" s="37" t="s">
        <v>252</v>
      </c>
      <c r="E410" s="38">
        <v>0</v>
      </c>
    </row>
    <row r="411" spans="1:5" x14ac:dyDescent="0.2">
      <c r="A411" s="35">
        <v>2021</v>
      </c>
      <c r="B411" s="36" t="s">
        <v>27</v>
      </c>
      <c r="C411" s="37" t="s">
        <v>260</v>
      </c>
      <c r="D411" s="37" t="s">
        <v>254</v>
      </c>
      <c r="E411" s="38">
        <v>996</v>
      </c>
    </row>
    <row r="412" spans="1:5" x14ac:dyDescent="0.2">
      <c r="A412" s="35">
        <v>2021</v>
      </c>
      <c r="B412" s="36" t="s">
        <v>27</v>
      </c>
      <c r="C412" s="37" t="s">
        <v>260</v>
      </c>
      <c r="D412" s="37" t="s">
        <v>255</v>
      </c>
      <c r="E412" s="38">
        <v>1937</v>
      </c>
    </row>
    <row r="413" spans="1:5" x14ac:dyDescent="0.2">
      <c r="A413" s="35">
        <v>2021</v>
      </c>
      <c r="B413" s="36" t="s">
        <v>27</v>
      </c>
      <c r="C413" s="37" t="s">
        <v>260</v>
      </c>
      <c r="D413" s="37" t="s">
        <v>256</v>
      </c>
      <c r="E413" s="38">
        <v>0</v>
      </c>
    </row>
    <row r="414" spans="1:5" x14ac:dyDescent="0.2">
      <c r="A414" s="35">
        <v>2021</v>
      </c>
      <c r="B414" s="36" t="s">
        <v>27</v>
      </c>
      <c r="C414" s="37" t="s">
        <v>261</v>
      </c>
      <c r="D414" s="37" t="s">
        <v>230</v>
      </c>
      <c r="E414" s="38">
        <v>532755</v>
      </c>
    </row>
    <row r="415" spans="1:5" x14ac:dyDescent="0.2">
      <c r="A415" s="35">
        <v>2021</v>
      </c>
      <c r="B415" s="36" t="s">
        <v>27</v>
      </c>
      <c r="C415" s="37" t="s">
        <v>261</v>
      </c>
      <c r="D415" s="37" t="s">
        <v>252</v>
      </c>
      <c r="E415" s="38">
        <v>166032</v>
      </c>
    </row>
    <row r="416" spans="1:5" x14ac:dyDescent="0.2">
      <c r="A416" s="35">
        <v>2021</v>
      </c>
      <c r="B416" s="36" t="s">
        <v>27</v>
      </c>
      <c r="C416" s="37" t="s">
        <v>261</v>
      </c>
      <c r="D416" s="37" t="s">
        <v>254</v>
      </c>
      <c r="E416" s="38">
        <v>791</v>
      </c>
    </row>
    <row r="417" spans="1:5" x14ac:dyDescent="0.2">
      <c r="A417" s="35">
        <v>2021</v>
      </c>
      <c r="B417" s="36" t="s">
        <v>27</v>
      </c>
      <c r="C417" s="37" t="s">
        <v>261</v>
      </c>
      <c r="D417" s="37" t="s">
        <v>256</v>
      </c>
      <c r="E417" s="38">
        <v>6736</v>
      </c>
    </row>
    <row r="418" spans="1:5" x14ac:dyDescent="0.2">
      <c r="A418" s="35">
        <v>2021</v>
      </c>
      <c r="B418" s="36" t="s">
        <v>27</v>
      </c>
      <c r="C418" s="37" t="s">
        <v>261</v>
      </c>
      <c r="D418" s="37" t="s">
        <v>258</v>
      </c>
      <c r="E418" s="38">
        <v>359195</v>
      </c>
    </row>
    <row r="419" spans="1:5" x14ac:dyDescent="0.2">
      <c r="A419" s="35">
        <v>2021</v>
      </c>
      <c r="B419" s="36" t="s">
        <v>27</v>
      </c>
      <c r="C419" s="37" t="s">
        <v>262</v>
      </c>
      <c r="D419" s="37" t="s">
        <v>230</v>
      </c>
      <c r="E419" s="38">
        <v>15007863</v>
      </c>
    </row>
    <row r="420" spans="1:5" x14ac:dyDescent="0.2">
      <c r="A420" s="35">
        <v>2021</v>
      </c>
      <c r="B420" s="36" t="s">
        <v>27</v>
      </c>
      <c r="C420" s="37" t="s">
        <v>262</v>
      </c>
      <c r="D420" s="37" t="s">
        <v>251</v>
      </c>
      <c r="E420" s="38">
        <v>7920</v>
      </c>
    </row>
    <row r="421" spans="1:5" x14ac:dyDescent="0.2">
      <c r="A421" s="35">
        <v>2021</v>
      </c>
      <c r="B421" s="36" t="s">
        <v>27</v>
      </c>
      <c r="C421" s="37" t="s">
        <v>262</v>
      </c>
      <c r="D421" s="37" t="s">
        <v>252</v>
      </c>
      <c r="E421" s="38">
        <v>9168741</v>
      </c>
    </row>
    <row r="422" spans="1:5" x14ac:dyDescent="0.2">
      <c r="A422" s="35">
        <v>2021</v>
      </c>
      <c r="B422" s="36" t="s">
        <v>27</v>
      </c>
      <c r="C422" s="37" t="s">
        <v>262</v>
      </c>
      <c r="D422" s="37" t="s">
        <v>253</v>
      </c>
      <c r="E422" s="38">
        <v>-303</v>
      </c>
    </row>
    <row r="423" spans="1:5" x14ac:dyDescent="0.2">
      <c r="A423" s="35">
        <v>2021</v>
      </c>
      <c r="B423" s="36" t="s">
        <v>27</v>
      </c>
      <c r="C423" s="37" t="s">
        <v>262</v>
      </c>
      <c r="D423" s="37" t="s">
        <v>254</v>
      </c>
      <c r="E423" s="38">
        <v>14955</v>
      </c>
    </row>
    <row r="424" spans="1:5" x14ac:dyDescent="0.2">
      <c r="A424" s="35">
        <v>2021</v>
      </c>
      <c r="B424" s="36" t="s">
        <v>27</v>
      </c>
      <c r="C424" s="37" t="s">
        <v>262</v>
      </c>
      <c r="D424" s="37" t="s">
        <v>255</v>
      </c>
      <c r="E424" s="38">
        <v>4277219</v>
      </c>
    </row>
    <row r="425" spans="1:5" x14ac:dyDescent="0.2">
      <c r="A425" s="35">
        <v>2021</v>
      </c>
      <c r="B425" s="36" t="s">
        <v>27</v>
      </c>
      <c r="C425" s="37" t="s">
        <v>262</v>
      </c>
      <c r="D425" s="37" t="s">
        <v>256</v>
      </c>
      <c r="E425" s="38">
        <v>282511</v>
      </c>
    </row>
    <row r="426" spans="1:5" x14ac:dyDescent="0.2">
      <c r="A426" s="35">
        <v>2021</v>
      </c>
      <c r="B426" s="36" t="s">
        <v>27</v>
      </c>
      <c r="C426" s="37" t="s">
        <v>262</v>
      </c>
      <c r="D426" s="37" t="s">
        <v>258</v>
      </c>
      <c r="E426" s="38">
        <v>1256820</v>
      </c>
    </row>
    <row r="427" spans="1:5" x14ac:dyDescent="0.2">
      <c r="A427" s="35">
        <v>2021</v>
      </c>
      <c r="B427" s="36" t="s">
        <v>27</v>
      </c>
      <c r="C427" s="37" t="s">
        <v>263</v>
      </c>
      <c r="D427" s="37" t="s">
        <v>230</v>
      </c>
      <c r="E427" s="38">
        <v>103521223</v>
      </c>
    </row>
    <row r="428" spans="1:5" x14ac:dyDescent="0.2">
      <c r="A428" s="35">
        <v>2021</v>
      </c>
      <c r="B428" s="36" t="s">
        <v>27</v>
      </c>
      <c r="C428" s="37" t="s">
        <v>263</v>
      </c>
      <c r="D428" s="37" t="s">
        <v>250</v>
      </c>
      <c r="E428" s="38">
        <v>18895394</v>
      </c>
    </row>
    <row r="429" spans="1:5" x14ac:dyDescent="0.2">
      <c r="A429" s="35">
        <v>2021</v>
      </c>
      <c r="B429" s="36" t="s">
        <v>27</v>
      </c>
      <c r="C429" s="37" t="s">
        <v>263</v>
      </c>
      <c r="D429" s="37" t="s">
        <v>266</v>
      </c>
      <c r="E429" s="38">
        <v>-133728</v>
      </c>
    </row>
    <row r="430" spans="1:5" x14ac:dyDescent="0.2">
      <c r="A430" s="35">
        <v>2021</v>
      </c>
      <c r="B430" s="36" t="s">
        <v>27</v>
      </c>
      <c r="C430" s="37" t="s">
        <v>263</v>
      </c>
      <c r="D430" s="37" t="s">
        <v>251</v>
      </c>
      <c r="E430" s="38">
        <v>3632651</v>
      </c>
    </row>
    <row r="431" spans="1:5" x14ac:dyDescent="0.2">
      <c r="A431" s="35">
        <v>2021</v>
      </c>
      <c r="B431" s="36" t="s">
        <v>27</v>
      </c>
      <c r="C431" s="37" t="s">
        <v>263</v>
      </c>
      <c r="D431" s="37" t="s">
        <v>252</v>
      </c>
      <c r="E431" s="38">
        <v>46566323</v>
      </c>
    </row>
    <row r="432" spans="1:5" x14ac:dyDescent="0.2">
      <c r="A432" s="35">
        <v>2021</v>
      </c>
      <c r="B432" s="36" t="s">
        <v>27</v>
      </c>
      <c r="C432" s="37" t="s">
        <v>263</v>
      </c>
      <c r="D432" s="37" t="s">
        <v>264</v>
      </c>
      <c r="E432" s="38">
        <v>33951976</v>
      </c>
    </row>
    <row r="433" spans="1:5" x14ac:dyDescent="0.2">
      <c r="A433" s="35">
        <v>2021</v>
      </c>
      <c r="B433" s="36" t="s">
        <v>27</v>
      </c>
      <c r="C433" s="37" t="s">
        <v>263</v>
      </c>
      <c r="D433" s="37" t="s">
        <v>253</v>
      </c>
      <c r="E433" s="38">
        <v>-1</v>
      </c>
    </row>
    <row r="434" spans="1:5" x14ac:dyDescent="0.2">
      <c r="A434" s="35">
        <v>2021</v>
      </c>
      <c r="B434" s="36" t="s">
        <v>27</v>
      </c>
      <c r="C434" s="37" t="s">
        <v>263</v>
      </c>
      <c r="D434" s="37" t="s">
        <v>254</v>
      </c>
      <c r="E434" s="38">
        <v>19399</v>
      </c>
    </row>
    <row r="435" spans="1:5" x14ac:dyDescent="0.2">
      <c r="A435" s="35">
        <v>2021</v>
      </c>
      <c r="B435" s="36" t="s">
        <v>27</v>
      </c>
      <c r="C435" s="37" t="s">
        <v>263</v>
      </c>
      <c r="D435" s="37" t="s">
        <v>255</v>
      </c>
      <c r="E435" s="38">
        <v>589209</v>
      </c>
    </row>
    <row r="436" spans="1:5" x14ac:dyDescent="0.2">
      <c r="A436" s="35">
        <v>2021</v>
      </c>
      <c r="B436" s="36" t="s">
        <v>29</v>
      </c>
      <c r="C436" s="37" t="s">
        <v>249</v>
      </c>
      <c r="D436" s="37" t="s">
        <v>230</v>
      </c>
      <c r="E436" s="38">
        <v>9182191</v>
      </c>
    </row>
    <row r="437" spans="1:5" x14ac:dyDescent="0.2">
      <c r="A437" s="35">
        <v>2021</v>
      </c>
      <c r="B437" s="36" t="s">
        <v>29</v>
      </c>
      <c r="C437" s="37" t="s">
        <v>249</v>
      </c>
      <c r="D437" s="37" t="s">
        <v>250</v>
      </c>
      <c r="E437" s="38">
        <v>1084555</v>
      </c>
    </row>
    <row r="438" spans="1:5" x14ac:dyDescent="0.2">
      <c r="A438" s="35">
        <v>2021</v>
      </c>
      <c r="B438" s="36" t="s">
        <v>29</v>
      </c>
      <c r="C438" s="37" t="s">
        <v>249</v>
      </c>
      <c r="D438" s="37" t="s">
        <v>267</v>
      </c>
      <c r="E438" s="38">
        <v>183751</v>
      </c>
    </row>
    <row r="439" spans="1:5" x14ac:dyDescent="0.2">
      <c r="A439" s="35">
        <v>2021</v>
      </c>
      <c r="B439" s="36" t="s">
        <v>29</v>
      </c>
      <c r="C439" s="37" t="s">
        <v>249</v>
      </c>
      <c r="D439" s="37" t="s">
        <v>251</v>
      </c>
      <c r="E439" s="38">
        <v>114971</v>
      </c>
    </row>
    <row r="440" spans="1:5" x14ac:dyDescent="0.2">
      <c r="A440" s="35">
        <v>2021</v>
      </c>
      <c r="B440" s="36" t="s">
        <v>29</v>
      </c>
      <c r="C440" s="37" t="s">
        <v>249</v>
      </c>
      <c r="D440" s="37" t="s">
        <v>265</v>
      </c>
      <c r="E440" s="38">
        <v>0</v>
      </c>
    </row>
    <row r="441" spans="1:5" x14ac:dyDescent="0.2">
      <c r="A441" s="35">
        <v>2021</v>
      </c>
      <c r="B441" s="36" t="s">
        <v>29</v>
      </c>
      <c r="C441" s="37" t="s">
        <v>249</v>
      </c>
      <c r="D441" s="37" t="s">
        <v>253</v>
      </c>
      <c r="E441" s="38">
        <v>195944</v>
      </c>
    </row>
    <row r="442" spans="1:5" x14ac:dyDescent="0.2">
      <c r="A442" s="35">
        <v>2021</v>
      </c>
      <c r="B442" s="36" t="s">
        <v>29</v>
      </c>
      <c r="C442" s="37" t="s">
        <v>249</v>
      </c>
      <c r="D442" s="37" t="s">
        <v>254</v>
      </c>
      <c r="E442" s="38">
        <v>6155207</v>
      </c>
    </row>
    <row r="443" spans="1:5" x14ac:dyDescent="0.2">
      <c r="A443" s="35">
        <v>2021</v>
      </c>
      <c r="B443" s="36" t="s">
        <v>29</v>
      </c>
      <c r="C443" s="37" t="s">
        <v>249</v>
      </c>
      <c r="D443" s="37" t="s">
        <v>255</v>
      </c>
      <c r="E443" s="38">
        <v>507234</v>
      </c>
    </row>
    <row r="444" spans="1:5" x14ac:dyDescent="0.2">
      <c r="A444" s="35">
        <v>2021</v>
      </c>
      <c r="B444" s="36" t="s">
        <v>29</v>
      </c>
      <c r="C444" s="37" t="s">
        <v>249</v>
      </c>
      <c r="D444" s="37" t="s">
        <v>256</v>
      </c>
      <c r="E444" s="38">
        <v>282637</v>
      </c>
    </row>
    <row r="445" spans="1:5" x14ac:dyDescent="0.2">
      <c r="A445" s="35">
        <v>2021</v>
      </c>
      <c r="B445" s="36" t="s">
        <v>29</v>
      </c>
      <c r="C445" s="37" t="s">
        <v>249</v>
      </c>
      <c r="D445" s="37" t="s">
        <v>257</v>
      </c>
      <c r="E445" s="38">
        <v>657891</v>
      </c>
    </row>
    <row r="446" spans="1:5" x14ac:dyDescent="0.2">
      <c r="A446" s="35">
        <v>2021</v>
      </c>
      <c r="B446" s="36" t="s">
        <v>29</v>
      </c>
      <c r="C446" s="37" t="s">
        <v>249</v>
      </c>
      <c r="D446" s="37" t="s">
        <v>258</v>
      </c>
      <c r="E446" s="38">
        <v>0</v>
      </c>
    </row>
    <row r="447" spans="1:5" x14ac:dyDescent="0.2">
      <c r="A447" s="35">
        <v>2021</v>
      </c>
      <c r="B447" s="36" t="s">
        <v>29</v>
      </c>
      <c r="C447" s="37" t="s">
        <v>259</v>
      </c>
      <c r="D447" s="37" t="s">
        <v>230</v>
      </c>
      <c r="E447" s="38">
        <v>227933</v>
      </c>
    </row>
    <row r="448" spans="1:5" x14ac:dyDescent="0.2">
      <c r="A448" s="35">
        <v>2021</v>
      </c>
      <c r="B448" s="36" t="s">
        <v>29</v>
      </c>
      <c r="C448" s="37" t="s">
        <v>259</v>
      </c>
      <c r="D448" s="37" t="s">
        <v>251</v>
      </c>
      <c r="E448" s="38">
        <v>71843</v>
      </c>
    </row>
    <row r="449" spans="1:5" x14ac:dyDescent="0.2">
      <c r="A449" s="35">
        <v>2021</v>
      </c>
      <c r="B449" s="36" t="s">
        <v>29</v>
      </c>
      <c r="C449" s="37" t="s">
        <v>259</v>
      </c>
      <c r="D449" s="37" t="s">
        <v>265</v>
      </c>
      <c r="E449" s="38">
        <v>0</v>
      </c>
    </row>
    <row r="450" spans="1:5" x14ac:dyDescent="0.2">
      <c r="A450" s="35">
        <v>2021</v>
      </c>
      <c r="B450" s="36" t="s">
        <v>29</v>
      </c>
      <c r="C450" s="37" t="s">
        <v>259</v>
      </c>
      <c r="D450" s="37" t="s">
        <v>254</v>
      </c>
      <c r="E450" s="38">
        <v>156090</v>
      </c>
    </row>
    <row r="451" spans="1:5" x14ac:dyDescent="0.2">
      <c r="A451" s="35">
        <v>2021</v>
      </c>
      <c r="B451" s="36" t="s">
        <v>29</v>
      </c>
      <c r="C451" s="37" t="s">
        <v>260</v>
      </c>
      <c r="D451" s="37" t="s">
        <v>230</v>
      </c>
      <c r="E451" s="38">
        <v>364214</v>
      </c>
    </row>
    <row r="452" spans="1:5" x14ac:dyDescent="0.2">
      <c r="A452" s="35">
        <v>2021</v>
      </c>
      <c r="B452" s="36" t="s">
        <v>29</v>
      </c>
      <c r="C452" s="37" t="s">
        <v>260</v>
      </c>
      <c r="D452" s="37" t="s">
        <v>253</v>
      </c>
      <c r="E452" s="38">
        <v>198485</v>
      </c>
    </row>
    <row r="453" spans="1:5" x14ac:dyDescent="0.2">
      <c r="A453" s="35">
        <v>2021</v>
      </c>
      <c r="B453" s="36" t="s">
        <v>29</v>
      </c>
      <c r="C453" s="37" t="s">
        <v>260</v>
      </c>
      <c r="D453" s="37" t="s">
        <v>254</v>
      </c>
      <c r="E453" s="38">
        <v>2975</v>
      </c>
    </row>
    <row r="454" spans="1:5" x14ac:dyDescent="0.2">
      <c r="A454" s="35">
        <v>2021</v>
      </c>
      <c r="B454" s="36" t="s">
        <v>29</v>
      </c>
      <c r="C454" s="37" t="s">
        <v>260</v>
      </c>
      <c r="D454" s="37" t="s">
        <v>255</v>
      </c>
      <c r="E454" s="38">
        <v>357</v>
      </c>
    </row>
    <row r="455" spans="1:5" x14ac:dyDescent="0.2">
      <c r="A455" s="35">
        <v>2021</v>
      </c>
      <c r="B455" s="36" t="s">
        <v>29</v>
      </c>
      <c r="C455" s="37" t="s">
        <v>260</v>
      </c>
      <c r="D455" s="37" t="s">
        <v>256</v>
      </c>
      <c r="E455" s="38">
        <v>162398</v>
      </c>
    </row>
    <row r="456" spans="1:5" x14ac:dyDescent="0.2">
      <c r="A456" s="35">
        <v>2021</v>
      </c>
      <c r="B456" s="36" t="s">
        <v>29</v>
      </c>
      <c r="C456" s="37" t="s">
        <v>261</v>
      </c>
      <c r="D456" s="37" t="s">
        <v>230</v>
      </c>
      <c r="E456" s="38">
        <v>2294287</v>
      </c>
    </row>
    <row r="457" spans="1:5" x14ac:dyDescent="0.2">
      <c r="A457" s="35">
        <v>2021</v>
      </c>
      <c r="B457" s="36" t="s">
        <v>29</v>
      </c>
      <c r="C457" s="37" t="s">
        <v>261</v>
      </c>
      <c r="D457" s="37" t="s">
        <v>250</v>
      </c>
      <c r="E457" s="38">
        <v>1084555</v>
      </c>
    </row>
    <row r="458" spans="1:5" x14ac:dyDescent="0.2">
      <c r="A458" s="35">
        <v>2021</v>
      </c>
      <c r="B458" s="36" t="s">
        <v>29</v>
      </c>
      <c r="C458" s="37" t="s">
        <v>261</v>
      </c>
      <c r="D458" s="37" t="s">
        <v>253</v>
      </c>
      <c r="E458" s="38">
        <v>240</v>
      </c>
    </row>
    <row r="459" spans="1:5" x14ac:dyDescent="0.2">
      <c r="A459" s="35">
        <v>2021</v>
      </c>
      <c r="B459" s="36" t="s">
        <v>29</v>
      </c>
      <c r="C459" s="37" t="s">
        <v>261</v>
      </c>
      <c r="D459" s="37" t="s">
        <v>254</v>
      </c>
      <c r="E459" s="38">
        <v>1209492</v>
      </c>
    </row>
    <row r="460" spans="1:5" x14ac:dyDescent="0.2">
      <c r="A460" s="35">
        <v>2021</v>
      </c>
      <c r="B460" s="36" t="s">
        <v>29</v>
      </c>
      <c r="C460" s="37" t="s">
        <v>261</v>
      </c>
      <c r="D460" s="37" t="s">
        <v>256</v>
      </c>
      <c r="E460" s="38">
        <v>0</v>
      </c>
    </row>
    <row r="461" spans="1:5" x14ac:dyDescent="0.2">
      <c r="A461" s="35">
        <v>2021</v>
      </c>
      <c r="B461" s="36" t="s">
        <v>29</v>
      </c>
      <c r="C461" s="37" t="s">
        <v>262</v>
      </c>
      <c r="D461" s="37" t="s">
        <v>230</v>
      </c>
      <c r="E461" s="38">
        <v>1570286</v>
      </c>
    </row>
    <row r="462" spans="1:5" x14ac:dyDescent="0.2">
      <c r="A462" s="35">
        <v>2021</v>
      </c>
      <c r="B462" s="36" t="s">
        <v>29</v>
      </c>
      <c r="C462" s="37" t="s">
        <v>262</v>
      </c>
      <c r="D462" s="37" t="s">
        <v>267</v>
      </c>
      <c r="E462" s="38">
        <v>183751</v>
      </c>
    </row>
    <row r="463" spans="1:5" x14ac:dyDescent="0.2">
      <c r="A463" s="35">
        <v>2021</v>
      </c>
      <c r="B463" s="36" t="s">
        <v>29</v>
      </c>
      <c r="C463" s="37" t="s">
        <v>262</v>
      </c>
      <c r="D463" s="37" t="s">
        <v>251</v>
      </c>
      <c r="E463" s="38">
        <v>34084</v>
      </c>
    </row>
    <row r="464" spans="1:5" x14ac:dyDescent="0.2">
      <c r="A464" s="35">
        <v>2021</v>
      </c>
      <c r="B464" s="36" t="s">
        <v>29</v>
      </c>
      <c r="C464" s="37" t="s">
        <v>262</v>
      </c>
      <c r="D464" s="37" t="s">
        <v>253</v>
      </c>
      <c r="E464" s="38">
        <v>-2470</v>
      </c>
    </row>
    <row r="465" spans="1:5" x14ac:dyDescent="0.2">
      <c r="A465" s="35">
        <v>2021</v>
      </c>
      <c r="B465" s="36" t="s">
        <v>29</v>
      </c>
      <c r="C465" s="37" t="s">
        <v>262</v>
      </c>
      <c r="D465" s="37" t="s">
        <v>254</v>
      </c>
      <c r="E465" s="38">
        <v>173727</v>
      </c>
    </row>
    <row r="466" spans="1:5" x14ac:dyDescent="0.2">
      <c r="A466" s="35">
        <v>2021</v>
      </c>
      <c r="B466" s="36" t="s">
        <v>29</v>
      </c>
      <c r="C466" s="37" t="s">
        <v>262</v>
      </c>
      <c r="D466" s="37" t="s">
        <v>255</v>
      </c>
      <c r="E466" s="38">
        <v>427389</v>
      </c>
    </row>
    <row r="467" spans="1:5" x14ac:dyDescent="0.2">
      <c r="A467" s="35">
        <v>2021</v>
      </c>
      <c r="B467" s="36" t="s">
        <v>29</v>
      </c>
      <c r="C467" s="37" t="s">
        <v>262</v>
      </c>
      <c r="D467" s="37" t="s">
        <v>256</v>
      </c>
      <c r="E467" s="38">
        <v>95914</v>
      </c>
    </row>
    <row r="468" spans="1:5" x14ac:dyDescent="0.2">
      <c r="A468" s="35">
        <v>2021</v>
      </c>
      <c r="B468" s="36" t="s">
        <v>29</v>
      </c>
      <c r="C468" s="37" t="s">
        <v>262</v>
      </c>
      <c r="D468" s="37" t="s">
        <v>257</v>
      </c>
      <c r="E468" s="38">
        <v>657891</v>
      </c>
    </row>
    <row r="469" spans="1:5" x14ac:dyDescent="0.2">
      <c r="A469" s="35">
        <v>2021</v>
      </c>
      <c r="B469" s="36" t="s">
        <v>29</v>
      </c>
      <c r="C469" s="37" t="s">
        <v>262</v>
      </c>
      <c r="D469" s="37" t="s">
        <v>258</v>
      </c>
      <c r="E469" s="38">
        <v>0</v>
      </c>
    </row>
    <row r="470" spans="1:5" x14ac:dyDescent="0.2">
      <c r="A470" s="35">
        <v>2021</v>
      </c>
      <c r="B470" s="36" t="s">
        <v>29</v>
      </c>
      <c r="C470" s="37" t="s">
        <v>263</v>
      </c>
      <c r="D470" s="37" t="s">
        <v>230</v>
      </c>
      <c r="E470" s="38">
        <v>4725470</v>
      </c>
    </row>
    <row r="471" spans="1:5" x14ac:dyDescent="0.2">
      <c r="A471" s="35">
        <v>2021</v>
      </c>
      <c r="B471" s="36" t="s">
        <v>29</v>
      </c>
      <c r="C471" s="37" t="s">
        <v>263</v>
      </c>
      <c r="D471" s="37" t="s">
        <v>251</v>
      </c>
      <c r="E471" s="38">
        <v>9044</v>
      </c>
    </row>
    <row r="472" spans="1:5" x14ac:dyDescent="0.2">
      <c r="A472" s="35">
        <v>2021</v>
      </c>
      <c r="B472" s="36" t="s">
        <v>29</v>
      </c>
      <c r="C472" s="37" t="s">
        <v>263</v>
      </c>
      <c r="D472" s="37" t="s">
        <v>253</v>
      </c>
      <c r="E472" s="38">
        <v>-311</v>
      </c>
    </row>
    <row r="473" spans="1:5" x14ac:dyDescent="0.2">
      <c r="A473" s="35">
        <v>2021</v>
      </c>
      <c r="B473" s="36" t="s">
        <v>29</v>
      </c>
      <c r="C473" s="37" t="s">
        <v>263</v>
      </c>
      <c r="D473" s="37" t="s">
        <v>254</v>
      </c>
      <c r="E473" s="38">
        <v>4612923</v>
      </c>
    </row>
    <row r="474" spans="1:5" x14ac:dyDescent="0.2">
      <c r="A474" s="35">
        <v>2021</v>
      </c>
      <c r="B474" s="36" t="s">
        <v>29</v>
      </c>
      <c r="C474" s="37" t="s">
        <v>263</v>
      </c>
      <c r="D474" s="37" t="s">
        <v>255</v>
      </c>
      <c r="E474" s="38">
        <v>79488</v>
      </c>
    </row>
    <row r="475" spans="1:5" x14ac:dyDescent="0.2">
      <c r="A475" s="35">
        <v>2021</v>
      </c>
      <c r="B475" s="36" t="s">
        <v>29</v>
      </c>
      <c r="C475" s="37" t="s">
        <v>263</v>
      </c>
      <c r="D475" s="37" t="s">
        <v>256</v>
      </c>
      <c r="E475" s="38">
        <v>24326</v>
      </c>
    </row>
    <row r="476" spans="1:5" x14ac:dyDescent="0.2">
      <c r="A476" s="35">
        <v>2021</v>
      </c>
      <c r="B476" s="36" t="s">
        <v>40</v>
      </c>
      <c r="C476" s="37" t="s">
        <v>249</v>
      </c>
      <c r="D476" s="37" t="s">
        <v>230</v>
      </c>
      <c r="E476" s="38">
        <v>67207008</v>
      </c>
    </row>
    <row r="477" spans="1:5" x14ac:dyDescent="0.2">
      <c r="A477" s="35">
        <v>2021</v>
      </c>
      <c r="B477" s="36" t="s">
        <v>40</v>
      </c>
      <c r="C477" s="37" t="s">
        <v>249</v>
      </c>
      <c r="D477" s="37" t="s">
        <v>250</v>
      </c>
      <c r="E477" s="38">
        <v>22106594</v>
      </c>
    </row>
    <row r="478" spans="1:5" x14ac:dyDescent="0.2">
      <c r="A478" s="35">
        <v>2021</v>
      </c>
      <c r="B478" s="36" t="s">
        <v>40</v>
      </c>
      <c r="C478" s="37" t="s">
        <v>249</v>
      </c>
      <c r="D478" s="37" t="s">
        <v>251</v>
      </c>
      <c r="E478" s="38">
        <v>980071</v>
      </c>
    </row>
    <row r="479" spans="1:5" x14ac:dyDescent="0.2">
      <c r="A479" s="35">
        <v>2021</v>
      </c>
      <c r="B479" s="36" t="s">
        <v>40</v>
      </c>
      <c r="C479" s="37" t="s">
        <v>249</v>
      </c>
      <c r="D479" s="37" t="s">
        <v>252</v>
      </c>
      <c r="E479" s="38">
        <v>6463644</v>
      </c>
    </row>
    <row r="480" spans="1:5" x14ac:dyDescent="0.2">
      <c r="A480" s="35">
        <v>2021</v>
      </c>
      <c r="B480" s="36" t="s">
        <v>40</v>
      </c>
      <c r="C480" s="37" t="s">
        <v>249</v>
      </c>
      <c r="D480" s="37" t="s">
        <v>253</v>
      </c>
      <c r="E480" s="38">
        <v>-76</v>
      </c>
    </row>
    <row r="481" spans="1:5" x14ac:dyDescent="0.2">
      <c r="A481" s="35">
        <v>2021</v>
      </c>
      <c r="B481" s="36" t="s">
        <v>40</v>
      </c>
      <c r="C481" s="37" t="s">
        <v>249</v>
      </c>
      <c r="D481" s="37" t="s">
        <v>254</v>
      </c>
      <c r="E481" s="38">
        <v>132112</v>
      </c>
    </row>
    <row r="482" spans="1:5" x14ac:dyDescent="0.2">
      <c r="A482" s="35">
        <v>2021</v>
      </c>
      <c r="B482" s="36" t="s">
        <v>40</v>
      </c>
      <c r="C482" s="37" t="s">
        <v>249</v>
      </c>
      <c r="D482" s="37" t="s">
        <v>255</v>
      </c>
      <c r="E482" s="38">
        <v>224906</v>
      </c>
    </row>
    <row r="483" spans="1:5" x14ac:dyDescent="0.2">
      <c r="A483" s="35">
        <v>2021</v>
      </c>
      <c r="B483" s="36" t="s">
        <v>40</v>
      </c>
      <c r="C483" s="37" t="s">
        <v>249</v>
      </c>
      <c r="D483" s="37" t="s">
        <v>256</v>
      </c>
      <c r="E483" s="38">
        <v>201142</v>
      </c>
    </row>
    <row r="484" spans="1:5" x14ac:dyDescent="0.2">
      <c r="A484" s="35">
        <v>2021</v>
      </c>
      <c r="B484" s="36" t="s">
        <v>40</v>
      </c>
      <c r="C484" s="37" t="s">
        <v>249</v>
      </c>
      <c r="D484" s="37" t="s">
        <v>257</v>
      </c>
      <c r="E484" s="38">
        <v>37098274</v>
      </c>
    </row>
    <row r="485" spans="1:5" x14ac:dyDescent="0.2">
      <c r="A485" s="35">
        <v>2021</v>
      </c>
      <c r="B485" s="36" t="s">
        <v>40</v>
      </c>
      <c r="C485" s="37" t="s">
        <v>249</v>
      </c>
      <c r="D485" s="37" t="s">
        <v>258</v>
      </c>
      <c r="E485" s="38">
        <v>341</v>
      </c>
    </row>
    <row r="486" spans="1:5" x14ac:dyDescent="0.2">
      <c r="A486" s="35">
        <v>2021</v>
      </c>
      <c r="B486" s="36" t="s">
        <v>40</v>
      </c>
      <c r="C486" s="37" t="s">
        <v>259</v>
      </c>
      <c r="D486" s="37" t="s">
        <v>230</v>
      </c>
      <c r="E486" s="38">
        <v>2051620</v>
      </c>
    </row>
    <row r="487" spans="1:5" x14ac:dyDescent="0.2">
      <c r="A487" s="35">
        <v>2021</v>
      </c>
      <c r="B487" s="36" t="s">
        <v>40</v>
      </c>
      <c r="C487" s="37" t="s">
        <v>259</v>
      </c>
      <c r="D487" s="37" t="s">
        <v>250</v>
      </c>
      <c r="E487" s="38">
        <v>1418208</v>
      </c>
    </row>
    <row r="488" spans="1:5" x14ac:dyDescent="0.2">
      <c r="A488" s="35">
        <v>2021</v>
      </c>
      <c r="B488" s="36" t="s">
        <v>40</v>
      </c>
      <c r="C488" s="37" t="s">
        <v>259</v>
      </c>
      <c r="D488" s="37" t="s">
        <v>252</v>
      </c>
      <c r="E488" s="38">
        <v>545167</v>
      </c>
    </row>
    <row r="489" spans="1:5" x14ac:dyDescent="0.2">
      <c r="A489" s="35">
        <v>2021</v>
      </c>
      <c r="B489" s="36" t="s">
        <v>40</v>
      </c>
      <c r="C489" s="37" t="s">
        <v>259</v>
      </c>
      <c r="D489" s="37" t="s">
        <v>253</v>
      </c>
      <c r="E489" s="38">
        <v>0</v>
      </c>
    </row>
    <row r="490" spans="1:5" x14ac:dyDescent="0.2">
      <c r="A490" s="35">
        <v>2021</v>
      </c>
      <c r="B490" s="36" t="s">
        <v>40</v>
      </c>
      <c r="C490" s="37" t="s">
        <v>259</v>
      </c>
      <c r="D490" s="37" t="s">
        <v>254</v>
      </c>
      <c r="E490" s="38">
        <v>25732</v>
      </c>
    </row>
    <row r="491" spans="1:5" x14ac:dyDescent="0.2">
      <c r="A491" s="35">
        <v>2021</v>
      </c>
      <c r="B491" s="36" t="s">
        <v>40</v>
      </c>
      <c r="C491" s="37" t="s">
        <v>259</v>
      </c>
      <c r="D491" s="37" t="s">
        <v>256</v>
      </c>
      <c r="E491" s="38">
        <v>62513</v>
      </c>
    </row>
    <row r="492" spans="1:5" x14ac:dyDescent="0.2">
      <c r="A492" s="35">
        <v>2021</v>
      </c>
      <c r="B492" s="36" t="s">
        <v>40</v>
      </c>
      <c r="C492" s="37" t="s">
        <v>259</v>
      </c>
      <c r="D492" s="37" t="s">
        <v>258</v>
      </c>
      <c r="E492" s="38">
        <v>0</v>
      </c>
    </row>
    <row r="493" spans="1:5" x14ac:dyDescent="0.2">
      <c r="A493" s="35">
        <v>2021</v>
      </c>
      <c r="B493" s="36" t="s">
        <v>40</v>
      </c>
      <c r="C493" s="37" t="s">
        <v>260</v>
      </c>
      <c r="D493" s="37" t="s">
        <v>230</v>
      </c>
      <c r="E493" s="38">
        <v>145451</v>
      </c>
    </row>
    <row r="494" spans="1:5" x14ac:dyDescent="0.2">
      <c r="A494" s="35">
        <v>2021</v>
      </c>
      <c r="B494" s="36" t="s">
        <v>40</v>
      </c>
      <c r="C494" s="37" t="s">
        <v>260</v>
      </c>
      <c r="D494" s="37" t="s">
        <v>250</v>
      </c>
      <c r="E494" s="38">
        <v>47790</v>
      </c>
    </row>
    <row r="495" spans="1:5" x14ac:dyDescent="0.2">
      <c r="A495" s="35">
        <v>2021</v>
      </c>
      <c r="B495" s="36" t="s">
        <v>40</v>
      </c>
      <c r="C495" s="37" t="s">
        <v>260</v>
      </c>
      <c r="D495" s="37" t="s">
        <v>252</v>
      </c>
      <c r="E495" s="38">
        <v>81331</v>
      </c>
    </row>
    <row r="496" spans="1:5" x14ac:dyDescent="0.2">
      <c r="A496" s="35">
        <v>2021</v>
      </c>
      <c r="B496" s="36" t="s">
        <v>40</v>
      </c>
      <c r="C496" s="37" t="s">
        <v>260</v>
      </c>
      <c r="D496" s="37" t="s">
        <v>254</v>
      </c>
      <c r="E496" s="38">
        <v>3962</v>
      </c>
    </row>
    <row r="497" spans="1:5" x14ac:dyDescent="0.2">
      <c r="A497" s="35">
        <v>2021</v>
      </c>
      <c r="B497" s="36" t="s">
        <v>40</v>
      </c>
      <c r="C497" s="37" t="s">
        <v>260</v>
      </c>
      <c r="D497" s="37" t="s">
        <v>256</v>
      </c>
      <c r="E497" s="38">
        <v>8606</v>
      </c>
    </row>
    <row r="498" spans="1:5" x14ac:dyDescent="0.2">
      <c r="A498" s="35">
        <v>2021</v>
      </c>
      <c r="B498" s="36" t="s">
        <v>40</v>
      </c>
      <c r="C498" s="37" t="s">
        <v>260</v>
      </c>
      <c r="D498" s="37" t="s">
        <v>257</v>
      </c>
      <c r="E498" s="38">
        <v>3422</v>
      </c>
    </row>
    <row r="499" spans="1:5" x14ac:dyDescent="0.2">
      <c r="A499" s="35">
        <v>2021</v>
      </c>
      <c r="B499" s="36" t="s">
        <v>40</v>
      </c>
      <c r="C499" s="37" t="s">
        <v>260</v>
      </c>
      <c r="D499" s="37" t="s">
        <v>258</v>
      </c>
      <c r="E499" s="38">
        <v>341</v>
      </c>
    </row>
    <row r="500" spans="1:5" x14ac:dyDescent="0.2">
      <c r="A500" s="35">
        <v>2021</v>
      </c>
      <c r="B500" s="36" t="s">
        <v>40</v>
      </c>
      <c r="C500" s="37" t="s">
        <v>261</v>
      </c>
      <c r="D500" s="37" t="s">
        <v>230</v>
      </c>
      <c r="E500" s="38">
        <v>4065</v>
      </c>
    </row>
    <row r="501" spans="1:5" x14ac:dyDescent="0.2">
      <c r="A501" s="35">
        <v>2021</v>
      </c>
      <c r="B501" s="36" t="s">
        <v>40</v>
      </c>
      <c r="C501" s="37" t="s">
        <v>261</v>
      </c>
      <c r="D501" s="37" t="s">
        <v>256</v>
      </c>
      <c r="E501" s="38">
        <v>4065</v>
      </c>
    </row>
    <row r="502" spans="1:5" x14ac:dyDescent="0.2">
      <c r="A502" s="35">
        <v>2021</v>
      </c>
      <c r="B502" s="36" t="s">
        <v>40</v>
      </c>
      <c r="C502" s="37" t="s">
        <v>262</v>
      </c>
      <c r="D502" s="37" t="s">
        <v>230</v>
      </c>
      <c r="E502" s="38">
        <v>8891131</v>
      </c>
    </row>
    <row r="503" spans="1:5" x14ac:dyDescent="0.2">
      <c r="A503" s="35">
        <v>2021</v>
      </c>
      <c r="B503" s="36" t="s">
        <v>40</v>
      </c>
      <c r="C503" s="37" t="s">
        <v>262</v>
      </c>
      <c r="D503" s="37" t="s">
        <v>251</v>
      </c>
      <c r="E503" s="38">
        <v>6157</v>
      </c>
    </row>
    <row r="504" spans="1:5" x14ac:dyDescent="0.2">
      <c r="A504" s="35">
        <v>2021</v>
      </c>
      <c r="B504" s="36" t="s">
        <v>40</v>
      </c>
      <c r="C504" s="37" t="s">
        <v>262</v>
      </c>
      <c r="D504" s="37" t="s">
        <v>252</v>
      </c>
      <c r="E504" s="38">
        <v>34</v>
      </c>
    </row>
    <row r="505" spans="1:5" x14ac:dyDescent="0.2">
      <c r="A505" s="35">
        <v>2021</v>
      </c>
      <c r="B505" s="36" t="s">
        <v>40</v>
      </c>
      <c r="C505" s="37" t="s">
        <v>262</v>
      </c>
      <c r="D505" s="37" t="s">
        <v>254</v>
      </c>
      <c r="E505" s="38">
        <v>2700</v>
      </c>
    </row>
    <row r="506" spans="1:5" x14ac:dyDescent="0.2">
      <c r="A506" s="35">
        <v>2021</v>
      </c>
      <c r="B506" s="36" t="s">
        <v>40</v>
      </c>
      <c r="C506" s="37" t="s">
        <v>262</v>
      </c>
      <c r="D506" s="37" t="s">
        <v>255</v>
      </c>
      <c r="E506" s="38">
        <v>215687</v>
      </c>
    </row>
    <row r="507" spans="1:5" x14ac:dyDescent="0.2">
      <c r="A507" s="35">
        <v>2021</v>
      </c>
      <c r="B507" s="36" t="s">
        <v>40</v>
      </c>
      <c r="C507" s="37" t="s">
        <v>262</v>
      </c>
      <c r="D507" s="37" t="s">
        <v>256</v>
      </c>
      <c r="E507" s="38">
        <v>100666</v>
      </c>
    </row>
    <row r="508" spans="1:5" x14ac:dyDescent="0.2">
      <c r="A508" s="35">
        <v>2021</v>
      </c>
      <c r="B508" s="36" t="s">
        <v>40</v>
      </c>
      <c r="C508" s="37" t="s">
        <v>262</v>
      </c>
      <c r="D508" s="37" t="s">
        <v>257</v>
      </c>
      <c r="E508" s="38">
        <v>8565887</v>
      </c>
    </row>
    <row r="509" spans="1:5" x14ac:dyDescent="0.2">
      <c r="A509" s="35">
        <v>2021</v>
      </c>
      <c r="B509" s="36" t="s">
        <v>40</v>
      </c>
      <c r="C509" s="37" t="s">
        <v>263</v>
      </c>
      <c r="D509" s="37" t="s">
        <v>230</v>
      </c>
      <c r="E509" s="38">
        <v>56114741</v>
      </c>
    </row>
    <row r="510" spans="1:5" x14ac:dyDescent="0.2">
      <c r="A510" s="35">
        <v>2021</v>
      </c>
      <c r="B510" s="36" t="s">
        <v>40</v>
      </c>
      <c r="C510" s="37" t="s">
        <v>263</v>
      </c>
      <c r="D510" s="37" t="s">
        <v>250</v>
      </c>
      <c r="E510" s="38">
        <v>20640597</v>
      </c>
    </row>
    <row r="511" spans="1:5" x14ac:dyDescent="0.2">
      <c r="A511" s="35">
        <v>2021</v>
      </c>
      <c r="B511" s="36" t="s">
        <v>40</v>
      </c>
      <c r="C511" s="37" t="s">
        <v>263</v>
      </c>
      <c r="D511" s="37" t="s">
        <v>251</v>
      </c>
      <c r="E511" s="38">
        <v>973914</v>
      </c>
    </row>
    <row r="512" spans="1:5" x14ac:dyDescent="0.2">
      <c r="A512" s="35">
        <v>2021</v>
      </c>
      <c r="B512" s="36" t="s">
        <v>40</v>
      </c>
      <c r="C512" s="37" t="s">
        <v>263</v>
      </c>
      <c r="D512" s="37" t="s">
        <v>252</v>
      </c>
      <c r="E512" s="38">
        <v>5837112</v>
      </c>
    </row>
    <row r="513" spans="1:5" x14ac:dyDescent="0.2">
      <c r="A513" s="35">
        <v>2021</v>
      </c>
      <c r="B513" s="36" t="s">
        <v>40</v>
      </c>
      <c r="C513" s="37" t="s">
        <v>263</v>
      </c>
      <c r="D513" s="37" t="s">
        <v>253</v>
      </c>
      <c r="E513" s="38">
        <v>-76</v>
      </c>
    </row>
    <row r="514" spans="1:5" x14ac:dyDescent="0.2">
      <c r="A514" s="35">
        <v>2021</v>
      </c>
      <c r="B514" s="36" t="s">
        <v>40</v>
      </c>
      <c r="C514" s="37" t="s">
        <v>263</v>
      </c>
      <c r="D514" s="37" t="s">
        <v>254</v>
      </c>
      <c r="E514" s="38">
        <v>99718</v>
      </c>
    </row>
    <row r="515" spans="1:5" x14ac:dyDescent="0.2">
      <c r="A515" s="35">
        <v>2021</v>
      </c>
      <c r="B515" s="36" t="s">
        <v>40</v>
      </c>
      <c r="C515" s="37" t="s">
        <v>263</v>
      </c>
      <c r="D515" s="37" t="s">
        <v>255</v>
      </c>
      <c r="E515" s="38">
        <v>9219</v>
      </c>
    </row>
    <row r="516" spans="1:5" x14ac:dyDescent="0.2">
      <c r="A516" s="35">
        <v>2021</v>
      </c>
      <c r="B516" s="36" t="s">
        <v>40</v>
      </c>
      <c r="C516" s="37" t="s">
        <v>263</v>
      </c>
      <c r="D516" s="37" t="s">
        <v>256</v>
      </c>
      <c r="E516" s="38">
        <v>25292</v>
      </c>
    </row>
    <row r="517" spans="1:5" x14ac:dyDescent="0.2">
      <c r="A517" s="35">
        <v>2021</v>
      </c>
      <c r="B517" s="36" t="s">
        <v>40</v>
      </c>
      <c r="C517" s="37" t="s">
        <v>263</v>
      </c>
      <c r="D517" s="37" t="s">
        <v>257</v>
      </c>
      <c r="E517" s="38">
        <v>28528965</v>
      </c>
    </row>
    <row r="518" spans="1:5" x14ac:dyDescent="0.2">
      <c r="A518" s="35">
        <v>2021</v>
      </c>
      <c r="B518" s="36" t="s">
        <v>40</v>
      </c>
      <c r="C518" s="37" t="s">
        <v>263</v>
      </c>
      <c r="D518" s="37" t="s">
        <v>258</v>
      </c>
      <c r="E518" s="38">
        <v>0</v>
      </c>
    </row>
    <row r="519" spans="1:5" x14ac:dyDescent="0.2">
      <c r="A519" s="35">
        <v>2021</v>
      </c>
      <c r="B519" s="36" t="s">
        <v>32</v>
      </c>
      <c r="C519" s="37" t="s">
        <v>249</v>
      </c>
      <c r="D519" s="37" t="s">
        <v>230</v>
      </c>
      <c r="E519" s="38">
        <v>16836473</v>
      </c>
    </row>
    <row r="520" spans="1:5" x14ac:dyDescent="0.2">
      <c r="A520" s="35">
        <v>2021</v>
      </c>
      <c r="B520" s="36" t="s">
        <v>32</v>
      </c>
      <c r="C520" s="37" t="s">
        <v>249</v>
      </c>
      <c r="D520" s="37" t="s">
        <v>250</v>
      </c>
      <c r="E520" s="38">
        <v>16115</v>
      </c>
    </row>
    <row r="521" spans="1:5" x14ac:dyDescent="0.2">
      <c r="A521" s="35">
        <v>2021</v>
      </c>
      <c r="B521" s="36" t="s">
        <v>32</v>
      </c>
      <c r="C521" s="37" t="s">
        <v>249</v>
      </c>
      <c r="D521" s="37" t="s">
        <v>267</v>
      </c>
      <c r="E521" s="38">
        <v>92941</v>
      </c>
    </row>
    <row r="522" spans="1:5" x14ac:dyDescent="0.2">
      <c r="A522" s="35">
        <v>2021</v>
      </c>
      <c r="B522" s="36" t="s">
        <v>32</v>
      </c>
      <c r="C522" s="37" t="s">
        <v>249</v>
      </c>
      <c r="D522" s="37" t="s">
        <v>251</v>
      </c>
      <c r="E522" s="38">
        <v>7995217</v>
      </c>
    </row>
    <row r="523" spans="1:5" x14ac:dyDescent="0.2">
      <c r="A523" s="35">
        <v>2021</v>
      </c>
      <c r="B523" s="36" t="s">
        <v>32</v>
      </c>
      <c r="C523" s="37" t="s">
        <v>249</v>
      </c>
      <c r="D523" s="37" t="s">
        <v>252</v>
      </c>
      <c r="E523" s="38">
        <v>4935454</v>
      </c>
    </row>
    <row r="524" spans="1:5" x14ac:dyDescent="0.2">
      <c r="A524" s="35">
        <v>2021</v>
      </c>
      <c r="B524" s="36" t="s">
        <v>32</v>
      </c>
      <c r="C524" s="37" t="s">
        <v>249</v>
      </c>
      <c r="D524" s="37" t="s">
        <v>253</v>
      </c>
      <c r="E524" s="38">
        <v>61911</v>
      </c>
    </row>
    <row r="525" spans="1:5" x14ac:dyDescent="0.2">
      <c r="A525" s="35">
        <v>2021</v>
      </c>
      <c r="B525" s="36" t="s">
        <v>32</v>
      </c>
      <c r="C525" s="37" t="s">
        <v>249</v>
      </c>
      <c r="D525" s="37" t="s">
        <v>254</v>
      </c>
      <c r="E525" s="38">
        <v>152</v>
      </c>
    </row>
    <row r="526" spans="1:5" x14ac:dyDescent="0.2">
      <c r="A526" s="35">
        <v>2021</v>
      </c>
      <c r="B526" s="36" t="s">
        <v>32</v>
      </c>
      <c r="C526" s="37" t="s">
        <v>249</v>
      </c>
      <c r="D526" s="37" t="s">
        <v>255</v>
      </c>
      <c r="E526" s="38">
        <v>564869</v>
      </c>
    </row>
    <row r="527" spans="1:5" x14ac:dyDescent="0.2">
      <c r="A527" s="35">
        <v>2021</v>
      </c>
      <c r="B527" s="36" t="s">
        <v>32</v>
      </c>
      <c r="C527" s="37" t="s">
        <v>249</v>
      </c>
      <c r="D527" s="37" t="s">
        <v>256</v>
      </c>
      <c r="E527" s="38">
        <v>96064</v>
      </c>
    </row>
    <row r="528" spans="1:5" x14ac:dyDescent="0.2">
      <c r="A528" s="35">
        <v>2021</v>
      </c>
      <c r="B528" s="36" t="s">
        <v>32</v>
      </c>
      <c r="C528" s="37" t="s">
        <v>249</v>
      </c>
      <c r="D528" s="37" t="s">
        <v>257</v>
      </c>
      <c r="E528" s="38">
        <v>2680206</v>
      </c>
    </row>
    <row r="529" spans="1:5" x14ac:dyDescent="0.2">
      <c r="A529" s="35">
        <v>2021</v>
      </c>
      <c r="B529" s="36" t="s">
        <v>32</v>
      </c>
      <c r="C529" s="37" t="s">
        <v>249</v>
      </c>
      <c r="D529" s="37" t="s">
        <v>258</v>
      </c>
      <c r="E529" s="38">
        <v>393543</v>
      </c>
    </row>
    <row r="530" spans="1:5" x14ac:dyDescent="0.2">
      <c r="A530" s="35">
        <v>2021</v>
      </c>
      <c r="B530" s="36" t="s">
        <v>32</v>
      </c>
      <c r="C530" s="37" t="s">
        <v>259</v>
      </c>
      <c r="D530" s="37" t="s">
        <v>230</v>
      </c>
      <c r="E530" s="38">
        <v>549855</v>
      </c>
    </row>
    <row r="531" spans="1:5" x14ac:dyDescent="0.2">
      <c r="A531" s="35">
        <v>2021</v>
      </c>
      <c r="B531" s="36" t="s">
        <v>32</v>
      </c>
      <c r="C531" s="37" t="s">
        <v>259</v>
      </c>
      <c r="D531" s="37" t="s">
        <v>250</v>
      </c>
      <c r="E531" s="38">
        <v>16115</v>
      </c>
    </row>
    <row r="532" spans="1:5" x14ac:dyDescent="0.2">
      <c r="A532" s="35">
        <v>2021</v>
      </c>
      <c r="B532" s="36" t="s">
        <v>32</v>
      </c>
      <c r="C532" s="37" t="s">
        <v>259</v>
      </c>
      <c r="D532" s="37" t="s">
        <v>252</v>
      </c>
      <c r="E532" s="38">
        <v>126395</v>
      </c>
    </row>
    <row r="533" spans="1:5" x14ac:dyDescent="0.2">
      <c r="A533" s="35">
        <v>2021</v>
      </c>
      <c r="B533" s="36" t="s">
        <v>32</v>
      </c>
      <c r="C533" s="37" t="s">
        <v>259</v>
      </c>
      <c r="D533" s="37" t="s">
        <v>253</v>
      </c>
      <c r="E533" s="38">
        <v>61911</v>
      </c>
    </row>
    <row r="534" spans="1:5" x14ac:dyDescent="0.2">
      <c r="A534" s="35">
        <v>2021</v>
      </c>
      <c r="B534" s="36" t="s">
        <v>32</v>
      </c>
      <c r="C534" s="37" t="s">
        <v>259</v>
      </c>
      <c r="D534" s="37" t="s">
        <v>254</v>
      </c>
      <c r="E534" s="38">
        <v>0</v>
      </c>
    </row>
    <row r="535" spans="1:5" x14ac:dyDescent="0.2">
      <c r="A535" s="35">
        <v>2021</v>
      </c>
      <c r="B535" s="36" t="s">
        <v>32</v>
      </c>
      <c r="C535" s="37" t="s">
        <v>259</v>
      </c>
      <c r="D535" s="37" t="s">
        <v>255</v>
      </c>
      <c r="E535" s="38">
        <v>2600</v>
      </c>
    </row>
    <row r="536" spans="1:5" x14ac:dyDescent="0.2">
      <c r="A536" s="35">
        <v>2021</v>
      </c>
      <c r="B536" s="36" t="s">
        <v>32</v>
      </c>
      <c r="C536" s="37" t="s">
        <v>259</v>
      </c>
      <c r="D536" s="37" t="s">
        <v>258</v>
      </c>
      <c r="E536" s="38">
        <v>342833</v>
      </c>
    </row>
    <row r="537" spans="1:5" x14ac:dyDescent="0.2">
      <c r="A537" s="35">
        <v>2021</v>
      </c>
      <c r="B537" s="36" t="s">
        <v>32</v>
      </c>
      <c r="C537" s="37" t="s">
        <v>260</v>
      </c>
      <c r="D537" s="37" t="s">
        <v>230</v>
      </c>
      <c r="E537" s="38">
        <v>69207</v>
      </c>
    </row>
    <row r="538" spans="1:5" x14ac:dyDescent="0.2">
      <c r="A538" s="35">
        <v>2021</v>
      </c>
      <c r="B538" s="36" t="s">
        <v>32</v>
      </c>
      <c r="C538" s="37" t="s">
        <v>260</v>
      </c>
      <c r="D538" s="37" t="s">
        <v>252</v>
      </c>
      <c r="E538" s="38">
        <v>38556</v>
      </c>
    </row>
    <row r="539" spans="1:5" x14ac:dyDescent="0.2">
      <c r="A539" s="35">
        <v>2021</v>
      </c>
      <c r="B539" s="36" t="s">
        <v>32</v>
      </c>
      <c r="C539" s="37" t="s">
        <v>260</v>
      </c>
      <c r="D539" s="37" t="s">
        <v>254</v>
      </c>
      <c r="E539" s="38">
        <v>126</v>
      </c>
    </row>
    <row r="540" spans="1:5" x14ac:dyDescent="0.2">
      <c r="A540" s="35">
        <v>2021</v>
      </c>
      <c r="B540" s="36" t="s">
        <v>32</v>
      </c>
      <c r="C540" s="37" t="s">
        <v>260</v>
      </c>
      <c r="D540" s="37" t="s">
        <v>256</v>
      </c>
      <c r="E540" s="38">
        <v>30525</v>
      </c>
    </row>
    <row r="541" spans="1:5" x14ac:dyDescent="0.2">
      <c r="A541" s="35">
        <v>2021</v>
      </c>
      <c r="B541" s="36" t="s">
        <v>32</v>
      </c>
      <c r="C541" s="37" t="s">
        <v>261</v>
      </c>
      <c r="D541" s="37" t="s">
        <v>230</v>
      </c>
      <c r="E541" s="38">
        <v>57827</v>
      </c>
    </row>
    <row r="542" spans="1:5" x14ac:dyDescent="0.2">
      <c r="A542" s="35">
        <v>2021</v>
      </c>
      <c r="B542" s="36" t="s">
        <v>32</v>
      </c>
      <c r="C542" s="37" t="s">
        <v>261</v>
      </c>
      <c r="D542" s="37" t="s">
        <v>256</v>
      </c>
      <c r="E542" s="38">
        <v>7117</v>
      </c>
    </row>
    <row r="543" spans="1:5" x14ac:dyDescent="0.2">
      <c r="A543" s="35">
        <v>2021</v>
      </c>
      <c r="B543" s="36" t="s">
        <v>32</v>
      </c>
      <c r="C543" s="37" t="s">
        <v>261</v>
      </c>
      <c r="D543" s="37" t="s">
        <v>258</v>
      </c>
      <c r="E543" s="38">
        <v>50710</v>
      </c>
    </row>
    <row r="544" spans="1:5" x14ac:dyDescent="0.2">
      <c r="A544" s="35">
        <v>2021</v>
      </c>
      <c r="B544" s="36" t="s">
        <v>32</v>
      </c>
      <c r="C544" s="37" t="s">
        <v>262</v>
      </c>
      <c r="D544" s="37" t="s">
        <v>230</v>
      </c>
      <c r="E544" s="38">
        <v>5702177</v>
      </c>
    </row>
    <row r="545" spans="1:5" x14ac:dyDescent="0.2">
      <c r="A545" s="35">
        <v>2021</v>
      </c>
      <c r="B545" s="36" t="s">
        <v>32</v>
      </c>
      <c r="C545" s="37" t="s">
        <v>262</v>
      </c>
      <c r="D545" s="37" t="s">
        <v>267</v>
      </c>
      <c r="E545" s="38">
        <v>92941</v>
      </c>
    </row>
    <row r="546" spans="1:5" x14ac:dyDescent="0.2">
      <c r="A546" s="35">
        <v>2021</v>
      </c>
      <c r="B546" s="36" t="s">
        <v>32</v>
      </c>
      <c r="C546" s="37" t="s">
        <v>262</v>
      </c>
      <c r="D546" s="37" t="s">
        <v>251</v>
      </c>
      <c r="E546" s="38">
        <v>674559</v>
      </c>
    </row>
    <row r="547" spans="1:5" x14ac:dyDescent="0.2">
      <c r="A547" s="35">
        <v>2021</v>
      </c>
      <c r="B547" s="36" t="s">
        <v>32</v>
      </c>
      <c r="C547" s="37" t="s">
        <v>262</v>
      </c>
      <c r="D547" s="37" t="s">
        <v>252</v>
      </c>
      <c r="E547" s="38">
        <v>1822638</v>
      </c>
    </row>
    <row r="548" spans="1:5" x14ac:dyDescent="0.2">
      <c r="A548" s="35">
        <v>2021</v>
      </c>
      <c r="B548" s="36" t="s">
        <v>32</v>
      </c>
      <c r="C548" s="37" t="s">
        <v>262</v>
      </c>
      <c r="D548" s="37" t="s">
        <v>255</v>
      </c>
      <c r="E548" s="38">
        <v>562269</v>
      </c>
    </row>
    <row r="549" spans="1:5" x14ac:dyDescent="0.2">
      <c r="A549" s="35">
        <v>2021</v>
      </c>
      <c r="B549" s="36" t="s">
        <v>32</v>
      </c>
      <c r="C549" s="37" t="s">
        <v>262</v>
      </c>
      <c r="D549" s="37" t="s">
        <v>256</v>
      </c>
      <c r="E549" s="38">
        <v>44686</v>
      </c>
    </row>
    <row r="550" spans="1:5" x14ac:dyDescent="0.2">
      <c r="A550" s="35">
        <v>2021</v>
      </c>
      <c r="B550" s="36" t="s">
        <v>32</v>
      </c>
      <c r="C550" s="37" t="s">
        <v>262</v>
      </c>
      <c r="D550" s="37" t="s">
        <v>257</v>
      </c>
      <c r="E550" s="38">
        <v>2505084</v>
      </c>
    </row>
    <row r="551" spans="1:5" x14ac:dyDescent="0.2">
      <c r="A551" s="35">
        <v>2021</v>
      </c>
      <c r="B551" s="36" t="s">
        <v>32</v>
      </c>
      <c r="C551" s="37" t="s">
        <v>263</v>
      </c>
      <c r="D551" s="37" t="s">
        <v>230</v>
      </c>
      <c r="E551" s="38">
        <v>10457407</v>
      </c>
    </row>
    <row r="552" spans="1:5" x14ac:dyDescent="0.2">
      <c r="A552" s="35">
        <v>2021</v>
      </c>
      <c r="B552" s="36" t="s">
        <v>32</v>
      </c>
      <c r="C552" s="37" t="s">
        <v>263</v>
      </c>
      <c r="D552" s="37" t="s">
        <v>251</v>
      </c>
      <c r="E552" s="38">
        <v>7320658</v>
      </c>
    </row>
    <row r="553" spans="1:5" x14ac:dyDescent="0.2">
      <c r="A553" s="35">
        <v>2021</v>
      </c>
      <c r="B553" s="36" t="s">
        <v>32</v>
      </c>
      <c r="C553" s="37" t="s">
        <v>263</v>
      </c>
      <c r="D553" s="37" t="s">
        <v>252</v>
      </c>
      <c r="E553" s="38">
        <v>2947865</v>
      </c>
    </row>
    <row r="554" spans="1:5" x14ac:dyDescent="0.2">
      <c r="A554" s="35">
        <v>2021</v>
      </c>
      <c r="B554" s="36" t="s">
        <v>32</v>
      </c>
      <c r="C554" s="37" t="s">
        <v>263</v>
      </c>
      <c r="D554" s="37" t="s">
        <v>254</v>
      </c>
      <c r="E554" s="38">
        <v>26</v>
      </c>
    </row>
    <row r="555" spans="1:5" x14ac:dyDescent="0.2">
      <c r="A555" s="35">
        <v>2021</v>
      </c>
      <c r="B555" s="36" t="s">
        <v>32</v>
      </c>
      <c r="C555" s="37" t="s">
        <v>263</v>
      </c>
      <c r="D555" s="37" t="s">
        <v>256</v>
      </c>
      <c r="E555" s="38">
        <v>13736</v>
      </c>
    </row>
    <row r="556" spans="1:5" x14ac:dyDescent="0.2">
      <c r="A556" s="35">
        <v>2021</v>
      </c>
      <c r="B556" s="36" t="s">
        <v>32</v>
      </c>
      <c r="C556" s="37" t="s">
        <v>263</v>
      </c>
      <c r="D556" s="37" t="s">
        <v>257</v>
      </c>
      <c r="E556" s="38">
        <v>175122</v>
      </c>
    </row>
    <row r="557" spans="1:5" x14ac:dyDescent="0.2">
      <c r="A557" s="35">
        <v>2021</v>
      </c>
      <c r="B557" s="36" t="s">
        <v>35</v>
      </c>
      <c r="C557" s="37" t="s">
        <v>249</v>
      </c>
      <c r="D557" s="37" t="s">
        <v>230</v>
      </c>
      <c r="E557" s="38">
        <v>181637574</v>
      </c>
    </row>
    <row r="558" spans="1:5" x14ac:dyDescent="0.2">
      <c r="A558" s="35">
        <v>2021</v>
      </c>
      <c r="B558" s="36" t="s">
        <v>35</v>
      </c>
      <c r="C558" s="37" t="s">
        <v>249</v>
      </c>
      <c r="D558" s="37" t="s">
        <v>250</v>
      </c>
      <c r="E558" s="38">
        <v>43298080</v>
      </c>
    </row>
    <row r="559" spans="1:5" x14ac:dyDescent="0.2">
      <c r="A559" s="35">
        <v>2021</v>
      </c>
      <c r="B559" s="36" t="s">
        <v>35</v>
      </c>
      <c r="C559" s="37" t="s">
        <v>249</v>
      </c>
      <c r="D559" s="37" t="s">
        <v>251</v>
      </c>
      <c r="E559" s="38">
        <v>128565</v>
      </c>
    </row>
    <row r="560" spans="1:5" x14ac:dyDescent="0.2">
      <c r="A560" s="35">
        <v>2021</v>
      </c>
      <c r="B560" s="36" t="s">
        <v>35</v>
      </c>
      <c r="C560" s="37" t="s">
        <v>249</v>
      </c>
      <c r="D560" s="37" t="s">
        <v>252</v>
      </c>
      <c r="E560" s="38">
        <v>20664598</v>
      </c>
    </row>
    <row r="561" spans="1:5" x14ac:dyDescent="0.2">
      <c r="A561" s="35">
        <v>2021</v>
      </c>
      <c r="B561" s="36" t="s">
        <v>35</v>
      </c>
      <c r="C561" s="37" t="s">
        <v>249</v>
      </c>
      <c r="D561" s="37" t="s">
        <v>264</v>
      </c>
      <c r="E561" s="38">
        <v>96994458</v>
      </c>
    </row>
    <row r="562" spans="1:5" x14ac:dyDescent="0.2">
      <c r="A562" s="35">
        <v>2021</v>
      </c>
      <c r="B562" s="36" t="s">
        <v>35</v>
      </c>
      <c r="C562" s="37" t="s">
        <v>249</v>
      </c>
      <c r="D562" s="37" t="s">
        <v>265</v>
      </c>
      <c r="E562" s="38">
        <v>241516</v>
      </c>
    </row>
    <row r="563" spans="1:5" x14ac:dyDescent="0.2">
      <c r="A563" s="35">
        <v>2021</v>
      </c>
      <c r="B563" s="36" t="s">
        <v>35</v>
      </c>
      <c r="C563" s="37" t="s">
        <v>249</v>
      </c>
      <c r="D563" s="37" t="s">
        <v>253</v>
      </c>
      <c r="E563" s="38">
        <v>245734</v>
      </c>
    </row>
    <row r="564" spans="1:5" x14ac:dyDescent="0.2">
      <c r="A564" s="35">
        <v>2021</v>
      </c>
      <c r="B564" s="36" t="s">
        <v>35</v>
      </c>
      <c r="C564" s="37" t="s">
        <v>249</v>
      </c>
      <c r="D564" s="37" t="s">
        <v>254</v>
      </c>
      <c r="E564" s="38">
        <v>53970</v>
      </c>
    </row>
    <row r="565" spans="1:5" x14ac:dyDescent="0.2">
      <c r="A565" s="35">
        <v>2021</v>
      </c>
      <c r="B565" s="36" t="s">
        <v>35</v>
      </c>
      <c r="C565" s="37" t="s">
        <v>249</v>
      </c>
      <c r="D565" s="37" t="s">
        <v>255</v>
      </c>
      <c r="E565" s="38">
        <v>513112</v>
      </c>
    </row>
    <row r="566" spans="1:5" x14ac:dyDescent="0.2">
      <c r="A566" s="35">
        <v>2021</v>
      </c>
      <c r="B566" s="36" t="s">
        <v>35</v>
      </c>
      <c r="C566" s="37" t="s">
        <v>249</v>
      </c>
      <c r="D566" s="37" t="s">
        <v>256</v>
      </c>
      <c r="E566" s="38">
        <v>364454</v>
      </c>
    </row>
    <row r="567" spans="1:5" x14ac:dyDescent="0.2">
      <c r="A567" s="35">
        <v>2021</v>
      </c>
      <c r="B567" s="36" t="s">
        <v>35</v>
      </c>
      <c r="C567" s="37" t="s">
        <v>249</v>
      </c>
      <c r="D567" s="37" t="s">
        <v>257</v>
      </c>
      <c r="E567" s="38">
        <v>19133088</v>
      </c>
    </row>
    <row r="568" spans="1:5" x14ac:dyDescent="0.2">
      <c r="A568" s="35">
        <v>2021</v>
      </c>
      <c r="B568" s="36" t="s">
        <v>35</v>
      </c>
      <c r="C568" s="37" t="s">
        <v>249</v>
      </c>
      <c r="D568" s="37" t="s">
        <v>258</v>
      </c>
      <c r="E568" s="38">
        <v>0</v>
      </c>
    </row>
    <row r="569" spans="1:5" x14ac:dyDescent="0.2">
      <c r="A569" s="35">
        <v>2021</v>
      </c>
      <c r="B569" s="36" t="s">
        <v>35</v>
      </c>
      <c r="C569" s="37" t="s">
        <v>259</v>
      </c>
      <c r="D569" s="37" t="s">
        <v>230</v>
      </c>
      <c r="E569" s="38">
        <v>2554413</v>
      </c>
    </row>
    <row r="570" spans="1:5" x14ac:dyDescent="0.2">
      <c r="A570" s="35">
        <v>2021</v>
      </c>
      <c r="B570" s="36" t="s">
        <v>35</v>
      </c>
      <c r="C570" s="37" t="s">
        <v>259</v>
      </c>
      <c r="D570" s="37" t="s">
        <v>250</v>
      </c>
      <c r="E570" s="38">
        <v>1262599</v>
      </c>
    </row>
    <row r="571" spans="1:5" x14ac:dyDescent="0.2">
      <c r="A571" s="35">
        <v>2021</v>
      </c>
      <c r="B571" s="36" t="s">
        <v>35</v>
      </c>
      <c r="C571" s="37" t="s">
        <v>259</v>
      </c>
      <c r="D571" s="37" t="s">
        <v>252</v>
      </c>
      <c r="E571" s="38">
        <v>788142</v>
      </c>
    </row>
    <row r="572" spans="1:5" x14ac:dyDescent="0.2">
      <c r="A572" s="35">
        <v>2021</v>
      </c>
      <c r="B572" s="36" t="s">
        <v>35</v>
      </c>
      <c r="C572" s="37" t="s">
        <v>259</v>
      </c>
      <c r="D572" s="37" t="s">
        <v>265</v>
      </c>
      <c r="E572" s="38">
        <v>241516</v>
      </c>
    </row>
    <row r="573" spans="1:5" x14ac:dyDescent="0.2">
      <c r="A573" s="35">
        <v>2021</v>
      </c>
      <c r="B573" s="36" t="s">
        <v>35</v>
      </c>
      <c r="C573" s="37" t="s">
        <v>259</v>
      </c>
      <c r="D573" s="37" t="s">
        <v>253</v>
      </c>
      <c r="E573" s="38">
        <v>262156</v>
      </c>
    </row>
    <row r="574" spans="1:5" x14ac:dyDescent="0.2">
      <c r="A574" s="35">
        <v>2021</v>
      </c>
      <c r="B574" s="36" t="s">
        <v>35</v>
      </c>
      <c r="C574" s="37" t="s">
        <v>259</v>
      </c>
      <c r="D574" s="37" t="s">
        <v>254</v>
      </c>
      <c r="E574" s="38">
        <v>0</v>
      </c>
    </row>
    <row r="575" spans="1:5" x14ac:dyDescent="0.2">
      <c r="A575" s="35">
        <v>2021</v>
      </c>
      <c r="B575" s="36" t="s">
        <v>35</v>
      </c>
      <c r="C575" s="37" t="s">
        <v>259</v>
      </c>
      <c r="D575" s="37" t="s">
        <v>258</v>
      </c>
      <c r="E575" s="38">
        <v>0</v>
      </c>
    </row>
    <row r="576" spans="1:5" x14ac:dyDescent="0.2">
      <c r="A576" s="35">
        <v>2021</v>
      </c>
      <c r="B576" s="36" t="s">
        <v>35</v>
      </c>
      <c r="C576" s="37" t="s">
        <v>260</v>
      </c>
      <c r="D576" s="37" t="s">
        <v>230</v>
      </c>
      <c r="E576" s="38">
        <v>501303</v>
      </c>
    </row>
    <row r="577" spans="1:5" x14ac:dyDescent="0.2">
      <c r="A577" s="35">
        <v>2021</v>
      </c>
      <c r="B577" s="36" t="s">
        <v>35</v>
      </c>
      <c r="C577" s="37" t="s">
        <v>260</v>
      </c>
      <c r="D577" s="37" t="s">
        <v>250</v>
      </c>
      <c r="E577" s="38">
        <v>9113</v>
      </c>
    </row>
    <row r="578" spans="1:5" x14ac:dyDescent="0.2">
      <c r="A578" s="35">
        <v>2021</v>
      </c>
      <c r="B578" s="36" t="s">
        <v>35</v>
      </c>
      <c r="C578" s="37" t="s">
        <v>260</v>
      </c>
      <c r="D578" s="37" t="s">
        <v>251</v>
      </c>
      <c r="E578" s="38">
        <v>822</v>
      </c>
    </row>
    <row r="579" spans="1:5" x14ac:dyDescent="0.2">
      <c r="A579" s="35">
        <v>2021</v>
      </c>
      <c r="B579" s="36" t="s">
        <v>35</v>
      </c>
      <c r="C579" s="37" t="s">
        <v>260</v>
      </c>
      <c r="D579" s="37" t="s">
        <v>252</v>
      </c>
      <c r="E579" s="38">
        <v>486346</v>
      </c>
    </row>
    <row r="580" spans="1:5" x14ac:dyDescent="0.2">
      <c r="A580" s="35">
        <v>2021</v>
      </c>
      <c r="B580" s="36" t="s">
        <v>35</v>
      </c>
      <c r="C580" s="37" t="s">
        <v>260</v>
      </c>
      <c r="D580" s="37" t="s">
        <v>254</v>
      </c>
      <c r="E580" s="38">
        <v>369</v>
      </c>
    </row>
    <row r="581" spans="1:5" x14ac:dyDescent="0.2">
      <c r="A581" s="35">
        <v>2021</v>
      </c>
      <c r="B581" s="36" t="s">
        <v>35</v>
      </c>
      <c r="C581" s="37" t="s">
        <v>260</v>
      </c>
      <c r="D581" s="37" t="s">
        <v>255</v>
      </c>
      <c r="E581" s="38">
        <v>0</v>
      </c>
    </row>
    <row r="582" spans="1:5" x14ac:dyDescent="0.2">
      <c r="A582" s="35">
        <v>2021</v>
      </c>
      <c r="B582" s="36" t="s">
        <v>35</v>
      </c>
      <c r="C582" s="37" t="s">
        <v>260</v>
      </c>
      <c r="D582" s="37" t="s">
        <v>256</v>
      </c>
      <c r="E582" s="38">
        <v>0</v>
      </c>
    </row>
    <row r="583" spans="1:5" x14ac:dyDescent="0.2">
      <c r="A583" s="35">
        <v>2021</v>
      </c>
      <c r="B583" s="36" t="s">
        <v>35</v>
      </c>
      <c r="C583" s="37" t="s">
        <v>260</v>
      </c>
      <c r="D583" s="37" t="s">
        <v>257</v>
      </c>
      <c r="E583" s="38">
        <v>4653</v>
      </c>
    </row>
    <row r="584" spans="1:5" x14ac:dyDescent="0.2">
      <c r="A584" s="35">
        <v>2021</v>
      </c>
      <c r="B584" s="36" t="s">
        <v>35</v>
      </c>
      <c r="C584" s="37" t="s">
        <v>261</v>
      </c>
      <c r="D584" s="37" t="s">
        <v>230</v>
      </c>
      <c r="E584" s="38">
        <v>653847</v>
      </c>
    </row>
    <row r="585" spans="1:5" x14ac:dyDescent="0.2">
      <c r="A585" s="35">
        <v>2021</v>
      </c>
      <c r="B585" s="36" t="s">
        <v>35</v>
      </c>
      <c r="C585" s="37" t="s">
        <v>261</v>
      </c>
      <c r="D585" s="37" t="s">
        <v>252</v>
      </c>
      <c r="E585" s="38">
        <v>649027</v>
      </c>
    </row>
    <row r="586" spans="1:5" x14ac:dyDescent="0.2">
      <c r="A586" s="35">
        <v>2021</v>
      </c>
      <c r="B586" s="36" t="s">
        <v>35</v>
      </c>
      <c r="C586" s="37" t="s">
        <v>261</v>
      </c>
      <c r="D586" s="37" t="s">
        <v>265</v>
      </c>
      <c r="E586" s="38">
        <v>0</v>
      </c>
    </row>
    <row r="587" spans="1:5" x14ac:dyDescent="0.2">
      <c r="A587" s="35">
        <v>2021</v>
      </c>
      <c r="B587" s="36" t="s">
        <v>35</v>
      </c>
      <c r="C587" s="37" t="s">
        <v>261</v>
      </c>
      <c r="D587" s="37" t="s">
        <v>256</v>
      </c>
      <c r="E587" s="38">
        <v>4820</v>
      </c>
    </row>
    <row r="588" spans="1:5" x14ac:dyDescent="0.2">
      <c r="A588" s="35">
        <v>2021</v>
      </c>
      <c r="B588" s="36" t="s">
        <v>35</v>
      </c>
      <c r="C588" s="37" t="s">
        <v>262</v>
      </c>
      <c r="D588" s="37" t="s">
        <v>230</v>
      </c>
      <c r="E588" s="38">
        <v>173727654</v>
      </c>
    </row>
    <row r="589" spans="1:5" x14ac:dyDescent="0.2">
      <c r="A589" s="35">
        <v>2021</v>
      </c>
      <c r="B589" s="36" t="s">
        <v>35</v>
      </c>
      <c r="C589" s="37" t="s">
        <v>262</v>
      </c>
      <c r="D589" s="37" t="s">
        <v>250</v>
      </c>
      <c r="E589" s="38">
        <v>40185414</v>
      </c>
    </row>
    <row r="590" spans="1:5" x14ac:dyDescent="0.2">
      <c r="A590" s="35">
        <v>2021</v>
      </c>
      <c r="B590" s="36" t="s">
        <v>35</v>
      </c>
      <c r="C590" s="37" t="s">
        <v>262</v>
      </c>
      <c r="D590" s="37" t="s">
        <v>251</v>
      </c>
      <c r="E590" s="38">
        <v>61072</v>
      </c>
    </row>
    <row r="591" spans="1:5" x14ac:dyDescent="0.2">
      <c r="A591" s="35">
        <v>2021</v>
      </c>
      <c r="B591" s="36" t="s">
        <v>35</v>
      </c>
      <c r="C591" s="37" t="s">
        <v>262</v>
      </c>
      <c r="D591" s="37" t="s">
        <v>252</v>
      </c>
      <c r="E591" s="38">
        <v>16639653</v>
      </c>
    </row>
    <row r="592" spans="1:5" x14ac:dyDescent="0.2">
      <c r="A592" s="35">
        <v>2021</v>
      </c>
      <c r="B592" s="36" t="s">
        <v>35</v>
      </c>
      <c r="C592" s="37" t="s">
        <v>262</v>
      </c>
      <c r="D592" s="37" t="s">
        <v>264</v>
      </c>
      <c r="E592" s="38">
        <v>96994458</v>
      </c>
    </row>
    <row r="593" spans="1:5" x14ac:dyDescent="0.2">
      <c r="A593" s="35">
        <v>2021</v>
      </c>
      <c r="B593" s="36" t="s">
        <v>35</v>
      </c>
      <c r="C593" s="37" t="s">
        <v>262</v>
      </c>
      <c r="D593" s="37" t="s">
        <v>253</v>
      </c>
      <c r="E593" s="38">
        <v>-16410</v>
      </c>
    </row>
    <row r="594" spans="1:5" x14ac:dyDescent="0.2">
      <c r="A594" s="35">
        <v>2021</v>
      </c>
      <c r="B594" s="36" t="s">
        <v>35</v>
      </c>
      <c r="C594" s="37" t="s">
        <v>262</v>
      </c>
      <c r="D594" s="37" t="s">
        <v>254</v>
      </c>
      <c r="E594" s="38">
        <v>35174</v>
      </c>
    </row>
    <row r="595" spans="1:5" x14ac:dyDescent="0.2">
      <c r="A595" s="35">
        <v>2021</v>
      </c>
      <c r="B595" s="36" t="s">
        <v>35</v>
      </c>
      <c r="C595" s="37" t="s">
        <v>262</v>
      </c>
      <c r="D595" s="37" t="s">
        <v>255</v>
      </c>
      <c r="E595" s="38">
        <v>510947</v>
      </c>
    </row>
    <row r="596" spans="1:5" x14ac:dyDescent="0.2">
      <c r="A596" s="35">
        <v>2021</v>
      </c>
      <c r="B596" s="36" t="s">
        <v>35</v>
      </c>
      <c r="C596" s="37" t="s">
        <v>262</v>
      </c>
      <c r="D596" s="37" t="s">
        <v>256</v>
      </c>
      <c r="E596" s="38">
        <v>200147</v>
      </c>
    </row>
    <row r="597" spans="1:5" x14ac:dyDescent="0.2">
      <c r="A597" s="35">
        <v>2021</v>
      </c>
      <c r="B597" s="36" t="s">
        <v>35</v>
      </c>
      <c r="C597" s="37" t="s">
        <v>262</v>
      </c>
      <c r="D597" s="37" t="s">
        <v>257</v>
      </c>
      <c r="E597" s="38">
        <v>19117200</v>
      </c>
    </row>
    <row r="598" spans="1:5" x14ac:dyDescent="0.2">
      <c r="A598" s="35">
        <v>2021</v>
      </c>
      <c r="B598" s="36" t="s">
        <v>35</v>
      </c>
      <c r="C598" s="37" t="s">
        <v>263</v>
      </c>
      <c r="D598" s="37" t="s">
        <v>230</v>
      </c>
      <c r="E598" s="38">
        <v>4200356</v>
      </c>
    </row>
    <row r="599" spans="1:5" x14ac:dyDescent="0.2">
      <c r="A599" s="35">
        <v>2021</v>
      </c>
      <c r="B599" s="36" t="s">
        <v>35</v>
      </c>
      <c r="C599" s="37" t="s">
        <v>263</v>
      </c>
      <c r="D599" s="37" t="s">
        <v>250</v>
      </c>
      <c r="E599" s="38">
        <v>1840953</v>
      </c>
    </row>
    <row r="600" spans="1:5" x14ac:dyDescent="0.2">
      <c r="A600" s="35">
        <v>2021</v>
      </c>
      <c r="B600" s="36" t="s">
        <v>35</v>
      </c>
      <c r="C600" s="37" t="s">
        <v>263</v>
      </c>
      <c r="D600" s="37" t="s">
        <v>251</v>
      </c>
      <c r="E600" s="38">
        <v>66671</v>
      </c>
    </row>
    <row r="601" spans="1:5" x14ac:dyDescent="0.2">
      <c r="A601" s="35">
        <v>2021</v>
      </c>
      <c r="B601" s="36" t="s">
        <v>35</v>
      </c>
      <c r="C601" s="37" t="s">
        <v>263</v>
      </c>
      <c r="D601" s="37" t="s">
        <v>252</v>
      </c>
      <c r="E601" s="38">
        <v>2101430</v>
      </c>
    </row>
    <row r="602" spans="1:5" x14ac:dyDescent="0.2">
      <c r="A602" s="35">
        <v>2021</v>
      </c>
      <c r="B602" s="36" t="s">
        <v>35</v>
      </c>
      <c r="C602" s="37" t="s">
        <v>263</v>
      </c>
      <c r="D602" s="37" t="s">
        <v>253</v>
      </c>
      <c r="E602" s="38">
        <v>-12</v>
      </c>
    </row>
    <row r="603" spans="1:5" x14ac:dyDescent="0.2">
      <c r="A603" s="35">
        <v>2021</v>
      </c>
      <c r="B603" s="36" t="s">
        <v>35</v>
      </c>
      <c r="C603" s="37" t="s">
        <v>263</v>
      </c>
      <c r="D603" s="37" t="s">
        <v>254</v>
      </c>
      <c r="E603" s="38">
        <v>18427</v>
      </c>
    </row>
    <row r="604" spans="1:5" x14ac:dyDescent="0.2">
      <c r="A604" s="35">
        <v>2021</v>
      </c>
      <c r="B604" s="36" t="s">
        <v>35</v>
      </c>
      <c r="C604" s="37" t="s">
        <v>263</v>
      </c>
      <c r="D604" s="37" t="s">
        <v>255</v>
      </c>
      <c r="E604" s="38">
        <v>2165</v>
      </c>
    </row>
    <row r="605" spans="1:5" x14ac:dyDescent="0.2">
      <c r="A605" s="35">
        <v>2021</v>
      </c>
      <c r="B605" s="36" t="s">
        <v>35</v>
      </c>
      <c r="C605" s="37" t="s">
        <v>263</v>
      </c>
      <c r="D605" s="37" t="s">
        <v>256</v>
      </c>
      <c r="E605" s="38">
        <v>159487</v>
      </c>
    </row>
    <row r="606" spans="1:5" x14ac:dyDescent="0.2">
      <c r="A606" s="35">
        <v>2021</v>
      </c>
      <c r="B606" s="36" t="s">
        <v>35</v>
      </c>
      <c r="C606" s="37" t="s">
        <v>263</v>
      </c>
      <c r="D606" s="37" t="s">
        <v>257</v>
      </c>
      <c r="E606" s="38">
        <v>11235</v>
      </c>
    </row>
    <row r="607" spans="1:5" x14ac:dyDescent="0.2">
      <c r="A607" s="35">
        <v>2021</v>
      </c>
      <c r="B607" s="36" t="s">
        <v>37</v>
      </c>
      <c r="C607" s="37" t="s">
        <v>249</v>
      </c>
      <c r="D607" s="37" t="s">
        <v>230</v>
      </c>
      <c r="E607" s="38">
        <v>94164796</v>
      </c>
    </row>
    <row r="608" spans="1:5" x14ac:dyDescent="0.2">
      <c r="A608" s="35">
        <v>2021</v>
      </c>
      <c r="B608" s="36" t="s">
        <v>37</v>
      </c>
      <c r="C608" s="37" t="s">
        <v>249</v>
      </c>
      <c r="D608" s="37" t="s">
        <v>250</v>
      </c>
      <c r="E608" s="38">
        <v>54447943</v>
      </c>
    </row>
    <row r="609" spans="1:5" x14ac:dyDescent="0.2">
      <c r="A609" s="35">
        <v>2021</v>
      </c>
      <c r="B609" s="36" t="s">
        <v>37</v>
      </c>
      <c r="C609" s="37" t="s">
        <v>249</v>
      </c>
      <c r="D609" s="37" t="s">
        <v>251</v>
      </c>
      <c r="E609" s="38">
        <v>387030</v>
      </c>
    </row>
    <row r="610" spans="1:5" x14ac:dyDescent="0.2">
      <c r="A610" s="35">
        <v>2021</v>
      </c>
      <c r="B610" s="36" t="s">
        <v>37</v>
      </c>
      <c r="C610" s="37" t="s">
        <v>249</v>
      </c>
      <c r="D610" s="37" t="s">
        <v>252</v>
      </c>
      <c r="E610" s="38">
        <v>27599551</v>
      </c>
    </row>
    <row r="611" spans="1:5" x14ac:dyDescent="0.2">
      <c r="A611" s="35">
        <v>2021</v>
      </c>
      <c r="B611" s="36" t="s">
        <v>37</v>
      </c>
      <c r="C611" s="37" t="s">
        <v>249</v>
      </c>
      <c r="D611" s="37" t="s">
        <v>265</v>
      </c>
      <c r="E611" s="38">
        <v>2254362</v>
      </c>
    </row>
    <row r="612" spans="1:5" x14ac:dyDescent="0.2">
      <c r="A612" s="35">
        <v>2021</v>
      </c>
      <c r="B612" s="36" t="s">
        <v>37</v>
      </c>
      <c r="C612" s="37" t="s">
        <v>249</v>
      </c>
      <c r="D612" s="37" t="s">
        <v>253</v>
      </c>
      <c r="E612" s="38">
        <v>489360</v>
      </c>
    </row>
    <row r="613" spans="1:5" x14ac:dyDescent="0.2">
      <c r="A613" s="35">
        <v>2021</v>
      </c>
      <c r="B613" s="36" t="s">
        <v>37</v>
      </c>
      <c r="C613" s="37" t="s">
        <v>249</v>
      </c>
      <c r="D613" s="37" t="s">
        <v>254</v>
      </c>
      <c r="E613" s="38">
        <v>127812</v>
      </c>
    </row>
    <row r="614" spans="1:5" x14ac:dyDescent="0.2">
      <c r="A614" s="35">
        <v>2021</v>
      </c>
      <c r="B614" s="36" t="s">
        <v>37</v>
      </c>
      <c r="C614" s="37" t="s">
        <v>249</v>
      </c>
      <c r="D614" s="37" t="s">
        <v>255</v>
      </c>
      <c r="E614" s="38">
        <v>572757</v>
      </c>
    </row>
    <row r="615" spans="1:5" x14ac:dyDescent="0.2">
      <c r="A615" s="35">
        <v>2021</v>
      </c>
      <c r="B615" s="36" t="s">
        <v>37</v>
      </c>
      <c r="C615" s="37" t="s">
        <v>249</v>
      </c>
      <c r="D615" s="37" t="s">
        <v>256</v>
      </c>
      <c r="E615" s="38">
        <v>428995</v>
      </c>
    </row>
    <row r="616" spans="1:5" x14ac:dyDescent="0.2">
      <c r="A616" s="35">
        <v>2021</v>
      </c>
      <c r="B616" s="36" t="s">
        <v>37</v>
      </c>
      <c r="C616" s="37" t="s">
        <v>249</v>
      </c>
      <c r="D616" s="37" t="s">
        <v>257</v>
      </c>
      <c r="E616" s="38">
        <v>7856985</v>
      </c>
    </row>
    <row r="617" spans="1:5" x14ac:dyDescent="0.2">
      <c r="A617" s="35">
        <v>2021</v>
      </c>
      <c r="B617" s="36" t="s">
        <v>37</v>
      </c>
      <c r="C617" s="37" t="s">
        <v>249</v>
      </c>
      <c r="D617" s="37" t="s">
        <v>258</v>
      </c>
      <c r="E617" s="38">
        <v>0</v>
      </c>
    </row>
    <row r="618" spans="1:5" x14ac:dyDescent="0.2">
      <c r="A618" s="35">
        <v>2021</v>
      </c>
      <c r="B618" s="36" t="s">
        <v>37</v>
      </c>
      <c r="C618" s="37" t="s">
        <v>259</v>
      </c>
      <c r="D618" s="37" t="s">
        <v>230</v>
      </c>
      <c r="E618" s="38">
        <v>4642629</v>
      </c>
    </row>
    <row r="619" spans="1:5" x14ac:dyDescent="0.2">
      <c r="A619" s="35">
        <v>2021</v>
      </c>
      <c r="B619" s="36" t="s">
        <v>37</v>
      </c>
      <c r="C619" s="37" t="s">
        <v>259</v>
      </c>
      <c r="D619" s="37" t="s">
        <v>250</v>
      </c>
      <c r="E619" s="38">
        <v>0</v>
      </c>
    </row>
    <row r="620" spans="1:5" x14ac:dyDescent="0.2">
      <c r="A620" s="35">
        <v>2021</v>
      </c>
      <c r="B620" s="36" t="s">
        <v>37</v>
      </c>
      <c r="C620" s="37" t="s">
        <v>259</v>
      </c>
      <c r="D620" s="37" t="s">
        <v>252</v>
      </c>
      <c r="E620" s="38">
        <v>1862593</v>
      </c>
    </row>
    <row r="621" spans="1:5" x14ac:dyDescent="0.2">
      <c r="A621" s="35">
        <v>2021</v>
      </c>
      <c r="B621" s="36" t="s">
        <v>37</v>
      </c>
      <c r="C621" s="37" t="s">
        <v>259</v>
      </c>
      <c r="D621" s="37" t="s">
        <v>265</v>
      </c>
      <c r="E621" s="38">
        <v>2254362</v>
      </c>
    </row>
    <row r="622" spans="1:5" x14ac:dyDescent="0.2">
      <c r="A622" s="35">
        <v>2021</v>
      </c>
      <c r="B622" s="36" t="s">
        <v>37</v>
      </c>
      <c r="C622" s="37" t="s">
        <v>259</v>
      </c>
      <c r="D622" s="37" t="s">
        <v>253</v>
      </c>
      <c r="E622" s="38">
        <v>465030</v>
      </c>
    </row>
    <row r="623" spans="1:5" x14ac:dyDescent="0.2">
      <c r="A623" s="35">
        <v>2021</v>
      </c>
      <c r="B623" s="36" t="s">
        <v>37</v>
      </c>
      <c r="C623" s="37" t="s">
        <v>259</v>
      </c>
      <c r="D623" s="37" t="s">
        <v>254</v>
      </c>
      <c r="E623" s="38">
        <v>807</v>
      </c>
    </row>
    <row r="624" spans="1:5" x14ac:dyDescent="0.2">
      <c r="A624" s="35">
        <v>2021</v>
      </c>
      <c r="B624" s="36" t="s">
        <v>37</v>
      </c>
      <c r="C624" s="37" t="s">
        <v>259</v>
      </c>
      <c r="D624" s="37" t="s">
        <v>256</v>
      </c>
      <c r="E624" s="38">
        <v>59837</v>
      </c>
    </row>
    <row r="625" spans="1:5" x14ac:dyDescent="0.2">
      <c r="A625" s="35">
        <v>2021</v>
      </c>
      <c r="B625" s="36" t="s">
        <v>37</v>
      </c>
      <c r="C625" s="37" t="s">
        <v>260</v>
      </c>
      <c r="D625" s="37" t="s">
        <v>230</v>
      </c>
      <c r="E625" s="38">
        <v>252271</v>
      </c>
    </row>
    <row r="626" spans="1:5" x14ac:dyDescent="0.2">
      <c r="A626" s="35">
        <v>2021</v>
      </c>
      <c r="B626" s="36" t="s">
        <v>37</v>
      </c>
      <c r="C626" s="37" t="s">
        <v>260</v>
      </c>
      <c r="D626" s="37" t="s">
        <v>250</v>
      </c>
      <c r="E626" s="38">
        <v>30835</v>
      </c>
    </row>
    <row r="627" spans="1:5" x14ac:dyDescent="0.2">
      <c r="A627" s="35">
        <v>2021</v>
      </c>
      <c r="B627" s="36" t="s">
        <v>37</v>
      </c>
      <c r="C627" s="37" t="s">
        <v>260</v>
      </c>
      <c r="D627" s="37" t="s">
        <v>252</v>
      </c>
      <c r="E627" s="38">
        <v>175644</v>
      </c>
    </row>
    <row r="628" spans="1:5" x14ac:dyDescent="0.2">
      <c r="A628" s="35">
        <v>2021</v>
      </c>
      <c r="B628" s="36" t="s">
        <v>37</v>
      </c>
      <c r="C628" s="37" t="s">
        <v>260</v>
      </c>
      <c r="D628" s="37" t="s">
        <v>253</v>
      </c>
      <c r="E628" s="38">
        <v>24445</v>
      </c>
    </row>
    <row r="629" spans="1:5" x14ac:dyDescent="0.2">
      <c r="A629" s="35">
        <v>2021</v>
      </c>
      <c r="B629" s="36" t="s">
        <v>37</v>
      </c>
      <c r="C629" s="37" t="s">
        <v>260</v>
      </c>
      <c r="D629" s="37" t="s">
        <v>254</v>
      </c>
      <c r="E629" s="38">
        <v>603</v>
      </c>
    </row>
    <row r="630" spans="1:5" x14ac:dyDescent="0.2">
      <c r="A630" s="35">
        <v>2021</v>
      </c>
      <c r="B630" s="36" t="s">
        <v>37</v>
      </c>
      <c r="C630" s="37" t="s">
        <v>260</v>
      </c>
      <c r="D630" s="37" t="s">
        <v>255</v>
      </c>
      <c r="E630" s="38">
        <v>2042</v>
      </c>
    </row>
    <row r="631" spans="1:5" x14ac:dyDescent="0.2">
      <c r="A631" s="35">
        <v>2021</v>
      </c>
      <c r="B631" s="36" t="s">
        <v>37</v>
      </c>
      <c r="C631" s="37" t="s">
        <v>260</v>
      </c>
      <c r="D631" s="37" t="s">
        <v>256</v>
      </c>
      <c r="E631" s="38">
        <v>18701</v>
      </c>
    </row>
    <row r="632" spans="1:5" x14ac:dyDescent="0.2">
      <c r="A632" s="35">
        <v>2021</v>
      </c>
      <c r="B632" s="36" t="s">
        <v>37</v>
      </c>
      <c r="C632" s="37" t="s">
        <v>260</v>
      </c>
      <c r="D632" s="37" t="s">
        <v>257</v>
      </c>
      <c r="E632" s="38">
        <v>0</v>
      </c>
    </row>
    <row r="633" spans="1:5" x14ac:dyDescent="0.2">
      <c r="A633" s="35">
        <v>2021</v>
      </c>
      <c r="B633" s="36" t="s">
        <v>37</v>
      </c>
      <c r="C633" s="37" t="s">
        <v>261</v>
      </c>
      <c r="D633" s="37" t="s">
        <v>230</v>
      </c>
      <c r="E633" s="38">
        <v>7728162</v>
      </c>
    </row>
    <row r="634" spans="1:5" x14ac:dyDescent="0.2">
      <c r="A634" s="35">
        <v>2021</v>
      </c>
      <c r="B634" s="36" t="s">
        <v>37</v>
      </c>
      <c r="C634" s="37" t="s">
        <v>261</v>
      </c>
      <c r="D634" s="37" t="s">
        <v>250</v>
      </c>
      <c r="E634" s="38">
        <v>4692782</v>
      </c>
    </row>
    <row r="635" spans="1:5" x14ac:dyDescent="0.2">
      <c r="A635" s="35">
        <v>2021</v>
      </c>
      <c r="B635" s="36" t="s">
        <v>37</v>
      </c>
      <c r="C635" s="37" t="s">
        <v>261</v>
      </c>
      <c r="D635" s="37" t="s">
        <v>252</v>
      </c>
      <c r="E635" s="38">
        <v>3035095</v>
      </c>
    </row>
    <row r="636" spans="1:5" x14ac:dyDescent="0.2">
      <c r="A636" s="35">
        <v>2021</v>
      </c>
      <c r="B636" s="36" t="s">
        <v>37</v>
      </c>
      <c r="C636" s="37" t="s">
        <v>261</v>
      </c>
      <c r="D636" s="37" t="s">
        <v>254</v>
      </c>
      <c r="E636" s="38">
        <v>285</v>
      </c>
    </row>
    <row r="637" spans="1:5" x14ac:dyDescent="0.2">
      <c r="A637" s="35">
        <v>2021</v>
      </c>
      <c r="B637" s="36" t="s">
        <v>37</v>
      </c>
      <c r="C637" s="37" t="s">
        <v>262</v>
      </c>
      <c r="D637" s="37" t="s">
        <v>230</v>
      </c>
      <c r="E637" s="38">
        <v>20893403</v>
      </c>
    </row>
    <row r="638" spans="1:5" x14ac:dyDescent="0.2">
      <c r="A638" s="35">
        <v>2021</v>
      </c>
      <c r="B638" s="36" t="s">
        <v>37</v>
      </c>
      <c r="C638" s="37" t="s">
        <v>262</v>
      </c>
      <c r="D638" s="37" t="s">
        <v>250</v>
      </c>
      <c r="E638" s="38">
        <v>0</v>
      </c>
    </row>
    <row r="639" spans="1:5" x14ac:dyDescent="0.2">
      <c r="A639" s="35">
        <v>2021</v>
      </c>
      <c r="B639" s="36" t="s">
        <v>37</v>
      </c>
      <c r="C639" s="37" t="s">
        <v>262</v>
      </c>
      <c r="D639" s="37" t="s">
        <v>252</v>
      </c>
      <c r="E639" s="38">
        <v>12771675</v>
      </c>
    </row>
    <row r="640" spans="1:5" x14ac:dyDescent="0.2">
      <c r="A640" s="35">
        <v>2021</v>
      </c>
      <c r="B640" s="36" t="s">
        <v>37</v>
      </c>
      <c r="C640" s="37" t="s">
        <v>262</v>
      </c>
      <c r="D640" s="37" t="s">
        <v>254</v>
      </c>
      <c r="E640" s="38">
        <v>3311</v>
      </c>
    </row>
    <row r="641" spans="1:5" x14ac:dyDescent="0.2">
      <c r="A641" s="35">
        <v>2021</v>
      </c>
      <c r="B641" s="36" t="s">
        <v>37</v>
      </c>
      <c r="C641" s="37" t="s">
        <v>262</v>
      </c>
      <c r="D641" s="37" t="s">
        <v>255</v>
      </c>
      <c r="E641" s="38">
        <v>199021</v>
      </c>
    </row>
    <row r="642" spans="1:5" x14ac:dyDescent="0.2">
      <c r="A642" s="35">
        <v>2021</v>
      </c>
      <c r="B642" s="36" t="s">
        <v>37</v>
      </c>
      <c r="C642" s="37" t="s">
        <v>262</v>
      </c>
      <c r="D642" s="37" t="s">
        <v>256</v>
      </c>
      <c r="E642" s="38">
        <v>62411</v>
      </c>
    </row>
    <row r="643" spans="1:5" x14ac:dyDescent="0.2">
      <c r="A643" s="35">
        <v>2021</v>
      </c>
      <c r="B643" s="36" t="s">
        <v>37</v>
      </c>
      <c r="C643" s="37" t="s">
        <v>262</v>
      </c>
      <c r="D643" s="37" t="s">
        <v>257</v>
      </c>
      <c r="E643" s="38">
        <v>7856985</v>
      </c>
    </row>
    <row r="644" spans="1:5" x14ac:dyDescent="0.2">
      <c r="A644" s="35">
        <v>2021</v>
      </c>
      <c r="B644" s="36" t="s">
        <v>37</v>
      </c>
      <c r="C644" s="37" t="s">
        <v>262</v>
      </c>
      <c r="D644" s="37" t="s">
        <v>258</v>
      </c>
      <c r="E644" s="38">
        <v>0</v>
      </c>
    </row>
    <row r="645" spans="1:5" x14ac:dyDescent="0.2">
      <c r="A645" s="35">
        <v>2021</v>
      </c>
      <c r="B645" s="36" t="s">
        <v>37</v>
      </c>
      <c r="C645" s="37" t="s">
        <v>263</v>
      </c>
      <c r="D645" s="37" t="s">
        <v>230</v>
      </c>
      <c r="E645" s="38">
        <v>60648331</v>
      </c>
    </row>
    <row r="646" spans="1:5" x14ac:dyDescent="0.2">
      <c r="A646" s="35">
        <v>2021</v>
      </c>
      <c r="B646" s="36" t="s">
        <v>37</v>
      </c>
      <c r="C646" s="37" t="s">
        <v>263</v>
      </c>
      <c r="D646" s="37" t="s">
        <v>250</v>
      </c>
      <c r="E646" s="38">
        <v>49724326</v>
      </c>
    </row>
    <row r="647" spans="1:5" x14ac:dyDescent="0.2">
      <c r="A647" s="35">
        <v>2021</v>
      </c>
      <c r="B647" s="36" t="s">
        <v>37</v>
      </c>
      <c r="C647" s="37" t="s">
        <v>263</v>
      </c>
      <c r="D647" s="37" t="s">
        <v>251</v>
      </c>
      <c r="E647" s="38">
        <v>387030</v>
      </c>
    </row>
    <row r="648" spans="1:5" x14ac:dyDescent="0.2">
      <c r="A648" s="35">
        <v>2021</v>
      </c>
      <c r="B648" s="36" t="s">
        <v>37</v>
      </c>
      <c r="C648" s="37" t="s">
        <v>263</v>
      </c>
      <c r="D648" s="37" t="s">
        <v>252</v>
      </c>
      <c r="E648" s="38">
        <v>9754544</v>
      </c>
    </row>
    <row r="649" spans="1:5" x14ac:dyDescent="0.2">
      <c r="A649" s="35">
        <v>2021</v>
      </c>
      <c r="B649" s="36" t="s">
        <v>37</v>
      </c>
      <c r="C649" s="37" t="s">
        <v>263</v>
      </c>
      <c r="D649" s="37" t="s">
        <v>253</v>
      </c>
      <c r="E649" s="38">
        <v>-115</v>
      </c>
    </row>
    <row r="650" spans="1:5" x14ac:dyDescent="0.2">
      <c r="A650" s="35">
        <v>2021</v>
      </c>
      <c r="B650" s="36" t="s">
        <v>37</v>
      </c>
      <c r="C650" s="37" t="s">
        <v>263</v>
      </c>
      <c r="D650" s="37" t="s">
        <v>254</v>
      </c>
      <c r="E650" s="38">
        <v>122806</v>
      </c>
    </row>
    <row r="651" spans="1:5" x14ac:dyDescent="0.2">
      <c r="A651" s="35">
        <v>2021</v>
      </c>
      <c r="B651" s="36" t="s">
        <v>37</v>
      </c>
      <c r="C651" s="37" t="s">
        <v>263</v>
      </c>
      <c r="D651" s="37" t="s">
        <v>255</v>
      </c>
      <c r="E651" s="38">
        <v>371694</v>
      </c>
    </row>
    <row r="652" spans="1:5" x14ac:dyDescent="0.2">
      <c r="A652" s="35">
        <v>2021</v>
      </c>
      <c r="B652" s="36" t="s">
        <v>37</v>
      </c>
      <c r="C652" s="37" t="s">
        <v>263</v>
      </c>
      <c r="D652" s="37" t="s">
        <v>256</v>
      </c>
      <c r="E652" s="38">
        <v>288046</v>
      </c>
    </row>
    <row r="653" spans="1:5" x14ac:dyDescent="0.2">
      <c r="A653" s="35">
        <v>2021</v>
      </c>
      <c r="B653" s="36" t="s">
        <v>42</v>
      </c>
      <c r="C653" s="37" t="s">
        <v>249</v>
      </c>
      <c r="D653" s="37" t="s">
        <v>230</v>
      </c>
      <c r="E653" s="38">
        <v>56630703</v>
      </c>
    </row>
    <row r="654" spans="1:5" x14ac:dyDescent="0.2">
      <c r="A654" s="35">
        <v>2021</v>
      </c>
      <c r="B654" s="36" t="s">
        <v>42</v>
      </c>
      <c r="C654" s="37" t="s">
        <v>249</v>
      </c>
      <c r="D654" s="37" t="s">
        <v>250</v>
      </c>
      <c r="E654" s="38">
        <v>19396169</v>
      </c>
    </row>
    <row r="655" spans="1:5" x14ac:dyDescent="0.2">
      <c r="A655" s="35">
        <v>2021</v>
      </c>
      <c r="B655" s="36" t="s">
        <v>42</v>
      </c>
      <c r="C655" s="37" t="s">
        <v>249</v>
      </c>
      <c r="D655" s="37" t="s">
        <v>251</v>
      </c>
      <c r="E655" s="38">
        <v>29947</v>
      </c>
    </row>
    <row r="656" spans="1:5" x14ac:dyDescent="0.2">
      <c r="A656" s="35">
        <v>2021</v>
      </c>
      <c r="B656" s="36" t="s">
        <v>42</v>
      </c>
      <c r="C656" s="37" t="s">
        <v>249</v>
      </c>
      <c r="D656" s="37" t="s">
        <v>252</v>
      </c>
      <c r="E656" s="38">
        <v>2662209</v>
      </c>
    </row>
    <row r="657" spans="1:5" x14ac:dyDescent="0.2">
      <c r="A657" s="35">
        <v>2021</v>
      </c>
      <c r="B657" s="36" t="s">
        <v>42</v>
      </c>
      <c r="C657" s="37" t="s">
        <v>249</v>
      </c>
      <c r="D657" s="37" t="s">
        <v>264</v>
      </c>
      <c r="E657" s="38">
        <v>8574732</v>
      </c>
    </row>
    <row r="658" spans="1:5" x14ac:dyDescent="0.2">
      <c r="A658" s="35">
        <v>2021</v>
      </c>
      <c r="B658" s="36" t="s">
        <v>42</v>
      </c>
      <c r="C658" s="37" t="s">
        <v>249</v>
      </c>
      <c r="D658" s="37" t="s">
        <v>253</v>
      </c>
      <c r="E658" s="38">
        <v>4978</v>
      </c>
    </row>
    <row r="659" spans="1:5" x14ac:dyDescent="0.2">
      <c r="A659" s="35">
        <v>2021</v>
      </c>
      <c r="B659" s="36" t="s">
        <v>42</v>
      </c>
      <c r="C659" s="37" t="s">
        <v>249</v>
      </c>
      <c r="D659" s="37" t="s">
        <v>254</v>
      </c>
      <c r="E659" s="38">
        <v>149201</v>
      </c>
    </row>
    <row r="660" spans="1:5" x14ac:dyDescent="0.2">
      <c r="A660" s="35">
        <v>2021</v>
      </c>
      <c r="B660" s="36" t="s">
        <v>42</v>
      </c>
      <c r="C660" s="37" t="s">
        <v>249</v>
      </c>
      <c r="D660" s="37" t="s">
        <v>255</v>
      </c>
      <c r="E660" s="38">
        <v>61058</v>
      </c>
    </row>
    <row r="661" spans="1:5" x14ac:dyDescent="0.2">
      <c r="A661" s="35">
        <v>2021</v>
      </c>
      <c r="B661" s="36" t="s">
        <v>42</v>
      </c>
      <c r="C661" s="37" t="s">
        <v>249</v>
      </c>
      <c r="D661" s="37" t="s">
        <v>256</v>
      </c>
      <c r="E661" s="38">
        <v>58715</v>
      </c>
    </row>
    <row r="662" spans="1:5" x14ac:dyDescent="0.2">
      <c r="A662" s="35">
        <v>2021</v>
      </c>
      <c r="B662" s="36" t="s">
        <v>42</v>
      </c>
      <c r="C662" s="37" t="s">
        <v>249</v>
      </c>
      <c r="D662" s="37" t="s">
        <v>257</v>
      </c>
      <c r="E662" s="38">
        <v>25693695</v>
      </c>
    </row>
    <row r="663" spans="1:5" x14ac:dyDescent="0.2">
      <c r="A663" s="35">
        <v>2021</v>
      </c>
      <c r="B663" s="36" t="s">
        <v>42</v>
      </c>
      <c r="C663" s="37" t="s">
        <v>259</v>
      </c>
      <c r="D663" s="37" t="s">
        <v>230</v>
      </c>
      <c r="E663" s="38">
        <v>233688</v>
      </c>
    </row>
    <row r="664" spans="1:5" x14ac:dyDescent="0.2">
      <c r="A664" s="35">
        <v>2021</v>
      </c>
      <c r="B664" s="36" t="s">
        <v>42</v>
      </c>
      <c r="C664" s="37" t="s">
        <v>259</v>
      </c>
      <c r="D664" s="37" t="s">
        <v>252</v>
      </c>
      <c r="E664" s="38">
        <v>226203</v>
      </c>
    </row>
    <row r="665" spans="1:5" x14ac:dyDescent="0.2">
      <c r="A665" s="35">
        <v>2021</v>
      </c>
      <c r="B665" s="36" t="s">
        <v>42</v>
      </c>
      <c r="C665" s="37" t="s">
        <v>259</v>
      </c>
      <c r="D665" s="37" t="s">
        <v>253</v>
      </c>
      <c r="E665" s="38">
        <v>4978</v>
      </c>
    </row>
    <row r="666" spans="1:5" x14ac:dyDescent="0.2">
      <c r="A666" s="35">
        <v>2021</v>
      </c>
      <c r="B666" s="36" t="s">
        <v>42</v>
      </c>
      <c r="C666" s="37" t="s">
        <v>259</v>
      </c>
      <c r="D666" s="37" t="s">
        <v>257</v>
      </c>
      <c r="E666" s="38">
        <v>2507</v>
      </c>
    </row>
    <row r="667" spans="1:5" x14ac:dyDescent="0.2">
      <c r="A667" s="35">
        <v>2021</v>
      </c>
      <c r="B667" s="36" t="s">
        <v>42</v>
      </c>
      <c r="C667" s="37" t="s">
        <v>260</v>
      </c>
      <c r="D667" s="37" t="s">
        <v>230</v>
      </c>
      <c r="E667" s="38">
        <v>15740</v>
      </c>
    </row>
    <row r="668" spans="1:5" x14ac:dyDescent="0.2">
      <c r="A668" s="35">
        <v>2021</v>
      </c>
      <c r="B668" s="36" t="s">
        <v>42</v>
      </c>
      <c r="C668" s="37" t="s">
        <v>260</v>
      </c>
      <c r="D668" s="37" t="s">
        <v>257</v>
      </c>
      <c r="E668" s="38">
        <v>15740</v>
      </c>
    </row>
    <row r="669" spans="1:5" x14ac:dyDescent="0.2">
      <c r="A669" s="35">
        <v>2021</v>
      </c>
      <c r="B669" s="36" t="s">
        <v>42</v>
      </c>
      <c r="C669" s="37" t="s">
        <v>262</v>
      </c>
      <c r="D669" s="37" t="s">
        <v>230</v>
      </c>
      <c r="E669" s="38">
        <v>23655661</v>
      </c>
    </row>
    <row r="670" spans="1:5" x14ac:dyDescent="0.2">
      <c r="A670" s="35">
        <v>2021</v>
      </c>
      <c r="B670" s="36" t="s">
        <v>42</v>
      </c>
      <c r="C670" s="37" t="s">
        <v>262</v>
      </c>
      <c r="D670" s="37" t="s">
        <v>251</v>
      </c>
      <c r="E670" s="38">
        <v>29947</v>
      </c>
    </row>
    <row r="671" spans="1:5" x14ac:dyDescent="0.2">
      <c r="A671" s="35">
        <v>2021</v>
      </c>
      <c r="B671" s="36" t="s">
        <v>42</v>
      </c>
      <c r="C671" s="37" t="s">
        <v>262</v>
      </c>
      <c r="D671" s="37" t="s">
        <v>255</v>
      </c>
      <c r="E671" s="38">
        <v>58071</v>
      </c>
    </row>
    <row r="672" spans="1:5" x14ac:dyDescent="0.2">
      <c r="A672" s="35">
        <v>2021</v>
      </c>
      <c r="B672" s="36" t="s">
        <v>42</v>
      </c>
      <c r="C672" s="37" t="s">
        <v>262</v>
      </c>
      <c r="D672" s="37" t="s">
        <v>256</v>
      </c>
      <c r="E672" s="38">
        <v>58715</v>
      </c>
    </row>
    <row r="673" spans="1:5" x14ac:dyDescent="0.2">
      <c r="A673" s="35">
        <v>2021</v>
      </c>
      <c r="B673" s="36" t="s">
        <v>42</v>
      </c>
      <c r="C673" s="37" t="s">
        <v>262</v>
      </c>
      <c r="D673" s="37" t="s">
        <v>257</v>
      </c>
      <c r="E673" s="38">
        <v>23508928</v>
      </c>
    </row>
    <row r="674" spans="1:5" x14ac:dyDescent="0.2">
      <c r="A674" s="35">
        <v>2021</v>
      </c>
      <c r="B674" s="36" t="s">
        <v>42</v>
      </c>
      <c r="C674" s="37" t="s">
        <v>263</v>
      </c>
      <c r="D674" s="37" t="s">
        <v>230</v>
      </c>
      <c r="E674" s="38">
        <v>32725615</v>
      </c>
    </row>
    <row r="675" spans="1:5" x14ac:dyDescent="0.2">
      <c r="A675" s="35">
        <v>2021</v>
      </c>
      <c r="B675" s="36" t="s">
        <v>42</v>
      </c>
      <c r="C675" s="37" t="s">
        <v>263</v>
      </c>
      <c r="D675" s="37" t="s">
        <v>250</v>
      </c>
      <c r="E675" s="38">
        <v>19396169</v>
      </c>
    </row>
    <row r="676" spans="1:5" x14ac:dyDescent="0.2">
      <c r="A676" s="35">
        <v>2021</v>
      </c>
      <c r="B676" s="36" t="s">
        <v>42</v>
      </c>
      <c r="C676" s="37" t="s">
        <v>263</v>
      </c>
      <c r="D676" s="37" t="s">
        <v>252</v>
      </c>
      <c r="E676" s="38">
        <v>2436006</v>
      </c>
    </row>
    <row r="677" spans="1:5" x14ac:dyDescent="0.2">
      <c r="A677" s="35">
        <v>2021</v>
      </c>
      <c r="B677" s="36" t="s">
        <v>42</v>
      </c>
      <c r="C677" s="37" t="s">
        <v>263</v>
      </c>
      <c r="D677" s="37" t="s">
        <v>264</v>
      </c>
      <c r="E677" s="38">
        <v>8574732</v>
      </c>
    </row>
    <row r="678" spans="1:5" x14ac:dyDescent="0.2">
      <c r="A678" s="35">
        <v>2021</v>
      </c>
      <c r="B678" s="36" t="s">
        <v>42</v>
      </c>
      <c r="C678" s="37" t="s">
        <v>263</v>
      </c>
      <c r="D678" s="37" t="s">
        <v>254</v>
      </c>
      <c r="E678" s="38">
        <v>149201</v>
      </c>
    </row>
    <row r="679" spans="1:5" x14ac:dyDescent="0.2">
      <c r="A679" s="35">
        <v>2021</v>
      </c>
      <c r="B679" s="36" t="s">
        <v>42</v>
      </c>
      <c r="C679" s="37" t="s">
        <v>263</v>
      </c>
      <c r="D679" s="37" t="s">
        <v>255</v>
      </c>
      <c r="E679" s="38">
        <v>2987</v>
      </c>
    </row>
    <row r="680" spans="1:5" x14ac:dyDescent="0.2">
      <c r="A680" s="35">
        <v>2021</v>
      </c>
      <c r="B680" s="36" t="s">
        <v>42</v>
      </c>
      <c r="C680" s="37" t="s">
        <v>263</v>
      </c>
      <c r="D680" s="37" t="s">
        <v>257</v>
      </c>
      <c r="E680" s="38">
        <v>2166520</v>
      </c>
    </row>
    <row r="681" spans="1:5" x14ac:dyDescent="0.2">
      <c r="A681" s="35">
        <v>2021</v>
      </c>
      <c r="B681" s="36" t="s">
        <v>45</v>
      </c>
      <c r="C681" s="37" t="s">
        <v>249</v>
      </c>
      <c r="D681" s="37" t="s">
        <v>230</v>
      </c>
      <c r="E681" s="38">
        <v>69908411</v>
      </c>
    </row>
    <row r="682" spans="1:5" x14ac:dyDescent="0.2">
      <c r="A682" s="35">
        <v>2021</v>
      </c>
      <c r="B682" s="36" t="s">
        <v>45</v>
      </c>
      <c r="C682" s="37" t="s">
        <v>249</v>
      </c>
      <c r="D682" s="37" t="s">
        <v>250</v>
      </c>
      <c r="E682" s="38">
        <v>49862729</v>
      </c>
    </row>
    <row r="683" spans="1:5" x14ac:dyDescent="0.2">
      <c r="A683" s="35">
        <v>2021</v>
      </c>
      <c r="B683" s="36" t="s">
        <v>45</v>
      </c>
      <c r="C683" s="37" t="s">
        <v>249</v>
      </c>
      <c r="D683" s="37" t="s">
        <v>251</v>
      </c>
      <c r="E683" s="38">
        <v>4876457</v>
      </c>
    </row>
    <row r="684" spans="1:5" x14ac:dyDescent="0.2">
      <c r="A684" s="35">
        <v>2021</v>
      </c>
      <c r="B684" s="36" t="s">
        <v>45</v>
      </c>
      <c r="C684" s="37" t="s">
        <v>249</v>
      </c>
      <c r="D684" s="37" t="s">
        <v>252</v>
      </c>
      <c r="E684" s="38">
        <v>14571980</v>
      </c>
    </row>
    <row r="685" spans="1:5" x14ac:dyDescent="0.2">
      <c r="A685" s="35">
        <v>2021</v>
      </c>
      <c r="B685" s="36" t="s">
        <v>45</v>
      </c>
      <c r="C685" s="37" t="s">
        <v>249</v>
      </c>
      <c r="D685" s="37" t="s">
        <v>253</v>
      </c>
      <c r="E685" s="38">
        <v>70430</v>
      </c>
    </row>
    <row r="686" spans="1:5" x14ac:dyDescent="0.2">
      <c r="A686" s="35">
        <v>2021</v>
      </c>
      <c r="B686" s="36" t="s">
        <v>45</v>
      </c>
      <c r="C686" s="37" t="s">
        <v>249</v>
      </c>
      <c r="D686" s="37" t="s">
        <v>254</v>
      </c>
      <c r="E686" s="38">
        <v>66090</v>
      </c>
    </row>
    <row r="687" spans="1:5" x14ac:dyDescent="0.2">
      <c r="A687" s="35">
        <v>2021</v>
      </c>
      <c r="B687" s="36" t="s">
        <v>45</v>
      </c>
      <c r="C687" s="37" t="s">
        <v>249</v>
      </c>
      <c r="D687" s="37" t="s">
        <v>255</v>
      </c>
      <c r="E687" s="38">
        <v>45989</v>
      </c>
    </row>
    <row r="688" spans="1:5" x14ac:dyDescent="0.2">
      <c r="A688" s="35">
        <v>2021</v>
      </c>
      <c r="B688" s="36" t="s">
        <v>45</v>
      </c>
      <c r="C688" s="37" t="s">
        <v>249</v>
      </c>
      <c r="D688" s="37" t="s">
        <v>256</v>
      </c>
      <c r="E688" s="38">
        <v>115172</v>
      </c>
    </row>
    <row r="689" spans="1:5" x14ac:dyDescent="0.2">
      <c r="A689" s="35">
        <v>2021</v>
      </c>
      <c r="B689" s="36" t="s">
        <v>45</v>
      </c>
      <c r="C689" s="37" t="s">
        <v>249</v>
      </c>
      <c r="D689" s="37" t="s">
        <v>258</v>
      </c>
      <c r="E689" s="38">
        <v>299564</v>
      </c>
    </row>
    <row r="690" spans="1:5" x14ac:dyDescent="0.2">
      <c r="A690" s="35">
        <v>2021</v>
      </c>
      <c r="B690" s="36" t="s">
        <v>45</v>
      </c>
      <c r="C690" s="37" t="s">
        <v>259</v>
      </c>
      <c r="D690" s="37" t="s">
        <v>230</v>
      </c>
      <c r="E690" s="38">
        <v>552980</v>
      </c>
    </row>
    <row r="691" spans="1:5" x14ac:dyDescent="0.2">
      <c r="A691" s="35">
        <v>2021</v>
      </c>
      <c r="B691" s="36" t="s">
        <v>45</v>
      </c>
      <c r="C691" s="37" t="s">
        <v>259</v>
      </c>
      <c r="D691" s="37" t="s">
        <v>252</v>
      </c>
      <c r="E691" s="38">
        <v>253416</v>
      </c>
    </row>
    <row r="692" spans="1:5" x14ac:dyDescent="0.2">
      <c r="A692" s="35">
        <v>2021</v>
      </c>
      <c r="B692" s="36" t="s">
        <v>45</v>
      </c>
      <c r="C692" s="37" t="s">
        <v>259</v>
      </c>
      <c r="D692" s="37" t="s">
        <v>258</v>
      </c>
      <c r="E692" s="38">
        <v>299564</v>
      </c>
    </row>
    <row r="693" spans="1:5" x14ac:dyDescent="0.2">
      <c r="A693" s="35">
        <v>2021</v>
      </c>
      <c r="B693" s="36" t="s">
        <v>45</v>
      </c>
      <c r="C693" s="37" t="s">
        <v>262</v>
      </c>
      <c r="D693" s="37" t="s">
        <v>230</v>
      </c>
      <c r="E693" s="38">
        <v>593870</v>
      </c>
    </row>
    <row r="694" spans="1:5" x14ac:dyDescent="0.2">
      <c r="A694" s="35">
        <v>2021</v>
      </c>
      <c r="B694" s="36" t="s">
        <v>45</v>
      </c>
      <c r="C694" s="37" t="s">
        <v>262</v>
      </c>
      <c r="D694" s="37" t="s">
        <v>251</v>
      </c>
      <c r="E694" s="38">
        <v>15737</v>
      </c>
    </row>
    <row r="695" spans="1:5" x14ac:dyDescent="0.2">
      <c r="A695" s="35">
        <v>2021</v>
      </c>
      <c r="B695" s="36" t="s">
        <v>45</v>
      </c>
      <c r="C695" s="37" t="s">
        <v>262</v>
      </c>
      <c r="D695" s="37" t="s">
        <v>252</v>
      </c>
      <c r="E695" s="38">
        <v>561639</v>
      </c>
    </row>
    <row r="696" spans="1:5" x14ac:dyDescent="0.2">
      <c r="A696" s="35">
        <v>2021</v>
      </c>
      <c r="B696" s="36" t="s">
        <v>45</v>
      </c>
      <c r="C696" s="37" t="s">
        <v>262</v>
      </c>
      <c r="D696" s="37" t="s">
        <v>255</v>
      </c>
      <c r="E696" s="38">
        <v>1300</v>
      </c>
    </row>
    <row r="697" spans="1:5" x14ac:dyDescent="0.2">
      <c r="A697" s="35">
        <v>2021</v>
      </c>
      <c r="B697" s="36" t="s">
        <v>45</v>
      </c>
      <c r="C697" s="37" t="s">
        <v>262</v>
      </c>
      <c r="D697" s="37" t="s">
        <v>256</v>
      </c>
      <c r="E697" s="38">
        <v>15194</v>
      </c>
    </row>
    <row r="698" spans="1:5" x14ac:dyDescent="0.2">
      <c r="A698" s="35">
        <v>2021</v>
      </c>
      <c r="B698" s="36" t="s">
        <v>45</v>
      </c>
      <c r="C698" s="37" t="s">
        <v>263</v>
      </c>
      <c r="D698" s="37" t="s">
        <v>230</v>
      </c>
      <c r="E698" s="38">
        <v>68761562</v>
      </c>
    </row>
    <row r="699" spans="1:5" x14ac:dyDescent="0.2">
      <c r="A699" s="35">
        <v>2021</v>
      </c>
      <c r="B699" s="36" t="s">
        <v>45</v>
      </c>
      <c r="C699" s="37" t="s">
        <v>263</v>
      </c>
      <c r="D699" s="37" t="s">
        <v>250</v>
      </c>
      <c r="E699" s="38">
        <v>49862729</v>
      </c>
    </row>
    <row r="700" spans="1:5" x14ac:dyDescent="0.2">
      <c r="A700" s="35">
        <v>2021</v>
      </c>
      <c r="B700" s="36" t="s">
        <v>45</v>
      </c>
      <c r="C700" s="37" t="s">
        <v>263</v>
      </c>
      <c r="D700" s="37" t="s">
        <v>251</v>
      </c>
      <c r="E700" s="38">
        <v>4860720</v>
      </c>
    </row>
    <row r="701" spans="1:5" x14ac:dyDescent="0.2">
      <c r="A701" s="35">
        <v>2021</v>
      </c>
      <c r="B701" s="36" t="s">
        <v>45</v>
      </c>
      <c r="C701" s="37" t="s">
        <v>263</v>
      </c>
      <c r="D701" s="37" t="s">
        <v>252</v>
      </c>
      <c r="E701" s="38">
        <v>13756925</v>
      </c>
    </row>
    <row r="702" spans="1:5" x14ac:dyDescent="0.2">
      <c r="A702" s="35">
        <v>2021</v>
      </c>
      <c r="B702" s="36" t="s">
        <v>45</v>
      </c>
      <c r="C702" s="37" t="s">
        <v>263</v>
      </c>
      <c r="D702" s="37" t="s">
        <v>253</v>
      </c>
      <c r="E702" s="38">
        <v>70430</v>
      </c>
    </row>
    <row r="703" spans="1:5" x14ac:dyDescent="0.2">
      <c r="A703" s="35">
        <v>2021</v>
      </c>
      <c r="B703" s="36" t="s">
        <v>45</v>
      </c>
      <c r="C703" s="37" t="s">
        <v>263</v>
      </c>
      <c r="D703" s="37" t="s">
        <v>254</v>
      </c>
      <c r="E703" s="38">
        <v>66090</v>
      </c>
    </row>
    <row r="704" spans="1:5" x14ac:dyDescent="0.2">
      <c r="A704" s="35">
        <v>2021</v>
      </c>
      <c r="B704" s="36" t="s">
        <v>45</v>
      </c>
      <c r="C704" s="37" t="s">
        <v>263</v>
      </c>
      <c r="D704" s="37" t="s">
        <v>255</v>
      </c>
      <c r="E704" s="38">
        <v>44689</v>
      </c>
    </row>
    <row r="705" spans="1:5" x14ac:dyDescent="0.2">
      <c r="A705" s="35">
        <v>2021</v>
      </c>
      <c r="B705" s="36" t="s">
        <v>45</v>
      </c>
      <c r="C705" s="37" t="s">
        <v>263</v>
      </c>
      <c r="D705" s="37" t="s">
        <v>256</v>
      </c>
      <c r="E705" s="38">
        <v>99978</v>
      </c>
    </row>
    <row r="706" spans="1:5" x14ac:dyDescent="0.2">
      <c r="A706" s="35">
        <v>2021</v>
      </c>
      <c r="B706" s="36" t="s">
        <v>45</v>
      </c>
      <c r="C706" s="37" t="s">
        <v>263</v>
      </c>
      <c r="D706" s="37" t="s">
        <v>258</v>
      </c>
      <c r="E706" s="38">
        <v>0</v>
      </c>
    </row>
    <row r="707" spans="1:5" x14ac:dyDescent="0.2">
      <c r="A707" s="35">
        <v>2021</v>
      </c>
      <c r="B707" s="36" t="s">
        <v>48</v>
      </c>
      <c r="C707" s="37" t="s">
        <v>249</v>
      </c>
      <c r="D707" s="37" t="s">
        <v>230</v>
      </c>
      <c r="E707" s="38">
        <v>98715313</v>
      </c>
    </row>
    <row r="708" spans="1:5" x14ac:dyDescent="0.2">
      <c r="A708" s="35">
        <v>2021</v>
      </c>
      <c r="B708" s="36" t="s">
        <v>48</v>
      </c>
      <c r="C708" s="37" t="s">
        <v>249</v>
      </c>
      <c r="D708" s="37" t="s">
        <v>250</v>
      </c>
      <c r="E708" s="38">
        <v>7872951</v>
      </c>
    </row>
    <row r="709" spans="1:5" x14ac:dyDescent="0.2">
      <c r="A709" s="35">
        <v>2021</v>
      </c>
      <c r="B709" s="36" t="s">
        <v>48</v>
      </c>
      <c r="C709" s="37" t="s">
        <v>249</v>
      </c>
      <c r="D709" s="37" t="s">
        <v>251</v>
      </c>
      <c r="E709" s="38">
        <v>1109178</v>
      </c>
    </row>
    <row r="710" spans="1:5" x14ac:dyDescent="0.2">
      <c r="A710" s="35">
        <v>2021</v>
      </c>
      <c r="B710" s="36" t="s">
        <v>48</v>
      </c>
      <c r="C710" s="37" t="s">
        <v>249</v>
      </c>
      <c r="D710" s="37" t="s">
        <v>252</v>
      </c>
      <c r="E710" s="38">
        <v>63961174</v>
      </c>
    </row>
    <row r="711" spans="1:5" x14ac:dyDescent="0.2">
      <c r="A711" s="35">
        <v>2021</v>
      </c>
      <c r="B711" s="36" t="s">
        <v>48</v>
      </c>
      <c r="C711" s="37" t="s">
        <v>249</v>
      </c>
      <c r="D711" s="37" t="s">
        <v>264</v>
      </c>
      <c r="E711" s="38">
        <v>17248674</v>
      </c>
    </row>
    <row r="712" spans="1:5" x14ac:dyDescent="0.2">
      <c r="A712" s="35">
        <v>2021</v>
      </c>
      <c r="B712" s="36" t="s">
        <v>48</v>
      </c>
      <c r="C712" s="37" t="s">
        <v>249</v>
      </c>
      <c r="D712" s="37" t="s">
        <v>265</v>
      </c>
      <c r="E712" s="38">
        <v>1790932</v>
      </c>
    </row>
    <row r="713" spans="1:5" x14ac:dyDescent="0.2">
      <c r="A713" s="35">
        <v>2021</v>
      </c>
      <c r="B713" s="36" t="s">
        <v>48</v>
      </c>
      <c r="C713" s="37" t="s">
        <v>249</v>
      </c>
      <c r="D713" s="37" t="s">
        <v>253</v>
      </c>
      <c r="E713" s="38">
        <v>550230</v>
      </c>
    </row>
    <row r="714" spans="1:5" x14ac:dyDescent="0.2">
      <c r="A714" s="35">
        <v>2021</v>
      </c>
      <c r="B714" s="36" t="s">
        <v>48</v>
      </c>
      <c r="C714" s="37" t="s">
        <v>249</v>
      </c>
      <c r="D714" s="37" t="s">
        <v>254</v>
      </c>
      <c r="E714" s="38">
        <v>3895714</v>
      </c>
    </row>
    <row r="715" spans="1:5" x14ac:dyDescent="0.2">
      <c r="A715" s="35">
        <v>2021</v>
      </c>
      <c r="B715" s="36" t="s">
        <v>48</v>
      </c>
      <c r="C715" s="37" t="s">
        <v>249</v>
      </c>
      <c r="D715" s="37" t="s">
        <v>255</v>
      </c>
      <c r="E715" s="38">
        <v>146393</v>
      </c>
    </row>
    <row r="716" spans="1:5" x14ac:dyDescent="0.2">
      <c r="A716" s="35">
        <v>2021</v>
      </c>
      <c r="B716" s="36" t="s">
        <v>48</v>
      </c>
      <c r="C716" s="37" t="s">
        <v>249</v>
      </c>
      <c r="D716" s="37" t="s">
        <v>256</v>
      </c>
      <c r="E716" s="38">
        <v>83621</v>
      </c>
    </row>
    <row r="717" spans="1:5" x14ac:dyDescent="0.2">
      <c r="A717" s="35">
        <v>2021</v>
      </c>
      <c r="B717" s="36" t="s">
        <v>48</v>
      </c>
      <c r="C717" s="37" t="s">
        <v>249</v>
      </c>
      <c r="D717" s="37" t="s">
        <v>258</v>
      </c>
      <c r="E717" s="38">
        <v>2056446</v>
      </c>
    </row>
    <row r="718" spans="1:5" x14ac:dyDescent="0.2">
      <c r="A718" s="35">
        <v>2021</v>
      </c>
      <c r="B718" s="36" t="s">
        <v>48</v>
      </c>
      <c r="C718" s="37" t="s">
        <v>259</v>
      </c>
      <c r="D718" s="37" t="s">
        <v>230</v>
      </c>
      <c r="E718" s="38">
        <v>27773474</v>
      </c>
    </row>
    <row r="719" spans="1:5" x14ac:dyDescent="0.2">
      <c r="A719" s="35">
        <v>2021</v>
      </c>
      <c r="B719" s="36" t="s">
        <v>48</v>
      </c>
      <c r="C719" s="37" t="s">
        <v>259</v>
      </c>
      <c r="D719" s="37" t="s">
        <v>250</v>
      </c>
      <c r="E719" s="38">
        <v>0</v>
      </c>
    </row>
    <row r="720" spans="1:5" x14ac:dyDescent="0.2">
      <c r="A720" s="35">
        <v>2021</v>
      </c>
      <c r="B720" s="36" t="s">
        <v>48</v>
      </c>
      <c r="C720" s="37" t="s">
        <v>259</v>
      </c>
      <c r="D720" s="37" t="s">
        <v>252</v>
      </c>
      <c r="E720" s="38">
        <v>23581927</v>
      </c>
    </row>
    <row r="721" spans="1:5" x14ac:dyDescent="0.2">
      <c r="A721" s="35">
        <v>2021</v>
      </c>
      <c r="B721" s="36" t="s">
        <v>48</v>
      </c>
      <c r="C721" s="37" t="s">
        <v>259</v>
      </c>
      <c r="D721" s="37" t="s">
        <v>265</v>
      </c>
      <c r="E721" s="38">
        <v>1790932</v>
      </c>
    </row>
    <row r="722" spans="1:5" x14ac:dyDescent="0.2">
      <c r="A722" s="35">
        <v>2021</v>
      </c>
      <c r="B722" s="36" t="s">
        <v>48</v>
      </c>
      <c r="C722" s="37" t="s">
        <v>259</v>
      </c>
      <c r="D722" s="37" t="s">
        <v>253</v>
      </c>
      <c r="E722" s="38">
        <v>344170</v>
      </c>
    </row>
    <row r="723" spans="1:5" x14ac:dyDescent="0.2">
      <c r="A723" s="35">
        <v>2021</v>
      </c>
      <c r="B723" s="36" t="s">
        <v>48</v>
      </c>
      <c r="C723" s="37" t="s">
        <v>259</v>
      </c>
      <c r="D723" s="37" t="s">
        <v>254</v>
      </c>
      <c r="E723" s="38">
        <v>0</v>
      </c>
    </row>
    <row r="724" spans="1:5" x14ac:dyDescent="0.2">
      <c r="A724" s="35">
        <v>2021</v>
      </c>
      <c r="B724" s="36" t="s">
        <v>48</v>
      </c>
      <c r="C724" s="37" t="s">
        <v>259</v>
      </c>
      <c r="D724" s="37" t="s">
        <v>256</v>
      </c>
      <c r="E724" s="38">
        <v>0</v>
      </c>
    </row>
    <row r="725" spans="1:5" x14ac:dyDescent="0.2">
      <c r="A725" s="35">
        <v>2021</v>
      </c>
      <c r="B725" s="36" t="s">
        <v>48</v>
      </c>
      <c r="C725" s="37" t="s">
        <v>259</v>
      </c>
      <c r="D725" s="37" t="s">
        <v>258</v>
      </c>
      <c r="E725" s="38">
        <v>2056446</v>
      </c>
    </row>
    <row r="726" spans="1:5" x14ac:dyDescent="0.2">
      <c r="A726" s="35">
        <v>2021</v>
      </c>
      <c r="B726" s="36" t="s">
        <v>48</v>
      </c>
      <c r="C726" s="37" t="s">
        <v>260</v>
      </c>
      <c r="D726" s="37" t="s">
        <v>230</v>
      </c>
      <c r="E726" s="38">
        <v>183599</v>
      </c>
    </row>
    <row r="727" spans="1:5" x14ac:dyDescent="0.2">
      <c r="A727" s="35">
        <v>2021</v>
      </c>
      <c r="B727" s="36" t="s">
        <v>48</v>
      </c>
      <c r="C727" s="37" t="s">
        <v>260</v>
      </c>
      <c r="D727" s="37" t="s">
        <v>252</v>
      </c>
      <c r="E727" s="38">
        <v>183599</v>
      </c>
    </row>
    <row r="728" spans="1:5" x14ac:dyDescent="0.2">
      <c r="A728" s="35">
        <v>2021</v>
      </c>
      <c r="B728" s="36" t="s">
        <v>48</v>
      </c>
      <c r="C728" s="37" t="s">
        <v>261</v>
      </c>
      <c r="D728" s="37" t="s">
        <v>230</v>
      </c>
      <c r="E728" s="38">
        <v>2744341</v>
      </c>
    </row>
    <row r="729" spans="1:5" x14ac:dyDescent="0.2">
      <c r="A729" s="35">
        <v>2021</v>
      </c>
      <c r="B729" s="36" t="s">
        <v>48</v>
      </c>
      <c r="C729" s="37" t="s">
        <v>261</v>
      </c>
      <c r="D729" s="37" t="s">
        <v>252</v>
      </c>
      <c r="E729" s="38">
        <v>2744341</v>
      </c>
    </row>
    <row r="730" spans="1:5" x14ac:dyDescent="0.2">
      <c r="A730" s="35">
        <v>2021</v>
      </c>
      <c r="B730" s="36" t="s">
        <v>48</v>
      </c>
      <c r="C730" s="37" t="s">
        <v>262</v>
      </c>
      <c r="D730" s="37" t="s">
        <v>230</v>
      </c>
      <c r="E730" s="38">
        <v>4168929</v>
      </c>
    </row>
    <row r="731" spans="1:5" x14ac:dyDescent="0.2">
      <c r="A731" s="35">
        <v>2021</v>
      </c>
      <c r="B731" s="36" t="s">
        <v>48</v>
      </c>
      <c r="C731" s="37" t="s">
        <v>262</v>
      </c>
      <c r="D731" s="37" t="s">
        <v>250</v>
      </c>
      <c r="E731" s="38">
        <v>2419152</v>
      </c>
    </row>
    <row r="732" spans="1:5" x14ac:dyDescent="0.2">
      <c r="A732" s="35">
        <v>2021</v>
      </c>
      <c r="B732" s="36" t="s">
        <v>48</v>
      </c>
      <c r="C732" s="37" t="s">
        <v>262</v>
      </c>
      <c r="D732" s="37" t="s">
        <v>251</v>
      </c>
      <c r="E732" s="38">
        <v>1109178</v>
      </c>
    </row>
    <row r="733" spans="1:5" x14ac:dyDescent="0.2">
      <c r="A733" s="35">
        <v>2021</v>
      </c>
      <c r="B733" s="36" t="s">
        <v>48</v>
      </c>
      <c r="C733" s="37" t="s">
        <v>262</v>
      </c>
      <c r="D733" s="37" t="s">
        <v>252</v>
      </c>
      <c r="E733" s="38">
        <v>445574</v>
      </c>
    </row>
    <row r="734" spans="1:5" x14ac:dyDescent="0.2">
      <c r="A734" s="35">
        <v>2021</v>
      </c>
      <c r="B734" s="36" t="s">
        <v>48</v>
      </c>
      <c r="C734" s="37" t="s">
        <v>262</v>
      </c>
      <c r="D734" s="37" t="s">
        <v>254</v>
      </c>
      <c r="E734" s="38">
        <v>0</v>
      </c>
    </row>
    <row r="735" spans="1:5" x14ac:dyDescent="0.2">
      <c r="A735" s="35">
        <v>2021</v>
      </c>
      <c r="B735" s="36" t="s">
        <v>48</v>
      </c>
      <c r="C735" s="37" t="s">
        <v>262</v>
      </c>
      <c r="D735" s="37" t="s">
        <v>255</v>
      </c>
      <c r="E735" s="38">
        <v>111405</v>
      </c>
    </row>
    <row r="736" spans="1:5" x14ac:dyDescent="0.2">
      <c r="A736" s="35">
        <v>2021</v>
      </c>
      <c r="B736" s="36" t="s">
        <v>48</v>
      </c>
      <c r="C736" s="37" t="s">
        <v>262</v>
      </c>
      <c r="D736" s="37" t="s">
        <v>256</v>
      </c>
      <c r="E736" s="38">
        <v>83621</v>
      </c>
    </row>
    <row r="737" spans="1:5" x14ac:dyDescent="0.2">
      <c r="A737" s="35">
        <v>2021</v>
      </c>
      <c r="B737" s="36" t="s">
        <v>48</v>
      </c>
      <c r="C737" s="37" t="s">
        <v>263</v>
      </c>
      <c r="D737" s="37" t="s">
        <v>230</v>
      </c>
      <c r="E737" s="38">
        <v>63844970</v>
      </c>
    </row>
    <row r="738" spans="1:5" x14ac:dyDescent="0.2">
      <c r="A738" s="35">
        <v>2021</v>
      </c>
      <c r="B738" s="36" t="s">
        <v>48</v>
      </c>
      <c r="C738" s="37" t="s">
        <v>263</v>
      </c>
      <c r="D738" s="37" t="s">
        <v>250</v>
      </c>
      <c r="E738" s="38">
        <v>5453800</v>
      </c>
    </row>
    <row r="739" spans="1:5" x14ac:dyDescent="0.2">
      <c r="A739" s="35">
        <v>2021</v>
      </c>
      <c r="B739" s="36" t="s">
        <v>48</v>
      </c>
      <c r="C739" s="37" t="s">
        <v>263</v>
      </c>
      <c r="D739" s="37" t="s">
        <v>252</v>
      </c>
      <c r="E739" s="38">
        <v>37005734</v>
      </c>
    </row>
    <row r="740" spans="1:5" x14ac:dyDescent="0.2">
      <c r="A740" s="35">
        <v>2021</v>
      </c>
      <c r="B740" s="36" t="s">
        <v>48</v>
      </c>
      <c r="C740" s="37" t="s">
        <v>263</v>
      </c>
      <c r="D740" s="37" t="s">
        <v>264</v>
      </c>
      <c r="E740" s="38">
        <v>17248674</v>
      </c>
    </row>
    <row r="741" spans="1:5" x14ac:dyDescent="0.2">
      <c r="A741" s="35">
        <v>2021</v>
      </c>
      <c r="B741" s="36" t="s">
        <v>48</v>
      </c>
      <c r="C741" s="37" t="s">
        <v>263</v>
      </c>
      <c r="D741" s="37" t="s">
        <v>253</v>
      </c>
      <c r="E741" s="38">
        <v>206060</v>
      </c>
    </row>
    <row r="742" spans="1:5" x14ac:dyDescent="0.2">
      <c r="A742" s="35">
        <v>2021</v>
      </c>
      <c r="B742" s="36" t="s">
        <v>48</v>
      </c>
      <c r="C742" s="37" t="s">
        <v>263</v>
      </c>
      <c r="D742" s="37" t="s">
        <v>254</v>
      </c>
      <c r="E742" s="38">
        <v>3895714</v>
      </c>
    </row>
    <row r="743" spans="1:5" x14ac:dyDescent="0.2">
      <c r="A743" s="35">
        <v>2021</v>
      </c>
      <c r="B743" s="36" t="s">
        <v>48</v>
      </c>
      <c r="C743" s="37" t="s">
        <v>263</v>
      </c>
      <c r="D743" s="37" t="s">
        <v>255</v>
      </c>
      <c r="E743" s="38">
        <v>34988</v>
      </c>
    </row>
    <row r="744" spans="1:5" x14ac:dyDescent="0.2">
      <c r="A744" s="35">
        <v>2021</v>
      </c>
      <c r="B744" s="36" t="s">
        <v>56</v>
      </c>
      <c r="C744" s="37" t="s">
        <v>249</v>
      </c>
      <c r="D744" s="37" t="s">
        <v>230</v>
      </c>
      <c r="E744" s="38">
        <v>19477347</v>
      </c>
    </row>
    <row r="745" spans="1:5" x14ac:dyDescent="0.2">
      <c r="A745" s="35">
        <v>2021</v>
      </c>
      <c r="B745" s="36" t="s">
        <v>56</v>
      </c>
      <c r="C745" s="37" t="s">
        <v>249</v>
      </c>
      <c r="D745" s="37" t="s">
        <v>250</v>
      </c>
      <c r="E745" s="38">
        <v>0</v>
      </c>
    </row>
    <row r="746" spans="1:5" x14ac:dyDescent="0.2">
      <c r="A746" s="35">
        <v>2021</v>
      </c>
      <c r="B746" s="36" t="s">
        <v>56</v>
      </c>
      <c r="C746" s="37" t="s">
        <v>249</v>
      </c>
      <c r="D746" s="37" t="s">
        <v>266</v>
      </c>
      <c r="E746" s="38">
        <v>-424247</v>
      </c>
    </row>
    <row r="747" spans="1:5" x14ac:dyDescent="0.2">
      <c r="A747" s="35">
        <v>2021</v>
      </c>
      <c r="B747" s="36" t="s">
        <v>56</v>
      </c>
      <c r="C747" s="37" t="s">
        <v>249</v>
      </c>
      <c r="D747" s="37" t="s">
        <v>251</v>
      </c>
      <c r="E747" s="38">
        <v>1117514</v>
      </c>
    </row>
    <row r="748" spans="1:5" x14ac:dyDescent="0.2">
      <c r="A748" s="35">
        <v>2021</v>
      </c>
      <c r="B748" s="36" t="s">
        <v>56</v>
      </c>
      <c r="C748" s="37" t="s">
        <v>249</v>
      </c>
      <c r="D748" s="37" t="s">
        <v>252</v>
      </c>
      <c r="E748" s="38">
        <v>15009932</v>
      </c>
    </row>
    <row r="749" spans="1:5" x14ac:dyDescent="0.2">
      <c r="A749" s="35">
        <v>2021</v>
      </c>
      <c r="B749" s="36" t="s">
        <v>56</v>
      </c>
      <c r="C749" s="37" t="s">
        <v>249</v>
      </c>
      <c r="D749" s="37" t="s">
        <v>253</v>
      </c>
      <c r="E749" s="38">
        <v>924058</v>
      </c>
    </row>
    <row r="750" spans="1:5" x14ac:dyDescent="0.2">
      <c r="A750" s="35">
        <v>2021</v>
      </c>
      <c r="B750" s="36" t="s">
        <v>56</v>
      </c>
      <c r="C750" s="37" t="s">
        <v>249</v>
      </c>
      <c r="D750" s="37" t="s">
        <v>254</v>
      </c>
      <c r="E750" s="38">
        <v>81147</v>
      </c>
    </row>
    <row r="751" spans="1:5" x14ac:dyDescent="0.2">
      <c r="A751" s="35">
        <v>2021</v>
      </c>
      <c r="B751" s="36" t="s">
        <v>56</v>
      </c>
      <c r="C751" s="37" t="s">
        <v>249</v>
      </c>
      <c r="D751" s="37" t="s">
        <v>255</v>
      </c>
      <c r="E751" s="38">
        <v>1587405</v>
      </c>
    </row>
    <row r="752" spans="1:5" x14ac:dyDescent="0.2">
      <c r="A752" s="35">
        <v>2021</v>
      </c>
      <c r="B752" s="36" t="s">
        <v>56</v>
      </c>
      <c r="C752" s="37" t="s">
        <v>249</v>
      </c>
      <c r="D752" s="37" t="s">
        <v>256</v>
      </c>
      <c r="E752" s="38">
        <v>902720</v>
      </c>
    </row>
    <row r="753" spans="1:5" x14ac:dyDescent="0.2">
      <c r="A753" s="35">
        <v>2021</v>
      </c>
      <c r="B753" s="36" t="s">
        <v>56</v>
      </c>
      <c r="C753" s="37" t="s">
        <v>249</v>
      </c>
      <c r="D753" s="37" t="s">
        <v>257</v>
      </c>
      <c r="E753" s="38">
        <v>208626</v>
      </c>
    </row>
    <row r="754" spans="1:5" x14ac:dyDescent="0.2">
      <c r="A754" s="35">
        <v>2021</v>
      </c>
      <c r="B754" s="36" t="s">
        <v>56</v>
      </c>
      <c r="C754" s="37" t="s">
        <v>249</v>
      </c>
      <c r="D754" s="37" t="s">
        <v>258</v>
      </c>
      <c r="E754" s="38">
        <v>70191</v>
      </c>
    </row>
    <row r="755" spans="1:5" x14ac:dyDescent="0.2">
      <c r="A755" s="35">
        <v>2021</v>
      </c>
      <c r="B755" s="36" t="s">
        <v>56</v>
      </c>
      <c r="C755" s="37" t="s">
        <v>259</v>
      </c>
      <c r="D755" s="37" t="s">
        <v>230</v>
      </c>
      <c r="E755" s="38">
        <v>203027</v>
      </c>
    </row>
    <row r="756" spans="1:5" x14ac:dyDescent="0.2">
      <c r="A756" s="35">
        <v>2021</v>
      </c>
      <c r="B756" s="36" t="s">
        <v>56</v>
      </c>
      <c r="C756" s="37" t="s">
        <v>259</v>
      </c>
      <c r="D756" s="37" t="s">
        <v>250</v>
      </c>
      <c r="E756" s="38">
        <v>0</v>
      </c>
    </row>
    <row r="757" spans="1:5" x14ac:dyDescent="0.2">
      <c r="A757" s="35">
        <v>2021</v>
      </c>
      <c r="B757" s="36" t="s">
        <v>56</v>
      </c>
      <c r="C757" s="37" t="s">
        <v>259</v>
      </c>
      <c r="D757" s="37" t="s">
        <v>252</v>
      </c>
      <c r="E757" s="38">
        <v>197724</v>
      </c>
    </row>
    <row r="758" spans="1:5" x14ac:dyDescent="0.2">
      <c r="A758" s="35">
        <v>2021</v>
      </c>
      <c r="B758" s="36" t="s">
        <v>56</v>
      </c>
      <c r="C758" s="37" t="s">
        <v>259</v>
      </c>
      <c r="D758" s="37" t="s">
        <v>253</v>
      </c>
      <c r="E758" s="38">
        <v>-1</v>
      </c>
    </row>
    <row r="759" spans="1:5" x14ac:dyDescent="0.2">
      <c r="A759" s="35">
        <v>2021</v>
      </c>
      <c r="B759" s="36" t="s">
        <v>56</v>
      </c>
      <c r="C759" s="37" t="s">
        <v>259</v>
      </c>
      <c r="D759" s="37" t="s">
        <v>254</v>
      </c>
      <c r="E759" s="38">
        <v>639</v>
      </c>
    </row>
    <row r="760" spans="1:5" x14ac:dyDescent="0.2">
      <c r="A760" s="35">
        <v>2021</v>
      </c>
      <c r="B760" s="36" t="s">
        <v>56</v>
      </c>
      <c r="C760" s="37" t="s">
        <v>259</v>
      </c>
      <c r="D760" s="37" t="s">
        <v>255</v>
      </c>
      <c r="E760" s="38">
        <v>4611</v>
      </c>
    </row>
    <row r="761" spans="1:5" x14ac:dyDescent="0.2">
      <c r="A761" s="35">
        <v>2021</v>
      </c>
      <c r="B761" s="36" t="s">
        <v>56</v>
      </c>
      <c r="C761" s="37" t="s">
        <v>259</v>
      </c>
      <c r="D761" s="37" t="s">
        <v>257</v>
      </c>
      <c r="E761" s="38">
        <v>54</v>
      </c>
    </row>
    <row r="762" spans="1:5" x14ac:dyDescent="0.2">
      <c r="A762" s="35">
        <v>2021</v>
      </c>
      <c r="B762" s="36" t="s">
        <v>56</v>
      </c>
      <c r="C762" s="37" t="s">
        <v>260</v>
      </c>
      <c r="D762" s="37" t="s">
        <v>230</v>
      </c>
      <c r="E762" s="38">
        <v>597797</v>
      </c>
    </row>
    <row r="763" spans="1:5" x14ac:dyDescent="0.2">
      <c r="A763" s="35">
        <v>2021</v>
      </c>
      <c r="B763" s="36" t="s">
        <v>56</v>
      </c>
      <c r="C763" s="37" t="s">
        <v>260</v>
      </c>
      <c r="D763" s="37" t="s">
        <v>251</v>
      </c>
      <c r="E763" s="38">
        <v>5752</v>
      </c>
    </row>
    <row r="764" spans="1:5" x14ac:dyDescent="0.2">
      <c r="A764" s="35">
        <v>2021</v>
      </c>
      <c r="B764" s="36" t="s">
        <v>56</v>
      </c>
      <c r="C764" s="37" t="s">
        <v>260</v>
      </c>
      <c r="D764" s="37" t="s">
        <v>252</v>
      </c>
      <c r="E764" s="38">
        <v>530129</v>
      </c>
    </row>
    <row r="765" spans="1:5" x14ac:dyDescent="0.2">
      <c r="A765" s="35">
        <v>2021</v>
      </c>
      <c r="B765" s="36" t="s">
        <v>56</v>
      </c>
      <c r="C765" s="37" t="s">
        <v>260</v>
      </c>
      <c r="D765" s="37" t="s">
        <v>253</v>
      </c>
      <c r="E765" s="38">
        <v>234</v>
      </c>
    </row>
    <row r="766" spans="1:5" x14ac:dyDescent="0.2">
      <c r="A766" s="35">
        <v>2021</v>
      </c>
      <c r="B766" s="36" t="s">
        <v>56</v>
      </c>
      <c r="C766" s="37" t="s">
        <v>260</v>
      </c>
      <c r="D766" s="37" t="s">
        <v>254</v>
      </c>
      <c r="E766" s="38">
        <v>6538</v>
      </c>
    </row>
    <row r="767" spans="1:5" x14ac:dyDescent="0.2">
      <c r="A767" s="35">
        <v>2021</v>
      </c>
      <c r="B767" s="36" t="s">
        <v>56</v>
      </c>
      <c r="C767" s="37" t="s">
        <v>260</v>
      </c>
      <c r="D767" s="37" t="s">
        <v>255</v>
      </c>
      <c r="E767" s="38">
        <v>6638</v>
      </c>
    </row>
    <row r="768" spans="1:5" x14ac:dyDescent="0.2">
      <c r="A768" s="35">
        <v>2021</v>
      </c>
      <c r="B768" s="36" t="s">
        <v>56</v>
      </c>
      <c r="C768" s="37" t="s">
        <v>260</v>
      </c>
      <c r="D768" s="37" t="s">
        <v>256</v>
      </c>
      <c r="E768" s="38">
        <v>25686</v>
      </c>
    </row>
    <row r="769" spans="1:5" x14ac:dyDescent="0.2">
      <c r="A769" s="35">
        <v>2021</v>
      </c>
      <c r="B769" s="36" t="s">
        <v>56</v>
      </c>
      <c r="C769" s="37" t="s">
        <v>260</v>
      </c>
      <c r="D769" s="37" t="s">
        <v>257</v>
      </c>
      <c r="E769" s="38">
        <v>22820</v>
      </c>
    </row>
    <row r="770" spans="1:5" x14ac:dyDescent="0.2">
      <c r="A770" s="35">
        <v>2021</v>
      </c>
      <c r="B770" s="36" t="s">
        <v>56</v>
      </c>
      <c r="C770" s="37" t="s">
        <v>261</v>
      </c>
      <c r="D770" s="37" t="s">
        <v>230</v>
      </c>
      <c r="E770" s="38">
        <v>1494911</v>
      </c>
    </row>
    <row r="771" spans="1:5" x14ac:dyDescent="0.2">
      <c r="A771" s="35">
        <v>2021</v>
      </c>
      <c r="B771" s="36" t="s">
        <v>56</v>
      </c>
      <c r="C771" s="37" t="s">
        <v>261</v>
      </c>
      <c r="D771" s="37" t="s">
        <v>252</v>
      </c>
      <c r="E771" s="38">
        <v>1490518</v>
      </c>
    </row>
    <row r="772" spans="1:5" x14ac:dyDescent="0.2">
      <c r="A772" s="35">
        <v>2021</v>
      </c>
      <c r="B772" s="36" t="s">
        <v>56</v>
      </c>
      <c r="C772" s="37" t="s">
        <v>261</v>
      </c>
      <c r="D772" s="37" t="s">
        <v>254</v>
      </c>
      <c r="E772" s="38">
        <v>4393</v>
      </c>
    </row>
    <row r="773" spans="1:5" x14ac:dyDescent="0.2">
      <c r="A773" s="35">
        <v>2021</v>
      </c>
      <c r="B773" s="36" t="s">
        <v>56</v>
      </c>
      <c r="C773" s="37" t="s">
        <v>262</v>
      </c>
      <c r="D773" s="37" t="s">
        <v>230</v>
      </c>
      <c r="E773" s="38">
        <v>16672006</v>
      </c>
    </row>
    <row r="774" spans="1:5" x14ac:dyDescent="0.2">
      <c r="A774" s="35">
        <v>2021</v>
      </c>
      <c r="B774" s="36" t="s">
        <v>56</v>
      </c>
      <c r="C774" s="37" t="s">
        <v>262</v>
      </c>
      <c r="D774" s="37" t="s">
        <v>266</v>
      </c>
      <c r="E774" s="38">
        <v>-424247</v>
      </c>
    </row>
    <row r="775" spans="1:5" x14ac:dyDescent="0.2">
      <c r="A775" s="35">
        <v>2021</v>
      </c>
      <c r="B775" s="36" t="s">
        <v>56</v>
      </c>
      <c r="C775" s="37" t="s">
        <v>262</v>
      </c>
      <c r="D775" s="37" t="s">
        <v>251</v>
      </c>
      <c r="E775" s="38">
        <v>833804</v>
      </c>
    </row>
    <row r="776" spans="1:5" x14ac:dyDescent="0.2">
      <c r="A776" s="35">
        <v>2021</v>
      </c>
      <c r="B776" s="36" t="s">
        <v>56</v>
      </c>
      <c r="C776" s="37" t="s">
        <v>262</v>
      </c>
      <c r="D776" s="37" t="s">
        <v>252</v>
      </c>
      <c r="E776" s="38">
        <v>12712314</v>
      </c>
    </row>
    <row r="777" spans="1:5" x14ac:dyDescent="0.2">
      <c r="A777" s="35">
        <v>2021</v>
      </c>
      <c r="B777" s="36" t="s">
        <v>56</v>
      </c>
      <c r="C777" s="37" t="s">
        <v>262</v>
      </c>
      <c r="D777" s="37" t="s">
        <v>253</v>
      </c>
      <c r="E777" s="38">
        <v>924460</v>
      </c>
    </row>
    <row r="778" spans="1:5" x14ac:dyDescent="0.2">
      <c r="A778" s="35">
        <v>2021</v>
      </c>
      <c r="B778" s="36" t="s">
        <v>56</v>
      </c>
      <c r="C778" s="37" t="s">
        <v>262</v>
      </c>
      <c r="D778" s="37" t="s">
        <v>254</v>
      </c>
      <c r="E778" s="38">
        <v>55872</v>
      </c>
    </row>
    <row r="779" spans="1:5" x14ac:dyDescent="0.2">
      <c r="A779" s="35">
        <v>2021</v>
      </c>
      <c r="B779" s="36" t="s">
        <v>56</v>
      </c>
      <c r="C779" s="37" t="s">
        <v>262</v>
      </c>
      <c r="D779" s="37" t="s">
        <v>255</v>
      </c>
      <c r="E779" s="38">
        <v>1489917</v>
      </c>
    </row>
    <row r="780" spans="1:5" x14ac:dyDescent="0.2">
      <c r="A780" s="35">
        <v>2021</v>
      </c>
      <c r="B780" s="36" t="s">
        <v>56</v>
      </c>
      <c r="C780" s="37" t="s">
        <v>262</v>
      </c>
      <c r="D780" s="37" t="s">
        <v>256</v>
      </c>
      <c r="E780" s="38">
        <v>877034</v>
      </c>
    </row>
    <row r="781" spans="1:5" x14ac:dyDescent="0.2">
      <c r="A781" s="35">
        <v>2021</v>
      </c>
      <c r="B781" s="36" t="s">
        <v>56</v>
      </c>
      <c r="C781" s="37" t="s">
        <v>262</v>
      </c>
      <c r="D781" s="37" t="s">
        <v>257</v>
      </c>
      <c r="E781" s="38">
        <v>132660</v>
      </c>
    </row>
    <row r="782" spans="1:5" x14ac:dyDescent="0.2">
      <c r="A782" s="35">
        <v>2021</v>
      </c>
      <c r="B782" s="36" t="s">
        <v>56</v>
      </c>
      <c r="C782" s="37" t="s">
        <v>262</v>
      </c>
      <c r="D782" s="37" t="s">
        <v>258</v>
      </c>
      <c r="E782" s="38">
        <v>70191</v>
      </c>
    </row>
    <row r="783" spans="1:5" x14ac:dyDescent="0.2">
      <c r="A783" s="35">
        <v>2021</v>
      </c>
      <c r="B783" s="36" t="s">
        <v>56</v>
      </c>
      <c r="C783" s="37" t="s">
        <v>263</v>
      </c>
      <c r="D783" s="37" t="s">
        <v>230</v>
      </c>
      <c r="E783" s="38">
        <v>509606</v>
      </c>
    </row>
    <row r="784" spans="1:5" x14ac:dyDescent="0.2">
      <c r="A784" s="35">
        <v>2021</v>
      </c>
      <c r="B784" s="36" t="s">
        <v>56</v>
      </c>
      <c r="C784" s="37" t="s">
        <v>263</v>
      </c>
      <c r="D784" s="37" t="s">
        <v>251</v>
      </c>
      <c r="E784" s="38">
        <v>277958</v>
      </c>
    </row>
    <row r="785" spans="1:5" x14ac:dyDescent="0.2">
      <c r="A785" s="35">
        <v>2021</v>
      </c>
      <c r="B785" s="36" t="s">
        <v>56</v>
      </c>
      <c r="C785" s="37" t="s">
        <v>263</v>
      </c>
      <c r="D785" s="37" t="s">
        <v>252</v>
      </c>
      <c r="E785" s="38">
        <v>79247</v>
      </c>
    </row>
    <row r="786" spans="1:5" x14ac:dyDescent="0.2">
      <c r="A786" s="35">
        <v>2021</v>
      </c>
      <c r="B786" s="36" t="s">
        <v>56</v>
      </c>
      <c r="C786" s="37" t="s">
        <v>263</v>
      </c>
      <c r="D786" s="37" t="s">
        <v>253</v>
      </c>
      <c r="E786" s="38">
        <v>-635</v>
      </c>
    </row>
    <row r="787" spans="1:5" x14ac:dyDescent="0.2">
      <c r="A787" s="35">
        <v>2021</v>
      </c>
      <c r="B787" s="36" t="s">
        <v>56</v>
      </c>
      <c r="C787" s="37" t="s">
        <v>263</v>
      </c>
      <c r="D787" s="37" t="s">
        <v>254</v>
      </c>
      <c r="E787" s="38">
        <v>13705</v>
      </c>
    </row>
    <row r="788" spans="1:5" x14ac:dyDescent="0.2">
      <c r="A788" s="35">
        <v>2021</v>
      </c>
      <c r="B788" s="36" t="s">
        <v>56</v>
      </c>
      <c r="C788" s="37" t="s">
        <v>263</v>
      </c>
      <c r="D788" s="37" t="s">
        <v>255</v>
      </c>
      <c r="E788" s="38">
        <v>86239</v>
      </c>
    </row>
    <row r="789" spans="1:5" x14ac:dyDescent="0.2">
      <c r="A789" s="35">
        <v>2021</v>
      </c>
      <c r="B789" s="36" t="s">
        <v>56</v>
      </c>
      <c r="C789" s="37" t="s">
        <v>263</v>
      </c>
      <c r="D789" s="37" t="s">
        <v>257</v>
      </c>
      <c r="E789" s="38">
        <v>53092</v>
      </c>
    </row>
    <row r="790" spans="1:5" x14ac:dyDescent="0.2">
      <c r="A790" s="35">
        <v>2021</v>
      </c>
      <c r="B790" s="36" t="s">
        <v>53</v>
      </c>
      <c r="C790" s="37" t="s">
        <v>249</v>
      </c>
      <c r="D790" s="37" t="s">
        <v>230</v>
      </c>
      <c r="E790" s="38">
        <v>38235137</v>
      </c>
    </row>
    <row r="791" spans="1:5" x14ac:dyDescent="0.2">
      <c r="A791" s="35">
        <v>2021</v>
      </c>
      <c r="B791" s="36" t="s">
        <v>53</v>
      </c>
      <c r="C791" s="37" t="s">
        <v>249</v>
      </c>
      <c r="D791" s="37" t="s">
        <v>250</v>
      </c>
      <c r="E791" s="38">
        <v>5173979</v>
      </c>
    </row>
    <row r="792" spans="1:5" x14ac:dyDescent="0.2">
      <c r="A792" s="35">
        <v>2021</v>
      </c>
      <c r="B792" s="36" t="s">
        <v>53</v>
      </c>
      <c r="C792" s="37" t="s">
        <v>249</v>
      </c>
      <c r="D792" s="37" t="s">
        <v>251</v>
      </c>
      <c r="E792" s="38">
        <v>2117149</v>
      </c>
    </row>
    <row r="793" spans="1:5" x14ac:dyDescent="0.2">
      <c r="A793" s="35">
        <v>2021</v>
      </c>
      <c r="B793" s="36" t="s">
        <v>53</v>
      </c>
      <c r="C793" s="37" t="s">
        <v>249</v>
      </c>
      <c r="D793" s="37" t="s">
        <v>252</v>
      </c>
      <c r="E793" s="38">
        <v>13977171</v>
      </c>
    </row>
    <row r="794" spans="1:5" x14ac:dyDescent="0.2">
      <c r="A794" s="35">
        <v>2021</v>
      </c>
      <c r="B794" s="36" t="s">
        <v>53</v>
      </c>
      <c r="C794" s="37" t="s">
        <v>249</v>
      </c>
      <c r="D794" s="37" t="s">
        <v>264</v>
      </c>
      <c r="E794" s="38">
        <v>14993633</v>
      </c>
    </row>
    <row r="795" spans="1:5" x14ac:dyDescent="0.2">
      <c r="A795" s="35">
        <v>2021</v>
      </c>
      <c r="B795" s="36" t="s">
        <v>53</v>
      </c>
      <c r="C795" s="37" t="s">
        <v>249</v>
      </c>
      <c r="D795" s="37" t="s">
        <v>253</v>
      </c>
      <c r="E795" s="38">
        <v>376221</v>
      </c>
    </row>
    <row r="796" spans="1:5" x14ac:dyDescent="0.2">
      <c r="A796" s="35">
        <v>2021</v>
      </c>
      <c r="B796" s="36" t="s">
        <v>53</v>
      </c>
      <c r="C796" s="37" t="s">
        <v>249</v>
      </c>
      <c r="D796" s="37" t="s">
        <v>254</v>
      </c>
      <c r="E796" s="38">
        <v>72669</v>
      </c>
    </row>
    <row r="797" spans="1:5" x14ac:dyDescent="0.2">
      <c r="A797" s="35">
        <v>2021</v>
      </c>
      <c r="B797" s="36" t="s">
        <v>53</v>
      </c>
      <c r="C797" s="37" t="s">
        <v>249</v>
      </c>
      <c r="D797" s="37" t="s">
        <v>255</v>
      </c>
      <c r="E797" s="38">
        <v>632049</v>
      </c>
    </row>
    <row r="798" spans="1:5" x14ac:dyDescent="0.2">
      <c r="A798" s="35">
        <v>2021</v>
      </c>
      <c r="B798" s="36" t="s">
        <v>53</v>
      </c>
      <c r="C798" s="37" t="s">
        <v>249</v>
      </c>
      <c r="D798" s="37" t="s">
        <v>256</v>
      </c>
      <c r="E798" s="38">
        <v>366363</v>
      </c>
    </row>
    <row r="799" spans="1:5" x14ac:dyDescent="0.2">
      <c r="A799" s="35">
        <v>2021</v>
      </c>
      <c r="B799" s="36" t="s">
        <v>53</v>
      </c>
      <c r="C799" s="37" t="s">
        <v>249</v>
      </c>
      <c r="D799" s="37" t="s">
        <v>257</v>
      </c>
      <c r="E799" s="38">
        <v>517431</v>
      </c>
    </row>
    <row r="800" spans="1:5" x14ac:dyDescent="0.2">
      <c r="A800" s="35">
        <v>2021</v>
      </c>
      <c r="B800" s="36" t="s">
        <v>53</v>
      </c>
      <c r="C800" s="37" t="s">
        <v>249</v>
      </c>
      <c r="D800" s="37" t="s">
        <v>258</v>
      </c>
      <c r="E800" s="38">
        <v>8473</v>
      </c>
    </row>
    <row r="801" spans="1:5" x14ac:dyDescent="0.2">
      <c r="A801" s="35">
        <v>2021</v>
      </c>
      <c r="B801" s="36" t="s">
        <v>53</v>
      </c>
      <c r="C801" s="37" t="s">
        <v>259</v>
      </c>
      <c r="D801" s="37" t="s">
        <v>230</v>
      </c>
      <c r="E801" s="38">
        <v>48123</v>
      </c>
    </row>
    <row r="802" spans="1:5" x14ac:dyDescent="0.2">
      <c r="A802" s="35">
        <v>2021</v>
      </c>
      <c r="B802" s="36" t="s">
        <v>53</v>
      </c>
      <c r="C802" s="37" t="s">
        <v>259</v>
      </c>
      <c r="D802" s="37" t="s">
        <v>252</v>
      </c>
      <c r="E802" s="38">
        <v>47893</v>
      </c>
    </row>
    <row r="803" spans="1:5" x14ac:dyDescent="0.2">
      <c r="A803" s="35">
        <v>2021</v>
      </c>
      <c r="B803" s="36" t="s">
        <v>53</v>
      </c>
      <c r="C803" s="37" t="s">
        <v>259</v>
      </c>
      <c r="D803" s="37" t="s">
        <v>254</v>
      </c>
      <c r="E803" s="38">
        <v>229</v>
      </c>
    </row>
    <row r="804" spans="1:5" x14ac:dyDescent="0.2">
      <c r="A804" s="35">
        <v>2021</v>
      </c>
      <c r="B804" s="36" t="s">
        <v>53</v>
      </c>
      <c r="C804" s="37" t="s">
        <v>260</v>
      </c>
      <c r="D804" s="37" t="s">
        <v>230</v>
      </c>
      <c r="E804" s="38">
        <v>247188</v>
      </c>
    </row>
    <row r="805" spans="1:5" x14ac:dyDescent="0.2">
      <c r="A805" s="35">
        <v>2021</v>
      </c>
      <c r="B805" s="36" t="s">
        <v>53</v>
      </c>
      <c r="C805" s="37" t="s">
        <v>260</v>
      </c>
      <c r="D805" s="37" t="s">
        <v>250</v>
      </c>
      <c r="E805" s="38">
        <v>0</v>
      </c>
    </row>
    <row r="806" spans="1:5" x14ac:dyDescent="0.2">
      <c r="A806" s="35">
        <v>2021</v>
      </c>
      <c r="B806" s="36" t="s">
        <v>53</v>
      </c>
      <c r="C806" s="37" t="s">
        <v>260</v>
      </c>
      <c r="D806" s="37" t="s">
        <v>252</v>
      </c>
      <c r="E806" s="38">
        <v>221298</v>
      </c>
    </row>
    <row r="807" spans="1:5" x14ac:dyDescent="0.2">
      <c r="A807" s="35">
        <v>2021</v>
      </c>
      <c r="B807" s="36" t="s">
        <v>53</v>
      </c>
      <c r="C807" s="37" t="s">
        <v>260</v>
      </c>
      <c r="D807" s="37" t="s">
        <v>254</v>
      </c>
      <c r="E807" s="38">
        <v>621</v>
      </c>
    </row>
    <row r="808" spans="1:5" x14ac:dyDescent="0.2">
      <c r="A808" s="35">
        <v>2021</v>
      </c>
      <c r="B808" s="36" t="s">
        <v>53</v>
      </c>
      <c r="C808" s="37" t="s">
        <v>260</v>
      </c>
      <c r="D808" s="37" t="s">
        <v>255</v>
      </c>
      <c r="E808" s="38">
        <v>16580</v>
      </c>
    </row>
    <row r="809" spans="1:5" x14ac:dyDescent="0.2">
      <c r="A809" s="35">
        <v>2021</v>
      </c>
      <c r="B809" s="36" t="s">
        <v>53</v>
      </c>
      <c r="C809" s="37" t="s">
        <v>260</v>
      </c>
      <c r="D809" s="37" t="s">
        <v>256</v>
      </c>
      <c r="E809" s="38">
        <v>216</v>
      </c>
    </row>
    <row r="810" spans="1:5" x14ac:dyDescent="0.2">
      <c r="A810" s="35">
        <v>2021</v>
      </c>
      <c r="B810" s="36" t="s">
        <v>53</v>
      </c>
      <c r="C810" s="37" t="s">
        <v>260</v>
      </c>
      <c r="D810" s="37" t="s">
        <v>258</v>
      </c>
      <c r="E810" s="38">
        <v>8473</v>
      </c>
    </row>
    <row r="811" spans="1:5" x14ac:dyDescent="0.2">
      <c r="A811" s="35">
        <v>2021</v>
      </c>
      <c r="B811" s="36" t="s">
        <v>53</v>
      </c>
      <c r="C811" s="37" t="s">
        <v>261</v>
      </c>
      <c r="D811" s="37" t="s">
        <v>230</v>
      </c>
      <c r="E811" s="38">
        <v>2350554</v>
      </c>
    </row>
    <row r="812" spans="1:5" x14ac:dyDescent="0.2">
      <c r="A812" s="35">
        <v>2021</v>
      </c>
      <c r="B812" s="36" t="s">
        <v>53</v>
      </c>
      <c r="C812" s="37" t="s">
        <v>261</v>
      </c>
      <c r="D812" s="37" t="s">
        <v>250</v>
      </c>
      <c r="E812" s="38">
        <v>1250772</v>
      </c>
    </row>
    <row r="813" spans="1:5" x14ac:dyDescent="0.2">
      <c r="A813" s="35">
        <v>2021</v>
      </c>
      <c r="B813" s="36" t="s">
        <v>53</v>
      </c>
      <c r="C813" s="37" t="s">
        <v>261</v>
      </c>
      <c r="D813" s="37" t="s">
        <v>252</v>
      </c>
      <c r="E813" s="38">
        <v>760377</v>
      </c>
    </row>
    <row r="814" spans="1:5" x14ac:dyDescent="0.2">
      <c r="A814" s="35">
        <v>2021</v>
      </c>
      <c r="B814" s="36" t="s">
        <v>53</v>
      </c>
      <c r="C814" s="37" t="s">
        <v>261</v>
      </c>
      <c r="D814" s="37" t="s">
        <v>253</v>
      </c>
      <c r="E814" s="38">
        <v>185504</v>
      </c>
    </row>
    <row r="815" spans="1:5" x14ac:dyDescent="0.2">
      <c r="A815" s="35">
        <v>2021</v>
      </c>
      <c r="B815" s="36" t="s">
        <v>53</v>
      </c>
      <c r="C815" s="37" t="s">
        <v>261</v>
      </c>
      <c r="D815" s="37" t="s">
        <v>254</v>
      </c>
      <c r="E815" s="38">
        <v>2128</v>
      </c>
    </row>
    <row r="816" spans="1:5" x14ac:dyDescent="0.2">
      <c r="A816" s="35">
        <v>2021</v>
      </c>
      <c r="B816" s="36" t="s">
        <v>53</v>
      </c>
      <c r="C816" s="37" t="s">
        <v>261</v>
      </c>
      <c r="D816" s="37" t="s">
        <v>256</v>
      </c>
      <c r="E816" s="38">
        <v>151773</v>
      </c>
    </row>
    <row r="817" spans="1:5" x14ac:dyDescent="0.2">
      <c r="A817" s="35">
        <v>2021</v>
      </c>
      <c r="B817" s="36" t="s">
        <v>53</v>
      </c>
      <c r="C817" s="37" t="s">
        <v>262</v>
      </c>
      <c r="D817" s="37" t="s">
        <v>230</v>
      </c>
      <c r="E817" s="38">
        <v>32118982</v>
      </c>
    </row>
    <row r="818" spans="1:5" x14ac:dyDescent="0.2">
      <c r="A818" s="35">
        <v>2021</v>
      </c>
      <c r="B818" s="36" t="s">
        <v>53</v>
      </c>
      <c r="C818" s="37" t="s">
        <v>262</v>
      </c>
      <c r="D818" s="37" t="s">
        <v>250</v>
      </c>
      <c r="E818" s="38">
        <v>3923207</v>
      </c>
    </row>
    <row r="819" spans="1:5" x14ac:dyDescent="0.2">
      <c r="A819" s="35">
        <v>2021</v>
      </c>
      <c r="B819" s="36" t="s">
        <v>53</v>
      </c>
      <c r="C819" s="37" t="s">
        <v>262</v>
      </c>
      <c r="D819" s="37" t="s">
        <v>251</v>
      </c>
      <c r="E819" s="38">
        <v>2117149</v>
      </c>
    </row>
    <row r="820" spans="1:5" x14ac:dyDescent="0.2">
      <c r="A820" s="35">
        <v>2021</v>
      </c>
      <c r="B820" s="36" t="s">
        <v>53</v>
      </c>
      <c r="C820" s="37" t="s">
        <v>262</v>
      </c>
      <c r="D820" s="37" t="s">
        <v>252</v>
      </c>
      <c r="E820" s="38">
        <v>9485219</v>
      </c>
    </row>
    <row r="821" spans="1:5" x14ac:dyDescent="0.2">
      <c r="A821" s="35">
        <v>2021</v>
      </c>
      <c r="B821" s="36" t="s">
        <v>53</v>
      </c>
      <c r="C821" s="37" t="s">
        <v>262</v>
      </c>
      <c r="D821" s="37" t="s">
        <v>264</v>
      </c>
      <c r="E821" s="38">
        <v>14993633</v>
      </c>
    </row>
    <row r="822" spans="1:5" x14ac:dyDescent="0.2">
      <c r="A822" s="35">
        <v>2021</v>
      </c>
      <c r="B822" s="36" t="s">
        <v>53</v>
      </c>
      <c r="C822" s="37" t="s">
        <v>262</v>
      </c>
      <c r="D822" s="37" t="s">
        <v>253</v>
      </c>
      <c r="E822" s="38">
        <v>190716</v>
      </c>
    </row>
    <row r="823" spans="1:5" x14ac:dyDescent="0.2">
      <c r="A823" s="35">
        <v>2021</v>
      </c>
      <c r="B823" s="36" t="s">
        <v>53</v>
      </c>
      <c r="C823" s="37" t="s">
        <v>262</v>
      </c>
      <c r="D823" s="37" t="s">
        <v>254</v>
      </c>
      <c r="E823" s="38">
        <v>69402</v>
      </c>
    </row>
    <row r="824" spans="1:5" x14ac:dyDescent="0.2">
      <c r="A824" s="35">
        <v>2021</v>
      </c>
      <c r="B824" s="36" t="s">
        <v>53</v>
      </c>
      <c r="C824" s="37" t="s">
        <v>262</v>
      </c>
      <c r="D824" s="37" t="s">
        <v>255</v>
      </c>
      <c r="E824" s="38">
        <v>607851</v>
      </c>
    </row>
    <row r="825" spans="1:5" x14ac:dyDescent="0.2">
      <c r="A825" s="35">
        <v>2021</v>
      </c>
      <c r="B825" s="36" t="s">
        <v>53</v>
      </c>
      <c r="C825" s="37" t="s">
        <v>262</v>
      </c>
      <c r="D825" s="37" t="s">
        <v>256</v>
      </c>
      <c r="E825" s="38">
        <v>214374</v>
      </c>
    </row>
    <row r="826" spans="1:5" x14ac:dyDescent="0.2">
      <c r="A826" s="35">
        <v>2021</v>
      </c>
      <c r="B826" s="36" t="s">
        <v>53</v>
      </c>
      <c r="C826" s="37" t="s">
        <v>262</v>
      </c>
      <c r="D826" s="37" t="s">
        <v>257</v>
      </c>
      <c r="E826" s="38">
        <v>517431</v>
      </c>
    </row>
    <row r="827" spans="1:5" x14ac:dyDescent="0.2">
      <c r="A827" s="35">
        <v>2021</v>
      </c>
      <c r="B827" s="36" t="s">
        <v>53</v>
      </c>
      <c r="C827" s="37" t="s">
        <v>263</v>
      </c>
      <c r="D827" s="37" t="s">
        <v>230</v>
      </c>
      <c r="E827" s="38">
        <v>3470291</v>
      </c>
    </row>
    <row r="828" spans="1:5" x14ac:dyDescent="0.2">
      <c r="A828" s="35">
        <v>2021</v>
      </c>
      <c r="B828" s="36" t="s">
        <v>53</v>
      </c>
      <c r="C828" s="37" t="s">
        <v>263</v>
      </c>
      <c r="D828" s="37" t="s">
        <v>252</v>
      </c>
      <c r="E828" s="38">
        <v>3462384</v>
      </c>
    </row>
    <row r="829" spans="1:5" x14ac:dyDescent="0.2">
      <c r="A829" s="35">
        <v>2021</v>
      </c>
      <c r="B829" s="36" t="s">
        <v>53</v>
      </c>
      <c r="C829" s="37" t="s">
        <v>263</v>
      </c>
      <c r="D829" s="37" t="s">
        <v>254</v>
      </c>
      <c r="E829" s="38">
        <v>289</v>
      </c>
    </row>
    <row r="830" spans="1:5" x14ac:dyDescent="0.2">
      <c r="A830" s="35">
        <v>2021</v>
      </c>
      <c r="B830" s="36" t="s">
        <v>53</v>
      </c>
      <c r="C830" s="37" t="s">
        <v>263</v>
      </c>
      <c r="D830" s="37" t="s">
        <v>255</v>
      </c>
      <c r="E830" s="38">
        <v>7618</v>
      </c>
    </row>
    <row r="831" spans="1:5" x14ac:dyDescent="0.2">
      <c r="A831" s="35">
        <v>2021</v>
      </c>
      <c r="B831" s="36" t="s">
        <v>51</v>
      </c>
      <c r="C831" s="37" t="s">
        <v>249</v>
      </c>
      <c r="D831" s="37" t="s">
        <v>230</v>
      </c>
      <c r="E831" s="38">
        <v>10908150</v>
      </c>
    </row>
    <row r="832" spans="1:5" x14ac:dyDescent="0.2">
      <c r="A832" s="35">
        <v>2021</v>
      </c>
      <c r="B832" s="36" t="s">
        <v>51</v>
      </c>
      <c r="C832" s="37" t="s">
        <v>249</v>
      </c>
      <c r="D832" s="37" t="s">
        <v>250</v>
      </c>
      <c r="E832" s="38">
        <v>49996</v>
      </c>
    </row>
    <row r="833" spans="1:5" x14ac:dyDescent="0.2">
      <c r="A833" s="35">
        <v>2021</v>
      </c>
      <c r="B833" s="36" t="s">
        <v>51</v>
      </c>
      <c r="C833" s="37" t="s">
        <v>249</v>
      </c>
      <c r="D833" s="37" t="s">
        <v>251</v>
      </c>
      <c r="E833" s="38">
        <v>2540905</v>
      </c>
    </row>
    <row r="834" spans="1:5" x14ac:dyDescent="0.2">
      <c r="A834" s="35">
        <v>2021</v>
      </c>
      <c r="B834" s="36" t="s">
        <v>51</v>
      </c>
      <c r="C834" s="37" t="s">
        <v>249</v>
      </c>
      <c r="D834" s="37" t="s">
        <v>252</v>
      </c>
      <c r="E834" s="38">
        <v>3347672</v>
      </c>
    </row>
    <row r="835" spans="1:5" x14ac:dyDescent="0.2">
      <c r="A835" s="35">
        <v>2021</v>
      </c>
      <c r="B835" s="36" t="s">
        <v>51</v>
      </c>
      <c r="C835" s="37" t="s">
        <v>249</v>
      </c>
      <c r="D835" s="37" t="s">
        <v>253</v>
      </c>
      <c r="E835" s="38">
        <v>267417</v>
      </c>
    </row>
    <row r="836" spans="1:5" x14ac:dyDescent="0.2">
      <c r="A836" s="35">
        <v>2021</v>
      </c>
      <c r="B836" s="36" t="s">
        <v>51</v>
      </c>
      <c r="C836" s="37" t="s">
        <v>249</v>
      </c>
      <c r="D836" s="37" t="s">
        <v>254</v>
      </c>
      <c r="E836" s="38">
        <v>31605</v>
      </c>
    </row>
    <row r="837" spans="1:5" x14ac:dyDescent="0.2">
      <c r="A837" s="35">
        <v>2021</v>
      </c>
      <c r="B837" s="36" t="s">
        <v>51</v>
      </c>
      <c r="C837" s="37" t="s">
        <v>249</v>
      </c>
      <c r="D837" s="37" t="s">
        <v>255</v>
      </c>
      <c r="E837" s="38">
        <v>157564</v>
      </c>
    </row>
    <row r="838" spans="1:5" x14ac:dyDescent="0.2">
      <c r="A838" s="35">
        <v>2021</v>
      </c>
      <c r="B838" s="36" t="s">
        <v>51</v>
      </c>
      <c r="C838" s="37" t="s">
        <v>249</v>
      </c>
      <c r="D838" s="37" t="s">
        <v>256</v>
      </c>
      <c r="E838" s="38">
        <v>103166</v>
      </c>
    </row>
    <row r="839" spans="1:5" x14ac:dyDescent="0.2">
      <c r="A839" s="35">
        <v>2021</v>
      </c>
      <c r="B839" s="36" t="s">
        <v>51</v>
      </c>
      <c r="C839" s="37" t="s">
        <v>249</v>
      </c>
      <c r="D839" s="37" t="s">
        <v>257</v>
      </c>
      <c r="E839" s="38">
        <v>2544197</v>
      </c>
    </row>
    <row r="840" spans="1:5" x14ac:dyDescent="0.2">
      <c r="A840" s="35">
        <v>2021</v>
      </c>
      <c r="B840" s="36" t="s">
        <v>51</v>
      </c>
      <c r="C840" s="37" t="s">
        <v>249</v>
      </c>
      <c r="D840" s="37" t="s">
        <v>258</v>
      </c>
      <c r="E840" s="38">
        <v>1865627</v>
      </c>
    </row>
    <row r="841" spans="1:5" x14ac:dyDescent="0.2">
      <c r="A841" s="35">
        <v>2021</v>
      </c>
      <c r="B841" s="36" t="s">
        <v>51</v>
      </c>
      <c r="C841" s="37" t="s">
        <v>259</v>
      </c>
      <c r="D841" s="37" t="s">
        <v>230</v>
      </c>
      <c r="E841" s="38">
        <v>1573437</v>
      </c>
    </row>
    <row r="842" spans="1:5" x14ac:dyDescent="0.2">
      <c r="A842" s="35">
        <v>2021</v>
      </c>
      <c r="B842" s="36" t="s">
        <v>51</v>
      </c>
      <c r="C842" s="37" t="s">
        <v>259</v>
      </c>
      <c r="D842" s="37" t="s">
        <v>250</v>
      </c>
      <c r="E842" s="38">
        <v>0</v>
      </c>
    </row>
    <row r="843" spans="1:5" x14ac:dyDescent="0.2">
      <c r="A843" s="35">
        <v>2021</v>
      </c>
      <c r="B843" s="36" t="s">
        <v>51</v>
      </c>
      <c r="C843" s="37" t="s">
        <v>259</v>
      </c>
      <c r="D843" s="37" t="s">
        <v>251</v>
      </c>
      <c r="E843" s="38">
        <v>80348</v>
      </c>
    </row>
    <row r="844" spans="1:5" x14ac:dyDescent="0.2">
      <c r="A844" s="35">
        <v>2021</v>
      </c>
      <c r="B844" s="36" t="s">
        <v>51</v>
      </c>
      <c r="C844" s="37" t="s">
        <v>259</v>
      </c>
      <c r="D844" s="37" t="s">
        <v>252</v>
      </c>
      <c r="E844" s="38">
        <v>575374</v>
      </c>
    </row>
    <row r="845" spans="1:5" x14ac:dyDescent="0.2">
      <c r="A845" s="35">
        <v>2021</v>
      </c>
      <c r="B845" s="36" t="s">
        <v>51</v>
      </c>
      <c r="C845" s="37" t="s">
        <v>259</v>
      </c>
      <c r="D845" s="37" t="s">
        <v>253</v>
      </c>
      <c r="E845" s="38">
        <v>129474</v>
      </c>
    </row>
    <row r="846" spans="1:5" x14ac:dyDescent="0.2">
      <c r="A846" s="35">
        <v>2021</v>
      </c>
      <c r="B846" s="36" t="s">
        <v>51</v>
      </c>
      <c r="C846" s="37" t="s">
        <v>259</v>
      </c>
      <c r="D846" s="37" t="s">
        <v>254</v>
      </c>
      <c r="E846" s="38">
        <v>6684</v>
      </c>
    </row>
    <row r="847" spans="1:5" x14ac:dyDescent="0.2">
      <c r="A847" s="35">
        <v>2021</v>
      </c>
      <c r="B847" s="36" t="s">
        <v>51</v>
      </c>
      <c r="C847" s="37" t="s">
        <v>259</v>
      </c>
      <c r="D847" s="37" t="s">
        <v>256</v>
      </c>
      <c r="E847" s="38">
        <v>9181</v>
      </c>
    </row>
    <row r="848" spans="1:5" x14ac:dyDescent="0.2">
      <c r="A848" s="35">
        <v>2021</v>
      </c>
      <c r="B848" s="36" t="s">
        <v>51</v>
      </c>
      <c r="C848" s="37" t="s">
        <v>259</v>
      </c>
      <c r="D848" s="37" t="s">
        <v>258</v>
      </c>
      <c r="E848" s="38">
        <v>772376</v>
      </c>
    </row>
    <row r="849" spans="1:5" x14ac:dyDescent="0.2">
      <c r="A849" s="35">
        <v>2021</v>
      </c>
      <c r="B849" s="36" t="s">
        <v>51</v>
      </c>
      <c r="C849" s="37" t="s">
        <v>260</v>
      </c>
      <c r="D849" s="37" t="s">
        <v>230</v>
      </c>
      <c r="E849" s="38">
        <v>97520</v>
      </c>
    </row>
    <row r="850" spans="1:5" x14ac:dyDescent="0.2">
      <c r="A850" s="35">
        <v>2021</v>
      </c>
      <c r="B850" s="36" t="s">
        <v>51</v>
      </c>
      <c r="C850" s="37" t="s">
        <v>260</v>
      </c>
      <c r="D850" s="37" t="s">
        <v>252</v>
      </c>
      <c r="E850" s="38">
        <v>31163</v>
      </c>
    </row>
    <row r="851" spans="1:5" x14ac:dyDescent="0.2">
      <c r="A851" s="35">
        <v>2021</v>
      </c>
      <c r="B851" s="36" t="s">
        <v>51</v>
      </c>
      <c r="C851" s="37" t="s">
        <v>260</v>
      </c>
      <c r="D851" s="37" t="s">
        <v>253</v>
      </c>
      <c r="E851" s="38">
        <v>35059</v>
      </c>
    </row>
    <row r="852" spans="1:5" x14ac:dyDescent="0.2">
      <c r="A852" s="35">
        <v>2021</v>
      </c>
      <c r="B852" s="36" t="s">
        <v>51</v>
      </c>
      <c r="C852" s="37" t="s">
        <v>260</v>
      </c>
      <c r="D852" s="37" t="s">
        <v>254</v>
      </c>
      <c r="E852" s="38">
        <v>2363</v>
      </c>
    </row>
    <row r="853" spans="1:5" x14ac:dyDescent="0.2">
      <c r="A853" s="35">
        <v>2021</v>
      </c>
      <c r="B853" s="36" t="s">
        <v>51</v>
      </c>
      <c r="C853" s="37" t="s">
        <v>260</v>
      </c>
      <c r="D853" s="37" t="s">
        <v>256</v>
      </c>
      <c r="E853" s="38">
        <v>28935</v>
      </c>
    </row>
    <row r="854" spans="1:5" x14ac:dyDescent="0.2">
      <c r="A854" s="35">
        <v>2021</v>
      </c>
      <c r="B854" s="36" t="s">
        <v>51</v>
      </c>
      <c r="C854" s="37" t="s">
        <v>260</v>
      </c>
      <c r="D854" s="37" t="s">
        <v>258</v>
      </c>
      <c r="E854" s="38">
        <v>0</v>
      </c>
    </row>
    <row r="855" spans="1:5" x14ac:dyDescent="0.2">
      <c r="A855" s="35">
        <v>2021</v>
      </c>
      <c r="B855" s="36" t="s">
        <v>51</v>
      </c>
      <c r="C855" s="37" t="s">
        <v>261</v>
      </c>
      <c r="D855" s="37" t="s">
        <v>230</v>
      </c>
      <c r="E855" s="38">
        <v>432044</v>
      </c>
    </row>
    <row r="856" spans="1:5" x14ac:dyDescent="0.2">
      <c r="A856" s="35">
        <v>2021</v>
      </c>
      <c r="B856" s="36" t="s">
        <v>51</v>
      </c>
      <c r="C856" s="37" t="s">
        <v>261</v>
      </c>
      <c r="D856" s="37" t="s">
        <v>250</v>
      </c>
      <c r="E856" s="38">
        <v>49996</v>
      </c>
    </row>
    <row r="857" spans="1:5" x14ac:dyDescent="0.2">
      <c r="A857" s="35">
        <v>2021</v>
      </c>
      <c r="B857" s="36" t="s">
        <v>51</v>
      </c>
      <c r="C857" s="37" t="s">
        <v>261</v>
      </c>
      <c r="D857" s="37" t="s">
        <v>253</v>
      </c>
      <c r="E857" s="38">
        <v>57271</v>
      </c>
    </row>
    <row r="858" spans="1:5" x14ac:dyDescent="0.2">
      <c r="A858" s="35">
        <v>2021</v>
      </c>
      <c r="B858" s="36" t="s">
        <v>51</v>
      </c>
      <c r="C858" s="37" t="s">
        <v>261</v>
      </c>
      <c r="D858" s="37" t="s">
        <v>254</v>
      </c>
      <c r="E858" s="38">
        <v>13854</v>
      </c>
    </row>
    <row r="859" spans="1:5" x14ac:dyDescent="0.2">
      <c r="A859" s="35">
        <v>2021</v>
      </c>
      <c r="B859" s="36" t="s">
        <v>51</v>
      </c>
      <c r="C859" s="37" t="s">
        <v>261</v>
      </c>
      <c r="D859" s="37" t="s">
        <v>256</v>
      </c>
      <c r="E859" s="38">
        <v>3630</v>
      </c>
    </row>
    <row r="860" spans="1:5" x14ac:dyDescent="0.2">
      <c r="A860" s="35">
        <v>2021</v>
      </c>
      <c r="B860" s="36" t="s">
        <v>51</v>
      </c>
      <c r="C860" s="37" t="s">
        <v>261</v>
      </c>
      <c r="D860" s="37" t="s">
        <v>258</v>
      </c>
      <c r="E860" s="38">
        <v>307293</v>
      </c>
    </row>
    <row r="861" spans="1:5" x14ac:dyDescent="0.2">
      <c r="A861" s="35">
        <v>2021</v>
      </c>
      <c r="B861" s="36" t="s">
        <v>51</v>
      </c>
      <c r="C861" s="37" t="s">
        <v>262</v>
      </c>
      <c r="D861" s="37" t="s">
        <v>230</v>
      </c>
      <c r="E861" s="38">
        <v>8803646</v>
      </c>
    </row>
    <row r="862" spans="1:5" x14ac:dyDescent="0.2">
      <c r="A862" s="35">
        <v>2021</v>
      </c>
      <c r="B862" s="36" t="s">
        <v>51</v>
      </c>
      <c r="C862" s="37" t="s">
        <v>262</v>
      </c>
      <c r="D862" s="37" t="s">
        <v>250</v>
      </c>
      <c r="E862" s="38">
        <v>0</v>
      </c>
    </row>
    <row r="863" spans="1:5" x14ac:dyDescent="0.2">
      <c r="A863" s="35">
        <v>2021</v>
      </c>
      <c r="B863" s="36" t="s">
        <v>51</v>
      </c>
      <c r="C863" s="37" t="s">
        <v>262</v>
      </c>
      <c r="D863" s="37" t="s">
        <v>251</v>
      </c>
      <c r="E863" s="38">
        <v>2459054</v>
      </c>
    </row>
    <row r="864" spans="1:5" x14ac:dyDescent="0.2">
      <c r="A864" s="35">
        <v>2021</v>
      </c>
      <c r="B864" s="36" t="s">
        <v>51</v>
      </c>
      <c r="C864" s="37" t="s">
        <v>262</v>
      </c>
      <c r="D864" s="37" t="s">
        <v>252</v>
      </c>
      <c r="E864" s="38">
        <v>2741136</v>
      </c>
    </row>
    <row r="865" spans="1:5" x14ac:dyDescent="0.2">
      <c r="A865" s="35">
        <v>2021</v>
      </c>
      <c r="B865" s="36" t="s">
        <v>51</v>
      </c>
      <c r="C865" s="37" t="s">
        <v>262</v>
      </c>
      <c r="D865" s="37" t="s">
        <v>253</v>
      </c>
      <c r="E865" s="38">
        <v>45613</v>
      </c>
    </row>
    <row r="866" spans="1:5" x14ac:dyDescent="0.2">
      <c r="A866" s="35">
        <v>2021</v>
      </c>
      <c r="B866" s="36" t="s">
        <v>51</v>
      </c>
      <c r="C866" s="37" t="s">
        <v>262</v>
      </c>
      <c r="D866" s="37" t="s">
        <v>254</v>
      </c>
      <c r="E866" s="38">
        <v>8704</v>
      </c>
    </row>
    <row r="867" spans="1:5" x14ac:dyDescent="0.2">
      <c r="A867" s="35">
        <v>2021</v>
      </c>
      <c r="B867" s="36" t="s">
        <v>51</v>
      </c>
      <c r="C867" s="37" t="s">
        <v>262</v>
      </c>
      <c r="D867" s="37" t="s">
        <v>255</v>
      </c>
      <c r="E867" s="38">
        <v>157564</v>
      </c>
    </row>
    <row r="868" spans="1:5" x14ac:dyDescent="0.2">
      <c r="A868" s="35">
        <v>2021</v>
      </c>
      <c r="B868" s="36" t="s">
        <v>51</v>
      </c>
      <c r="C868" s="37" t="s">
        <v>262</v>
      </c>
      <c r="D868" s="37" t="s">
        <v>256</v>
      </c>
      <c r="E868" s="38">
        <v>61420</v>
      </c>
    </row>
    <row r="869" spans="1:5" x14ac:dyDescent="0.2">
      <c r="A869" s="35">
        <v>2021</v>
      </c>
      <c r="B869" s="36" t="s">
        <v>51</v>
      </c>
      <c r="C869" s="37" t="s">
        <v>262</v>
      </c>
      <c r="D869" s="37" t="s">
        <v>257</v>
      </c>
      <c r="E869" s="38">
        <v>2544197</v>
      </c>
    </row>
    <row r="870" spans="1:5" x14ac:dyDescent="0.2">
      <c r="A870" s="35">
        <v>2021</v>
      </c>
      <c r="B870" s="36" t="s">
        <v>51</v>
      </c>
      <c r="C870" s="37" t="s">
        <v>262</v>
      </c>
      <c r="D870" s="37" t="s">
        <v>258</v>
      </c>
      <c r="E870" s="38">
        <v>785958</v>
      </c>
    </row>
    <row r="871" spans="1:5" x14ac:dyDescent="0.2">
      <c r="A871" s="35">
        <v>2021</v>
      </c>
      <c r="B871" s="36" t="s">
        <v>51</v>
      </c>
      <c r="C871" s="37" t="s">
        <v>263</v>
      </c>
      <c r="D871" s="37" t="s">
        <v>230</v>
      </c>
      <c r="E871" s="38">
        <v>1503</v>
      </c>
    </row>
    <row r="872" spans="1:5" x14ac:dyDescent="0.2">
      <c r="A872" s="35">
        <v>2021</v>
      </c>
      <c r="B872" s="36" t="s">
        <v>51</v>
      </c>
      <c r="C872" s="37" t="s">
        <v>263</v>
      </c>
      <c r="D872" s="37" t="s">
        <v>251</v>
      </c>
      <c r="E872" s="38">
        <v>1503</v>
      </c>
    </row>
    <row r="873" spans="1:5" x14ac:dyDescent="0.2">
      <c r="A873" s="35">
        <v>2021</v>
      </c>
      <c r="B873" s="36" t="s">
        <v>59</v>
      </c>
      <c r="C873" s="37" t="s">
        <v>249</v>
      </c>
      <c r="D873" s="37" t="s">
        <v>230</v>
      </c>
      <c r="E873" s="38">
        <v>115513130</v>
      </c>
    </row>
    <row r="874" spans="1:5" x14ac:dyDescent="0.2">
      <c r="A874" s="35">
        <v>2021</v>
      </c>
      <c r="B874" s="36" t="s">
        <v>59</v>
      </c>
      <c r="C874" s="37" t="s">
        <v>249</v>
      </c>
      <c r="D874" s="37" t="s">
        <v>250</v>
      </c>
      <c r="E874" s="38">
        <v>37053903</v>
      </c>
    </row>
    <row r="875" spans="1:5" x14ac:dyDescent="0.2">
      <c r="A875" s="35">
        <v>2021</v>
      </c>
      <c r="B875" s="36" t="s">
        <v>59</v>
      </c>
      <c r="C875" s="37" t="s">
        <v>249</v>
      </c>
      <c r="D875" s="37" t="s">
        <v>266</v>
      </c>
      <c r="E875" s="38">
        <v>-715146</v>
      </c>
    </row>
    <row r="876" spans="1:5" x14ac:dyDescent="0.2">
      <c r="A876" s="35">
        <v>2021</v>
      </c>
      <c r="B876" s="36" t="s">
        <v>59</v>
      </c>
      <c r="C876" s="37" t="s">
        <v>249</v>
      </c>
      <c r="D876" s="37" t="s">
        <v>251</v>
      </c>
      <c r="E876" s="38">
        <v>1339764</v>
      </c>
    </row>
    <row r="877" spans="1:5" x14ac:dyDescent="0.2">
      <c r="A877" s="35">
        <v>2021</v>
      </c>
      <c r="B877" s="36" t="s">
        <v>59</v>
      </c>
      <c r="C877" s="37" t="s">
        <v>249</v>
      </c>
      <c r="D877" s="37" t="s">
        <v>252</v>
      </c>
      <c r="E877" s="38">
        <v>30512718</v>
      </c>
    </row>
    <row r="878" spans="1:5" x14ac:dyDescent="0.2">
      <c r="A878" s="35">
        <v>2021</v>
      </c>
      <c r="B878" s="36" t="s">
        <v>59</v>
      </c>
      <c r="C878" s="37" t="s">
        <v>249</v>
      </c>
      <c r="D878" s="37" t="s">
        <v>264</v>
      </c>
      <c r="E878" s="38">
        <v>34338319</v>
      </c>
    </row>
    <row r="879" spans="1:5" x14ac:dyDescent="0.2">
      <c r="A879" s="35">
        <v>2021</v>
      </c>
      <c r="B879" s="36" t="s">
        <v>59</v>
      </c>
      <c r="C879" s="37" t="s">
        <v>249</v>
      </c>
      <c r="D879" s="37" t="s">
        <v>265</v>
      </c>
      <c r="E879" s="38">
        <v>1201754</v>
      </c>
    </row>
    <row r="880" spans="1:5" x14ac:dyDescent="0.2">
      <c r="A880" s="35">
        <v>2021</v>
      </c>
      <c r="B880" s="36" t="s">
        <v>59</v>
      </c>
      <c r="C880" s="37" t="s">
        <v>249</v>
      </c>
      <c r="D880" s="37" t="s">
        <v>253</v>
      </c>
      <c r="E880" s="38">
        <v>143008</v>
      </c>
    </row>
    <row r="881" spans="1:5" x14ac:dyDescent="0.2">
      <c r="A881" s="35">
        <v>2021</v>
      </c>
      <c r="B881" s="36" t="s">
        <v>59</v>
      </c>
      <c r="C881" s="37" t="s">
        <v>249</v>
      </c>
      <c r="D881" s="37" t="s">
        <v>254</v>
      </c>
      <c r="E881" s="38">
        <v>1149522</v>
      </c>
    </row>
    <row r="882" spans="1:5" x14ac:dyDescent="0.2">
      <c r="A882" s="35">
        <v>2021</v>
      </c>
      <c r="B882" s="36" t="s">
        <v>59</v>
      </c>
      <c r="C882" s="37" t="s">
        <v>249</v>
      </c>
      <c r="D882" s="37" t="s">
        <v>255</v>
      </c>
      <c r="E882" s="38">
        <v>423805</v>
      </c>
    </row>
    <row r="883" spans="1:5" x14ac:dyDescent="0.2">
      <c r="A883" s="35">
        <v>2021</v>
      </c>
      <c r="B883" s="36" t="s">
        <v>59</v>
      </c>
      <c r="C883" s="37" t="s">
        <v>249</v>
      </c>
      <c r="D883" s="37" t="s">
        <v>256</v>
      </c>
      <c r="E883" s="38">
        <v>907355</v>
      </c>
    </row>
    <row r="884" spans="1:5" x14ac:dyDescent="0.2">
      <c r="A884" s="35">
        <v>2021</v>
      </c>
      <c r="B884" s="36" t="s">
        <v>59</v>
      </c>
      <c r="C884" s="37" t="s">
        <v>249</v>
      </c>
      <c r="D884" s="37" t="s">
        <v>257</v>
      </c>
      <c r="E884" s="38">
        <v>7696887</v>
      </c>
    </row>
    <row r="885" spans="1:5" x14ac:dyDescent="0.2">
      <c r="A885" s="35">
        <v>2021</v>
      </c>
      <c r="B885" s="36" t="s">
        <v>59</v>
      </c>
      <c r="C885" s="37" t="s">
        <v>249</v>
      </c>
      <c r="D885" s="37" t="s">
        <v>258</v>
      </c>
      <c r="E885" s="38">
        <v>1461241</v>
      </c>
    </row>
    <row r="886" spans="1:5" x14ac:dyDescent="0.2">
      <c r="A886" s="35">
        <v>2021</v>
      </c>
      <c r="B886" s="36" t="s">
        <v>59</v>
      </c>
      <c r="C886" s="37" t="s">
        <v>259</v>
      </c>
      <c r="D886" s="37" t="s">
        <v>230</v>
      </c>
      <c r="E886" s="38">
        <v>1398691</v>
      </c>
    </row>
    <row r="887" spans="1:5" x14ac:dyDescent="0.2">
      <c r="A887" s="35">
        <v>2021</v>
      </c>
      <c r="B887" s="36" t="s">
        <v>59</v>
      </c>
      <c r="C887" s="37" t="s">
        <v>259</v>
      </c>
      <c r="D887" s="37" t="s">
        <v>250</v>
      </c>
      <c r="E887" s="38">
        <v>2292</v>
      </c>
    </row>
    <row r="888" spans="1:5" x14ac:dyDescent="0.2">
      <c r="A888" s="35">
        <v>2021</v>
      </c>
      <c r="B888" s="36" t="s">
        <v>59</v>
      </c>
      <c r="C888" s="37" t="s">
        <v>259</v>
      </c>
      <c r="D888" s="37" t="s">
        <v>251</v>
      </c>
      <c r="E888" s="38">
        <v>10759</v>
      </c>
    </row>
    <row r="889" spans="1:5" x14ac:dyDescent="0.2">
      <c r="A889" s="35">
        <v>2021</v>
      </c>
      <c r="B889" s="36" t="s">
        <v>59</v>
      </c>
      <c r="C889" s="37" t="s">
        <v>259</v>
      </c>
      <c r="D889" s="37" t="s">
        <v>252</v>
      </c>
      <c r="E889" s="38">
        <v>597639</v>
      </c>
    </row>
    <row r="890" spans="1:5" x14ac:dyDescent="0.2">
      <c r="A890" s="35">
        <v>2021</v>
      </c>
      <c r="B890" s="36" t="s">
        <v>59</v>
      </c>
      <c r="C890" s="37" t="s">
        <v>259</v>
      </c>
      <c r="D890" s="37" t="s">
        <v>253</v>
      </c>
      <c r="E890" s="38">
        <v>15623</v>
      </c>
    </row>
    <row r="891" spans="1:5" x14ac:dyDescent="0.2">
      <c r="A891" s="35">
        <v>2021</v>
      </c>
      <c r="B891" s="36" t="s">
        <v>59</v>
      </c>
      <c r="C891" s="37" t="s">
        <v>259</v>
      </c>
      <c r="D891" s="37" t="s">
        <v>254</v>
      </c>
      <c r="E891" s="38">
        <v>152465</v>
      </c>
    </row>
    <row r="892" spans="1:5" x14ac:dyDescent="0.2">
      <c r="A892" s="35">
        <v>2021</v>
      </c>
      <c r="B892" s="36" t="s">
        <v>59</v>
      </c>
      <c r="C892" s="37" t="s">
        <v>259</v>
      </c>
      <c r="D892" s="37" t="s">
        <v>256</v>
      </c>
      <c r="E892" s="38">
        <v>1552</v>
      </c>
    </row>
    <row r="893" spans="1:5" x14ac:dyDescent="0.2">
      <c r="A893" s="35">
        <v>2021</v>
      </c>
      <c r="B893" s="36" t="s">
        <v>59</v>
      </c>
      <c r="C893" s="37" t="s">
        <v>259</v>
      </c>
      <c r="D893" s="37" t="s">
        <v>258</v>
      </c>
      <c r="E893" s="38">
        <v>618362</v>
      </c>
    </row>
    <row r="894" spans="1:5" x14ac:dyDescent="0.2">
      <c r="A894" s="35">
        <v>2021</v>
      </c>
      <c r="B894" s="36" t="s">
        <v>59</v>
      </c>
      <c r="C894" s="37" t="s">
        <v>260</v>
      </c>
      <c r="D894" s="37" t="s">
        <v>230</v>
      </c>
      <c r="E894" s="38">
        <v>676502</v>
      </c>
    </row>
    <row r="895" spans="1:5" x14ac:dyDescent="0.2">
      <c r="A895" s="35">
        <v>2021</v>
      </c>
      <c r="B895" s="36" t="s">
        <v>59</v>
      </c>
      <c r="C895" s="37" t="s">
        <v>260</v>
      </c>
      <c r="D895" s="37" t="s">
        <v>250</v>
      </c>
      <c r="E895" s="38">
        <v>0</v>
      </c>
    </row>
    <row r="896" spans="1:5" x14ac:dyDescent="0.2">
      <c r="A896" s="35">
        <v>2021</v>
      </c>
      <c r="B896" s="36" t="s">
        <v>59</v>
      </c>
      <c r="C896" s="37" t="s">
        <v>260</v>
      </c>
      <c r="D896" s="37" t="s">
        <v>252</v>
      </c>
      <c r="E896" s="38">
        <v>572984</v>
      </c>
    </row>
    <row r="897" spans="1:5" x14ac:dyDescent="0.2">
      <c r="A897" s="35">
        <v>2021</v>
      </c>
      <c r="B897" s="36" t="s">
        <v>59</v>
      </c>
      <c r="C897" s="37" t="s">
        <v>260</v>
      </c>
      <c r="D897" s="37" t="s">
        <v>253</v>
      </c>
      <c r="E897" s="38">
        <v>55588</v>
      </c>
    </row>
    <row r="898" spans="1:5" x14ac:dyDescent="0.2">
      <c r="A898" s="35">
        <v>2021</v>
      </c>
      <c r="B898" s="36" t="s">
        <v>59</v>
      </c>
      <c r="C898" s="37" t="s">
        <v>260</v>
      </c>
      <c r="D898" s="37" t="s">
        <v>254</v>
      </c>
      <c r="E898" s="38">
        <v>2320</v>
      </c>
    </row>
    <row r="899" spans="1:5" x14ac:dyDescent="0.2">
      <c r="A899" s="35">
        <v>2021</v>
      </c>
      <c r="B899" s="36" t="s">
        <v>59</v>
      </c>
      <c r="C899" s="37" t="s">
        <v>260</v>
      </c>
      <c r="D899" s="37" t="s">
        <v>255</v>
      </c>
      <c r="E899" s="38">
        <v>128</v>
      </c>
    </row>
    <row r="900" spans="1:5" x14ac:dyDescent="0.2">
      <c r="A900" s="35">
        <v>2021</v>
      </c>
      <c r="B900" s="36" t="s">
        <v>59</v>
      </c>
      <c r="C900" s="37" t="s">
        <v>260</v>
      </c>
      <c r="D900" s="37" t="s">
        <v>256</v>
      </c>
      <c r="E900" s="38">
        <v>45482</v>
      </c>
    </row>
    <row r="901" spans="1:5" x14ac:dyDescent="0.2">
      <c r="A901" s="35">
        <v>2021</v>
      </c>
      <c r="B901" s="36" t="s">
        <v>59</v>
      </c>
      <c r="C901" s="37" t="s">
        <v>260</v>
      </c>
      <c r="D901" s="37" t="s">
        <v>258</v>
      </c>
      <c r="E901" s="38">
        <v>0</v>
      </c>
    </row>
    <row r="902" spans="1:5" x14ac:dyDescent="0.2">
      <c r="A902" s="35">
        <v>2021</v>
      </c>
      <c r="B902" s="36" t="s">
        <v>59</v>
      </c>
      <c r="C902" s="37" t="s">
        <v>261</v>
      </c>
      <c r="D902" s="37" t="s">
        <v>230</v>
      </c>
      <c r="E902" s="38">
        <v>12062068</v>
      </c>
    </row>
    <row r="903" spans="1:5" x14ac:dyDescent="0.2">
      <c r="A903" s="35">
        <v>2021</v>
      </c>
      <c r="B903" s="36" t="s">
        <v>59</v>
      </c>
      <c r="C903" s="37" t="s">
        <v>261</v>
      </c>
      <c r="D903" s="37" t="s">
        <v>250</v>
      </c>
      <c r="E903" s="38">
        <v>341252</v>
      </c>
    </row>
    <row r="904" spans="1:5" x14ac:dyDescent="0.2">
      <c r="A904" s="35">
        <v>2021</v>
      </c>
      <c r="B904" s="36" t="s">
        <v>59</v>
      </c>
      <c r="C904" s="37" t="s">
        <v>261</v>
      </c>
      <c r="D904" s="37" t="s">
        <v>252</v>
      </c>
      <c r="E904" s="38">
        <v>10474056</v>
      </c>
    </row>
    <row r="905" spans="1:5" x14ac:dyDescent="0.2">
      <c r="A905" s="35">
        <v>2021</v>
      </c>
      <c r="B905" s="36" t="s">
        <v>59</v>
      </c>
      <c r="C905" s="37" t="s">
        <v>261</v>
      </c>
      <c r="D905" s="37" t="s">
        <v>265</v>
      </c>
      <c r="E905" s="38">
        <v>1190076</v>
      </c>
    </row>
    <row r="906" spans="1:5" x14ac:dyDescent="0.2">
      <c r="A906" s="35">
        <v>2021</v>
      </c>
      <c r="B906" s="36" t="s">
        <v>59</v>
      </c>
      <c r="C906" s="37" t="s">
        <v>261</v>
      </c>
      <c r="D906" s="37" t="s">
        <v>253</v>
      </c>
      <c r="E906" s="38">
        <v>9834</v>
      </c>
    </row>
    <row r="907" spans="1:5" x14ac:dyDescent="0.2">
      <c r="A907" s="35">
        <v>2021</v>
      </c>
      <c r="B907" s="36" t="s">
        <v>59</v>
      </c>
      <c r="C907" s="37" t="s">
        <v>261</v>
      </c>
      <c r="D907" s="37" t="s">
        <v>254</v>
      </c>
      <c r="E907" s="38">
        <v>0</v>
      </c>
    </row>
    <row r="908" spans="1:5" x14ac:dyDescent="0.2">
      <c r="A908" s="35">
        <v>2021</v>
      </c>
      <c r="B908" s="36" t="s">
        <v>59</v>
      </c>
      <c r="C908" s="37" t="s">
        <v>261</v>
      </c>
      <c r="D908" s="37" t="s">
        <v>256</v>
      </c>
      <c r="E908" s="38">
        <v>9596</v>
      </c>
    </row>
    <row r="909" spans="1:5" x14ac:dyDescent="0.2">
      <c r="A909" s="35">
        <v>2021</v>
      </c>
      <c r="B909" s="36" t="s">
        <v>59</v>
      </c>
      <c r="C909" s="37" t="s">
        <v>261</v>
      </c>
      <c r="D909" s="37" t="s">
        <v>258</v>
      </c>
      <c r="E909" s="38">
        <v>37254</v>
      </c>
    </row>
    <row r="910" spans="1:5" x14ac:dyDescent="0.2">
      <c r="A910" s="35">
        <v>2021</v>
      </c>
      <c r="B910" s="36" t="s">
        <v>59</v>
      </c>
      <c r="C910" s="37" t="s">
        <v>262</v>
      </c>
      <c r="D910" s="37" t="s">
        <v>230</v>
      </c>
      <c r="E910" s="38">
        <v>19924161</v>
      </c>
    </row>
    <row r="911" spans="1:5" x14ac:dyDescent="0.2">
      <c r="A911" s="35">
        <v>2021</v>
      </c>
      <c r="B911" s="36" t="s">
        <v>59</v>
      </c>
      <c r="C911" s="37" t="s">
        <v>262</v>
      </c>
      <c r="D911" s="37" t="s">
        <v>251</v>
      </c>
      <c r="E911" s="38">
        <v>66659</v>
      </c>
    </row>
    <row r="912" spans="1:5" x14ac:dyDescent="0.2">
      <c r="A912" s="35">
        <v>2021</v>
      </c>
      <c r="B912" s="36" t="s">
        <v>59</v>
      </c>
      <c r="C912" s="37" t="s">
        <v>262</v>
      </c>
      <c r="D912" s="37" t="s">
        <v>252</v>
      </c>
      <c r="E912" s="38">
        <v>7096289</v>
      </c>
    </row>
    <row r="913" spans="1:5" x14ac:dyDescent="0.2">
      <c r="A913" s="35">
        <v>2021</v>
      </c>
      <c r="B913" s="36" t="s">
        <v>59</v>
      </c>
      <c r="C913" s="37" t="s">
        <v>262</v>
      </c>
      <c r="D913" s="37" t="s">
        <v>264</v>
      </c>
      <c r="E913" s="38">
        <v>7014799</v>
      </c>
    </row>
    <row r="914" spans="1:5" x14ac:dyDescent="0.2">
      <c r="A914" s="35">
        <v>2021</v>
      </c>
      <c r="B914" s="36" t="s">
        <v>59</v>
      </c>
      <c r="C914" s="37" t="s">
        <v>262</v>
      </c>
      <c r="D914" s="37" t="s">
        <v>253</v>
      </c>
      <c r="E914" s="38">
        <v>62047</v>
      </c>
    </row>
    <row r="915" spans="1:5" x14ac:dyDescent="0.2">
      <c r="A915" s="35">
        <v>2021</v>
      </c>
      <c r="B915" s="36" t="s">
        <v>59</v>
      </c>
      <c r="C915" s="37" t="s">
        <v>262</v>
      </c>
      <c r="D915" s="37" t="s">
        <v>254</v>
      </c>
      <c r="E915" s="38">
        <v>0</v>
      </c>
    </row>
    <row r="916" spans="1:5" x14ac:dyDescent="0.2">
      <c r="A916" s="35">
        <v>2021</v>
      </c>
      <c r="B916" s="36" t="s">
        <v>59</v>
      </c>
      <c r="C916" s="37" t="s">
        <v>262</v>
      </c>
      <c r="D916" s="37" t="s">
        <v>255</v>
      </c>
      <c r="E916" s="38">
        <v>338365</v>
      </c>
    </row>
    <row r="917" spans="1:5" x14ac:dyDescent="0.2">
      <c r="A917" s="35">
        <v>2021</v>
      </c>
      <c r="B917" s="36" t="s">
        <v>59</v>
      </c>
      <c r="C917" s="37" t="s">
        <v>262</v>
      </c>
      <c r="D917" s="37" t="s">
        <v>256</v>
      </c>
      <c r="E917" s="38">
        <v>850726</v>
      </c>
    </row>
    <row r="918" spans="1:5" x14ac:dyDescent="0.2">
      <c r="A918" s="35">
        <v>2021</v>
      </c>
      <c r="B918" s="36" t="s">
        <v>59</v>
      </c>
      <c r="C918" s="37" t="s">
        <v>262</v>
      </c>
      <c r="D918" s="37" t="s">
        <v>257</v>
      </c>
      <c r="E918" s="38">
        <v>3689652</v>
      </c>
    </row>
    <row r="919" spans="1:5" x14ac:dyDescent="0.2">
      <c r="A919" s="35">
        <v>2021</v>
      </c>
      <c r="B919" s="36" t="s">
        <v>59</v>
      </c>
      <c r="C919" s="37" t="s">
        <v>262</v>
      </c>
      <c r="D919" s="37" t="s">
        <v>258</v>
      </c>
      <c r="E919" s="38">
        <v>805626</v>
      </c>
    </row>
    <row r="920" spans="1:5" x14ac:dyDescent="0.2">
      <c r="A920" s="35">
        <v>2021</v>
      </c>
      <c r="B920" s="36" t="s">
        <v>59</v>
      </c>
      <c r="C920" s="37" t="s">
        <v>263</v>
      </c>
      <c r="D920" s="37" t="s">
        <v>230</v>
      </c>
      <c r="E920" s="38">
        <v>81451708</v>
      </c>
    </row>
    <row r="921" spans="1:5" x14ac:dyDescent="0.2">
      <c r="A921" s="35">
        <v>2021</v>
      </c>
      <c r="B921" s="36" t="s">
        <v>59</v>
      </c>
      <c r="C921" s="37" t="s">
        <v>263</v>
      </c>
      <c r="D921" s="37" t="s">
        <v>250</v>
      </c>
      <c r="E921" s="38">
        <v>36710359</v>
      </c>
    </row>
    <row r="922" spans="1:5" x14ac:dyDescent="0.2">
      <c r="A922" s="35">
        <v>2021</v>
      </c>
      <c r="B922" s="36" t="s">
        <v>59</v>
      </c>
      <c r="C922" s="37" t="s">
        <v>263</v>
      </c>
      <c r="D922" s="37" t="s">
        <v>266</v>
      </c>
      <c r="E922" s="38">
        <v>-715146</v>
      </c>
    </row>
    <row r="923" spans="1:5" x14ac:dyDescent="0.2">
      <c r="A923" s="35">
        <v>2021</v>
      </c>
      <c r="B923" s="36" t="s">
        <v>59</v>
      </c>
      <c r="C923" s="37" t="s">
        <v>263</v>
      </c>
      <c r="D923" s="37" t="s">
        <v>251</v>
      </c>
      <c r="E923" s="38">
        <v>1262346</v>
      </c>
    </row>
    <row r="924" spans="1:5" x14ac:dyDescent="0.2">
      <c r="A924" s="35">
        <v>2021</v>
      </c>
      <c r="B924" s="36" t="s">
        <v>59</v>
      </c>
      <c r="C924" s="37" t="s">
        <v>263</v>
      </c>
      <c r="D924" s="37" t="s">
        <v>252</v>
      </c>
      <c r="E924" s="38">
        <v>11771750</v>
      </c>
    </row>
    <row r="925" spans="1:5" x14ac:dyDescent="0.2">
      <c r="A925" s="35">
        <v>2021</v>
      </c>
      <c r="B925" s="36" t="s">
        <v>59</v>
      </c>
      <c r="C925" s="37" t="s">
        <v>263</v>
      </c>
      <c r="D925" s="37" t="s">
        <v>264</v>
      </c>
      <c r="E925" s="38">
        <v>27323520</v>
      </c>
    </row>
    <row r="926" spans="1:5" x14ac:dyDescent="0.2">
      <c r="A926" s="35">
        <v>2021</v>
      </c>
      <c r="B926" s="36" t="s">
        <v>59</v>
      </c>
      <c r="C926" s="37" t="s">
        <v>263</v>
      </c>
      <c r="D926" s="37" t="s">
        <v>265</v>
      </c>
      <c r="E926" s="38">
        <v>11678</v>
      </c>
    </row>
    <row r="927" spans="1:5" x14ac:dyDescent="0.2">
      <c r="A927" s="35">
        <v>2021</v>
      </c>
      <c r="B927" s="36" t="s">
        <v>59</v>
      </c>
      <c r="C927" s="37" t="s">
        <v>263</v>
      </c>
      <c r="D927" s="37" t="s">
        <v>253</v>
      </c>
      <c r="E927" s="38">
        <v>-83</v>
      </c>
    </row>
    <row r="928" spans="1:5" x14ac:dyDescent="0.2">
      <c r="A928" s="35">
        <v>2021</v>
      </c>
      <c r="B928" s="36" t="s">
        <v>59</v>
      </c>
      <c r="C928" s="37" t="s">
        <v>263</v>
      </c>
      <c r="D928" s="37" t="s">
        <v>254</v>
      </c>
      <c r="E928" s="38">
        <v>994737</v>
      </c>
    </row>
    <row r="929" spans="1:5" x14ac:dyDescent="0.2">
      <c r="A929" s="35">
        <v>2021</v>
      </c>
      <c r="B929" s="36" t="s">
        <v>59</v>
      </c>
      <c r="C929" s="37" t="s">
        <v>263</v>
      </c>
      <c r="D929" s="37" t="s">
        <v>255</v>
      </c>
      <c r="E929" s="38">
        <v>85312</v>
      </c>
    </row>
    <row r="930" spans="1:5" x14ac:dyDescent="0.2">
      <c r="A930" s="35">
        <v>2021</v>
      </c>
      <c r="B930" s="36" t="s">
        <v>59</v>
      </c>
      <c r="C930" s="37" t="s">
        <v>263</v>
      </c>
      <c r="D930" s="37" t="s">
        <v>257</v>
      </c>
      <c r="E930" s="38">
        <v>4007235</v>
      </c>
    </row>
    <row r="931" spans="1:5" x14ac:dyDescent="0.2">
      <c r="A931" s="35">
        <v>2021</v>
      </c>
      <c r="B931" s="36" t="s">
        <v>61</v>
      </c>
      <c r="C931" s="37" t="s">
        <v>249</v>
      </c>
      <c r="D931" s="37" t="s">
        <v>230</v>
      </c>
      <c r="E931" s="38">
        <v>59195769</v>
      </c>
    </row>
    <row r="932" spans="1:5" x14ac:dyDescent="0.2">
      <c r="A932" s="35">
        <v>2021</v>
      </c>
      <c r="B932" s="36" t="s">
        <v>61</v>
      </c>
      <c r="C932" s="37" t="s">
        <v>249</v>
      </c>
      <c r="D932" s="37" t="s">
        <v>250</v>
      </c>
      <c r="E932" s="38">
        <v>15764275</v>
      </c>
    </row>
    <row r="933" spans="1:5" x14ac:dyDescent="0.2">
      <c r="A933" s="35">
        <v>2021</v>
      </c>
      <c r="B933" s="36" t="s">
        <v>61</v>
      </c>
      <c r="C933" s="37" t="s">
        <v>249</v>
      </c>
      <c r="D933" s="37" t="s">
        <v>251</v>
      </c>
      <c r="E933" s="38">
        <v>679125</v>
      </c>
    </row>
    <row r="934" spans="1:5" x14ac:dyDescent="0.2">
      <c r="A934" s="35">
        <v>2021</v>
      </c>
      <c r="B934" s="36" t="s">
        <v>61</v>
      </c>
      <c r="C934" s="37" t="s">
        <v>249</v>
      </c>
      <c r="D934" s="37" t="s">
        <v>252</v>
      </c>
      <c r="E934" s="38">
        <v>12790625</v>
      </c>
    </row>
    <row r="935" spans="1:5" x14ac:dyDescent="0.2">
      <c r="A935" s="35">
        <v>2021</v>
      </c>
      <c r="B935" s="36" t="s">
        <v>61</v>
      </c>
      <c r="C935" s="37" t="s">
        <v>249</v>
      </c>
      <c r="D935" s="37" t="s">
        <v>264</v>
      </c>
      <c r="E935" s="38">
        <v>14122771</v>
      </c>
    </row>
    <row r="936" spans="1:5" x14ac:dyDescent="0.2">
      <c r="A936" s="35">
        <v>2021</v>
      </c>
      <c r="B936" s="36" t="s">
        <v>61</v>
      </c>
      <c r="C936" s="37" t="s">
        <v>249</v>
      </c>
      <c r="D936" s="37" t="s">
        <v>253</v>
      </c>
      <c r="E936" s="38">
        <v>313214</v>
      </c>
    </row>
    <row r="937" spans="1:5" x14ac:dyDescent="0.2">
      <c r="A937" s="35">
        <v>2021</v>
      </c>
      <c r="B937" s="36" t="s">
        <v>61</v>
      </c>
      <c r="C937" s="37" t="s">
        <v>249</v>
      </c>
      <c r="D937" s="37" t="s">
        <v>254</v>
      </c>
      <c r="E937" s="38">
        <v>105131</v>
      </c>
    </row>
    <row r="938" spans="1:5" x14ac:dyDescent="0.2">
      <c r="A938" s="35">
        <v>2021</v>
      </c>
      <c r="B938" s="36" t="s">
        <v>61</v>
      </c>
      <c r="C938" s="37" t="s">
        <v>249</v>
      </c>
      <c r="D938" s="37" t="s">
        <v>255</v>
      </c>
      <c r="E938" s="38">
        <v>1893473</v>
      </c>
    </row>
    <row r="939" spans="1:5" x14ac:dyDescent="0.2">
      <c r="A939" s="35">
        <v>2021</v>
      </c>
      <c r="B939" s="36" t="s">
        <v>61</v>
      </c>
      <c r="C939" s="37" t="s">
        <v>249</v>
      </c>
      <c r="D939" s="37" t="s">
        <v>256</v>
      </c>
      <c r="E939" s="38">
        <v>313623</v>
      </c>
    </row>
    <row r="940" spans="1:5" x14ac:dyDescent="0.2">
      <c r="A940" s="35">
        <v>2021</v>
      </c>
      <c r="B940" s="36" t="s">
        <v>61</v>
      </c>
      <c r="C940" s="37" t="s">
        <v>249</v>
      </c>
      <c r="D940" s="37" t="s">
        <v>257</v>
      </c>
      <c r="E940" s="38">
        <v>12271314</v>
      </c>
    </row>
    <row r="941" spans="1:5" x14ac:dyDescent="0.2">
      <c r="A941" s="35">
        <v>2021</v>
      </c>
      <c r="B941" s="36" t="s">
        <v>61</v>
      </c>
      <c r="C941" s="37" t="s">
        <v>249</v>
      </c>
      <c r="D941" s="37" t="s">
        <v>258</v>
      </c>
      <c r="E941" s="38">
        <v>942219</v>
      </c>
    </row>
    <row r="942" spans="1:5" x14ac:dyDescent="0.2">
      <c r="A942" s="35">
        <v>2021</v>
      </c>
      <c r="B942" s="36" t="s">
        <v>61</v>
      </c>
      <c r="C942" s="37" t="s">
        <v>259</v>
      </c>
      <c r="D942" s="37" t="s">
        <v>230</v>
      </c>
      <c r="E942" s="38">
        <v>1007329</v>
      </c>
    </row>
    <row r="943" spans="1:5" x14ac:dyDescent="0.2">
      <c r="A943" s="35">
        <v>2021</v>
      </c>
      <c r="B943" s="36" t="s">
        <v>61</v>
      </c>
      <c r="C943" s="37" t="s">
        <v>259</v>
      </c>
      <c r="D943" s="37" t="s">
        <v>250</v>
      </c>
      <c r="E943" s="38">
        <v>133683</v>
      </c>
    </row>
    <row r="944" spans="1:5" x14ac:dyDescent="0.2">
      <c r="A944" s="35">
        <v>2021</v>
      </c>
      <c r="B944" s="36" t="s">
        <v>61</v>
      </c>
      <c r="C944" s="37" t="s">
        <v>259</v>
      </c>
      <c r="D944" s="37" t="s">
        <v>251</v>
      </c>
      <c r="E944" s="38">
        <v>50877</v>
      </c>
    </row>
    <row r="945" spans="1:5" x14ac:dyDescent="0.2">
      <c r="A945" s="35">
        <v>2021</v>
      </c>
      <c r="B945" s="36" t="s">
        <v>61</v>
      </c>
      <c r="C945" s="37" t="s">
        <v>259</v>
      </c>
      <c r="D945" s="37" t="s">
        <v>252</v>
      </c>
      <c r="E945" s="38">
        <v>131272</v>
      </c>
    </row>
    <row r="946" spans="1:5" x14ac:dyDescent="0.2">
      <c r="A946" s="35">
        <v>2021</v>
      </c>
      <c r="B946" s="36" t="s">
        <v>61</v>
      </c>
      <c r="C946" s="37" t="s">
        <v>259</v>
      </c>
      <c r="D946" s="37" t="s">
        <v>254</v>
      </c>
      <c r="E946" s="38">
        <v>1789</v>
      </c>
    </row>
    <row r="947" spans="1:5" x14ac:dyDescent="0.2">
      <c r="A947" s="35">
        <v>2021</v>
      </c>
      <c r="B947" s="36" t="s">
        <v>61</v>
      </c>
      <c r="C947" s="37" t="s">
        <v>259</v>
      </c>
      <c r="D947" s="37" t="s">
        <v>256</v>
      </c>
      <c r="E947" s="38">
        <v>5247</v>
      </c>
    </row>
    <row r="948" spans="1:5" x14ac:dyDescent="0.2">
      <c r="A948" s="35">
        <v>2021</v>
      </c>
      <c r="B948" s="36" t="s">
        <v>61</v>
      </c>
      <c r="C948" s="37" t="s">
        <v>259</v>
      </c>
      <c r="D948" s="37" t="s">
        <v>258</v>
      </c>
      <c r="E948" s="38">
        <v>684462</v>
      </c>
    </row>
    <row r="949" spans="1:5" x14ac:dyDescent="0.2">
      <c r="A949" s="35">
        <v>2021</v>
      </c>
      <c r="B949" s="36" t="s">
        <v>61</v>
      </c>
      <c r="C949" s="37" t="s">
        <v>260</v>
      </c>
      <c r="D949" s="37" t="s">
        <v>230</v>
      </c>
      <c r="E949" s="38">
        <v>301166</v>
      </c>
    </row>
    <row r="950" spans="1:5" x14ac:dyDescent="0.2">
      <c r="A950" s="35">
        <v>2021</v>
      </c>
      <c r="B950" s="36" t="s">
        <v>61</v>
      </c>
      <c r="C950" s="37" t="s">
        <v>260</v>
      </c>
      <c r="D950" s="37" t="s">
        <v>250</v>
      </c>
      <c r="E950" s="38">
        <v>9372</v>
      </c>
    </row>
    <row r="951" spans="1:5" x14ac:dyDescent="0.2">
      <c r="A951" s="35">
        <v>2021</v>
      </c>
      <c r="B951" s="36" t="s">
        <v>61</v>
      </c>
      <c r="C951" s="37" t="s">
        <v>260</v>
      </c>
      <c r="D951" s="37" t="s">
        <v>252</v>
      </c>
      <c r="E951" s="38">
        <v>107457</v>
      </c>
    </row>
    <row r="952" spans="1:5" x14ac:dyDescent="0.2">
      <c r="A952" s="35">
        <v>2021</v>
      </c>
      <c r="B952" s="36" t="s">
        <v>61</v>
      </c>
      <c r="C952" s="37" t="s">
        <v>260</v>
      </c>
      <c r="D952" s="37" t="s">
        <v>253</v>
      </c>
      <c r="E952" s="38">
        <v>38569</v>
      </c>
    </row>
    <row r="953" spans="1:5" x14ac:dyDescent="0.2">
      <c r="A953" s="35">
        <v>2021</v>
      </c>
      <c r="B953" s="36" t="s">
        <v>61</v>
      </c>
      <c r="C953" s="37" t="s">
        <v>260</v>
      </c>
      <c r="D953" s="37" t="s">
        <v>254</v>
      </c>
      <c r="E953" s="38">
        <v>2091</v>
      </c>
    </row>
    <row r="954" spans="1:5" x14ac:dyDescent="0.2">
      <c r="A954" s="35">
        <v>2021</v>
      </c>
      <c r="B954" s="36" t="s">
        <v>61</v>
      </c>
      <c r="C954" s="37" t="s">
        <v>260</v>
      </c>
      <c r="D954" s="37" t="s">
        <v>256</v>
      </c>
      <c r="E954" s="38">
        <v>18717</v>
      </c>
    </row>
    <row r="955" spans="1:5" x14ac:dyDescent="0.2">
      <c r="A955" s="35">
        <v>2021</v>
      </c>
      <c r="B955" s="36" t="s">
        <v>61</v>
      </c>
      <c r="C955" s="37" t="s">
        <v>260</v>
      </c>
      <c r="D955" s="37" t="s">
        <v>257</v>
      </c>
      <c r="E955" s="38">
        <v>23635</v>
      </c>
    </row>
    <row r="956" spans="1:5" x14ac:dyDescent="0.2">
      <c r="A956" s="35">
        <v>2021</v>
      </c>
      <c r="B956" s="36" t="s">
        <v>61</v>
      </c>
      <c r="C956" s="37" t="s">
        <v>260</v>
      </c>
      <c r="D956" s="37" t="s">
        <v>258</v>
      </c>
      <c r="E956" s="38">
        <v>101325</v>
      </c>
    </row>
    <row r="957" spans="1:5" x14ac:dyDescent="0.2">
      <c r="A957" s="35">
        <v>2021</v>
      </c>
      <c r="B957" s="36" t="s">
        <v>61</v>
      </c>
      <c r="C957" s="37" t="s">
        <v>261</v>
      </c>
      <c r="D957" s="37" t="s">
        <v>230</v>
      </c>
      <c r="E957" s="38">
        <v>1193198</v>
      </c>
    </row>
    <row r="958" spans="1:5" x14ac:dyDescent="0.2">
      <c r="A958" s="35">
        <v>2021</v>
      </c>
      <c r="B958" s="36" t="s">
        <v>61</v>
      </c>
      <c r="C958" s="37" t="s">
        <v>261</v>
      </c>
      <c r="D958" s="37" t="s">
        <v>252</v>
      </c>
      <c r="E958" s="38">
        <v>999961</v>
      </c>
    </row>
    <row r="959" spans="1:5" x14ac:dyDescent="0.2">
      <c r="A959" s="35">
        <v>2021</v>
      </c>
      <c r="B959" s="36" t="s">
        <v>61</v>
      </c>
      <c r="C959" s="37" t="s">
        <v>261</v>
      </c>
      <c r="D959" s="37" t="s">
        <v>254</v>
      </c>
      <c r="E959" s="38">
        <v>3150</v>
      </c>
    </row>
    <row r="960" spans="1:5" x14ac:dyDescent="0.2">
      <c r="A960" s="35">
        <v>2021</v>
      </c>
      <c r="B960" s="36" t="s">
        <v>61</v>
      </c>
      <c r="C960" s="37" t="s">
        <v>261</v>
      </c>
      <c r="D960" s="37" t="s">
        <v>256</v>
      </c>
      <c r="E960" s="38">
        <v>51208</v>
      </c>
    </row>
    <row r="961" spans="1:5" x14ac:dyDescent="0.2">
      <c r="A961" s="35">
        <v>2021</v>
      </c>
      <c r="B961" s="36" t="s">
        <v>61</v>
      </c>
      <c r="C961" s="37" t="s">
        <v>261</v>
      </c>
      <c r="D961" s="37" t="s">
        <v>258</v>
      </c>
      <c r="E961" s="38">
        <v>138879</v>
      </c>
    </row>
    <row r="962" spans="1:5" x14ac:dyDescent="0.2">
      <c r="A962" s="35">
        <v>2021</v>
      </c>
      <c r="B962" s="36" t="s">
        <v>61</v>
      </c>
      <c r="C962" s="37" t="s">
        <v>262</v>
      </c>
      <c r="D962" s="37" t="s">
        <v>230</v>
      </c>
      <c r="E962" s="38">
        <v>14196983</v>
      </c>
    </row>
    <row r="963" spans="1:5" x14ac:dyDescent="0.2">
      <c r="A963" s="35">
        <v>2021</v>
      </c>
      <c r="B963" s="36" t="s">
        <v>61</v>
      </c>
      <c r="C963" s="37" t="s">
        <v>262</v>
      </c>
      <c r="D963" s="37" t="s">
        <v>251</v>
      </c>
      <c r="E963" s="38">
        <v>197997</v>
      </c>
    </row>
    <row r="964" spans="1:5" x14ac:dyDescent="0.2">
      <c r="A964" s="35">
        <v>2021</v>
      </c>
      <c r="B964" s="36" t="s">
        <v>61</v>
      </c>
      <c r="C964" s="37" t="s">
        <v>262</v>
      </c>
      <c r="D964" s="37" t="s">
        <v>252</v>
      </c>
      <c r="E964" s="38">
        <v>3251900</v>
      </c>
    </row>
    <row r="965" spans="1:5" x14ac:dyDescent="0.2">
      <c r="A965" s="35">
        <v>2021</v>
      </c>
      <c r="B965" s="36" t="s">
        <v>61</v>
      </c>
      <c r="C965" s="37" t="s">
        <v>262</v>
      </c>
      <c r="D965" s="37" t="s">
        <v>253</v>
      </c>
      <c r="E965" s="38">
        <v>158550</v>
      </c>
    </row>
    <row r="966" spans="1:5" x14ac:dyDescent="0.2">
      <c r="A966" s="35">
        <v>2021</v>
      </c>
      <c r="B966" s="36" t="s">
        <v>61</v>
      </c>
      <c r="C966" s="37" t="s">
        <v>262</v>
      </c>
      <c r="D966" s="37" t="s">
        <v>254</v>
      </c>
      <c r="E966" s="38">
        <v>5287</v>
      </c>
    </row>
    <row r="967" spans="1:5" x14ac:dyDescent="0.2">
      <c r="A967" s="35">
        <v>2021</v>
      </c>
      <c r="B967" s="36" t="s">
        <v>61</v>
      </c>
      <c r="C967" s="37" t="s">
        <v>262</v>
      </c>
      <c r="D967" s="37" t="s">
        <v>255</v>
      </c>
      <c r="E967" s="38">
        <v>1860806</v>
      </c>
    </row>
    <row r="968" spans="1:5" x14ac:dyDescent="0.2">
      <c r="A968" s="35">
        <v>2021</v>
      </c>
      <c r="B968" s="36" t="s">
        <v>61</v>
      </c>
      <c r="C968" s="37" t="s">
        <v>262</v>
      </c>
      <c r="D968" s="37" t="s">
        <v>256</v>
      </c>
      <c r="E968" s="38">
        <v>114264</v>
      </c>
    </row>
    <row r="969" spans="1:5" x14ac:dyDescent="0.2">
      <c r="A969" s="35">
        <v>2021</v>
      </c>
      <c r="B969" s="36" t="s">
        <v>61</v>
      </c>
      <c r="C969" s="37" t="s">
        <v>262</v>
      </c>
      <c r="D969" s="37" t="s">
        <v>257</v>
      </c>
      <c r="E969" s="38">
        <v>8608179</v>
      </c>
    </row>
    <row r="970" spans="1:5" x14ac:dyDescent="0.2">
      <c r="A970" s="35">
        <v>2021</v>
      </c>
      <c r="B970" s="36" t="s">
        <v>61</v>
      </c>
      <c r="C970" s="37" t="s">
        <v>263</v>
      </c>
      <c r="D970" s="37" t="s">
        <v>230</v>
      </c>
      <c r="E970" s="38">
        <v>42497093</v>
      </c>
    </row>
    <row r="971" spans="1:5" x14ac:dyDescent="0.2">
      <c r="A971" s="35">
        <v>2021</v>
      </c>
      <c r="B971" s="36" t="s">
        <v>61</v>
      </c>
      <c r="C971" s="37" t="s">
        <v>263</v>
      </c>
      <c r="D971" s="37" t="s">
        <v>250</v>
      </c>
      <c r="E971" s="38">
        <v>15621220</v>
      </c>
    </row>
    <row r="972" spans="1:5" x14ac:dyDescent="0.2">
      <c r="A972" s="35">
        <v>2021</v>
      </c>
      <c r="B972" s="36" t="s">
        <v>61</v>
      </c>
      <c r="C972" s="37" t="s">
        <v>263</v>
      </c>
      <c r="D972" s="37" t="s">
        <v>251</v>
      </c>
      <c r="E972" s="38">
        <v>430251</v>
      </c>
    </row>
    <row r="973" spans="1:5" x14ac:dyDescent="0.2">
      <c r="A973" s="35">
        <v>2021</v>
      </c>
      <c r="B973" s="36" t="s">
        <v>61</v>
      </c>
      <c r="C973" s="37" t="s">
        <v>263</v>
      </c>
      <c r="D973" s="37" t="s">
        <v>252</v>
      </c>
      <c r="E973" s="38">
        <v>8300035</v>
      </c>
    </row>
    <row r="974" spans="1:5" x14ac:dyDescent="0.2">
      <c r="A974" s="35">
        <v>2021</v>
      </c>
      <c r="B974" s="36" t="s">
        <v>61</v>
      </c>
      <c r="C974" s="37" t="s">
        <v>263</v>
      </c>
      <c r="D974" s="37" t="s">
        <v>264</v>
      </c>
      <c r="E974" s="38">
        <v>14122771</v>
      </c>
    </row>
    <row r="975" spans="1:5" x14ac:dyDescent="0.2">
      <c r="A975" s="35">
        <v>2021</v>
      </c>
      <c r="B975" s="36" t="s">
        <v>61</v>
      </c>
      <c r="C975" s="37" t="s">
        <v>263</v>
      </c>
      <c r="D975" s="37" t="s">
        <v>253</v>
      </c>
      <c r="E975" s="38">
        <v>116096</v>
      </c>
    </row>
    <row r="976" spans="1:5" x14ac:dyDescent="0.2">
      <c r="A976" s="35">
        <v>2021</v>
      </c>
      <c r="B976" s="36" t="s">
        <v>61</v>
      </c>
      <c r="C976" s="37" t="s">
        <v>263</v>
      </c>
      <c r="D976" s="37" t="s">
        <v>254</v>
      </c>
      <c r="E976" s="38">
        <v>92814</v>
      </c>
    </row>
    <row r="977" spans="1:5" x14ac:dyDescent="0.2">
      <c r="A977" s="35">
        <v>2021</v>
      </c>
      <c r="B977" s="36" t="s">
        <v>61</v>
      </c>
      <c r="C977" s="37" t="s">
        <v>263</v>
      </c>
      <c r="D977" s="37" t="s">
        <v>255</v>
      </c>
      <c r="E977" s="38">
        <v>32667</v>
      </c>
    </row>
    <row r="978" spans="1:5" x14ac:dyDescent="0.2">
      <c r="A978" s="35">
        <v>2021</v>
      </c>
      <c r="B978" s="36" t="s">
        <v>61</v>
      </c>
      <c r="C978" s="37" t="s">
        <v>263</v>
      </c>
      <c r="D978" s="37" t="s">
        <v>256</v>
      </c>
      <c r="E978" s="38">
        <v>124187</v>
      </c>
    </row>
    <row r="979" spans="1:5" x14ac:dyDescent="0.2">
      <c r="A979" s="35">
        <v>2021</v>
      </c>
      <c r="B979" s="36" t="s">
        <v>61</v>
      </c>
      <c r="C979" s="37" t="s">
        <v>263</v>
      </c>
      <c r="D979" s="37" t="s">
        <v>257</v>
      </c>
      <c r="E979" s="38">
        <v>3639500</v>
      </c>
    </row>
    <row r="980" spans="1:5" x14ac:dyDescent="0.2">
      <c r="A980" s="35">
        <v>2021</v>
      </c>
      <c r="B980" s="36" t="s">
        <v>61</v>
      </c>
      <c r="C980" s="37" t="s">
        <v>263</v>
      </c>
      <c r="D980" s="37" t="s">
        <v>258</v>
      </c>
      <c r="E980" s="38">
        <v>17553</v>
      </c>
    </row>
    <row r="981" spans="1:5" x14ac:dyDescent="0.2">
      <c r="A981" s="35">
        <v>2021</v>
      </c>
      <c r="B981" s="36" t="s">
        <v>67</v>
      </c>
      <c r="C981" s="37" t="s">
        <v>249</v>
      </c>
      <c r="D981" s="37" t="s">
        <v>230</v>
      </c>
      <c r="E981" s="38">
        <v>76941410</v>
      </c>
    </row>
    <row r="982" spans="1:5" x14ac:dyDescent="0.2">
      <c r="A982" s="35">
        <v>2021</v>
      </c>
      <c r="B982" s="36" t="s">
        <v>67</v>
      </c>
      <c r="C982" s="37" t="s">
        <v>249</v>
      </c>
      <c r="D982" s="37" t="s">
        <v>250</v>
      </c>
      <c r="E982" s="38">
        <v>57858268</v>
      </c>
    </row>
    <row r="983" spans="1:5" x14ac:dyDescent="0.2">
      <c r="A983" s="35">
        <v>2021</v>
      </c>
      <c r="B983" s="36" t="s">
        <v>67</v>
      </c>
      <c r="C983" s="37" t="s">
        <v>249</v>
      </c>
      <c r="D983" s="37" t="s">
        <v>266</v>
      </c>
      <c r="E983" s="38">
        <v>1487</v>
      </c>
    </row>
    <row r="984" spans="1:5" x14ac:dyDescent="0.2">
      <c r="A984" s="35">
        <v>2021</v>
      </c>
      <c r="B984" s="36" t="s">
        <v>67</v>
      </c>
      <c r="C984" s="37" t="s">
        <v>249</v>
      </c>
      <c r="D984" s="37" t="s">
        <v>251</v>
      </c>
      <c r="E984" s="38">
        <v>1697444</v>
      </c>
    </row>
    <row r="985" spans="1:5" x14ac:dyDescent="0.2">
      <c r="A985" s="35">
        <v>2021</v>
      </c>
      <c r="B985" s="36" t="s">
        <v>67</v>
      </c>
      <c r="C985" s="37" t="s">
        <v>249</v>
      </c>
      <c r="D985" s="37" t="s">
        <v>252</v>
      </c>
      <c r="E985" s="38">
        <v>6058969</v>
      </c>
    </row>
    <row r="986" spans="1:5" x14ac:dyDescent="0.2">
      <c r="A986" s="35">
        <v>2021</v>
      </c>
      <c r="B986" s="36" t="s">
        <v>67</v>
      </c>
      <c r="C986" s="37" t="s">
        <v>249</v>
      </c>
      <c r="D986" s="37" t="s">
        <v>264</v>
      </c>
      <c r="E986" s="38">
        <v>4292433</v>
      </c>
    </row>
    <row r="987" spans="1:5" x14ac:dyDescent="0.2">
      <c r="A987" s="35">
        <v>2021</v>
      </c>
      <c r="B987" s="36" t="s">
        <v>67</v>
      </c>
      <c r="C987" s="37" t="s">
        <v>249</v>
      </c>
      <c r="D987" s="37" t="s">
        <v>253</v>
      </c>
      <c r="E987" s="38">
        <v>2</v>
      </c>
    </row>
    <row r="988" spans="1:5" x14ac:dyDescent="0.2">
      <c r="A988" s="35">
        <v>2021</v>
      </c>
      <c r="B988" s="36" t="s">
        <v>67</v>
      </c>
      <c r="C988" s="37" t="s">
        <v>249</v>
      </c>
      <c r="D988" s="37" t="s">
        <v>254</v>
      </c>
      <c r="E988" s="38">
        <v>258694</v>
      </c>
    </row>
    <row r="989" spans="1:5" x14ac:dyDescent="0.2">
      <c r="A989" s="35">
        <v>2021</v>
      </c>
      <c r="B989" s="36" t="s">
        <v>67</v>
      </c>
      <c r="C989" s="37" t="s">
        <v>249</v>
      </c>
      <c r="D989" s="37" t="s">
        <v>255</v>
      </c>
      <c r="E989" s="38">
        <v>116036</v>
      </c>
    </row>
    <row r="990" spans="1:5" x14ac:dyDescent="0.2">
      <c r="A990" s="35">
        <v>2021</v>
      </c>
      <c r="B990" s="36" t="s">
        <v>67</v>
      </c>
      <c r="C990" s="37" t="s">
        <v>249</v>
      </c>
      <c r="D990" s="37" t="s">
        <v>256</v>
      </c>
      <c r="E990" s="38">
        <v>82750</v>
      </c>
    </row>
    <row r="991" spans="1:5" x14ac:dyDescent="0.2">
      <c r="A991" s="35">
        <v>2021</v>
      </c>
      <c r="B991" s="36" t="s">
        <v>67</v>
      </c>
      <c r="C991" s="37" t="s">
        <v>249</v>
      </c>
      <c r="D991" s="37" t="s">
        <v>257</v>
      </c>
      <c r="E991" s="38">
        <v>6534345</v>
      </c>
    </row>
    <row r="992" spans="1:5" x14ac:dyDescent="0.2">
      <c r="A992" s="35">
        <v>2021</v>
      </c>
      <c r="B992" s="36" t="s">
        <v>67</v>
      </c>
      <c r="C992" s="37" t="s">
        <v>249</v>
      </c>
      <c r="D992" s="37" t="s">
        <v>258</v>
      </c>
      <c r="E992" s="38">
        <v>40982</v>
      </c>
    </row>
    <row r="993" spans="1:5" x14ac:dyDescent="0.2">
      <c r="A993" s="35">
        <v>2021</v>
      </c>
      <c r="B993" s="36" t="s">
        <v>67</v>
      </c>
      <c r="C993" s="37" t="s">
        <v>259</v>
      </c>
      <c r="D993" s="37" t="s">
        <v>230</v>
      </c>
      <c r="E993" s="38">
        <v>43681</v>
      </c>
    </row>
    <row r="994" spans="1:5" x14ac:dyDescent="0.2">
      <c r="A994" s="35">
        <v>2021</v>
      </c>
      <c r="B994" s="36" t="s">
        <v>67</v>
      </c>
      <c r="C994" s="37" t="s">
        <v>259</v>
      </c>
      <c r="D994" s="37" t="s">
        <v>250</v>
      </c>
      <c r="E994" s="38">
        <v>0</v>
      </c>
    </row>
    <row r="995" spans="1:5" x14ac:dyDescent="0.2">
      <c r="A995" s="35">
        <v>2021</v>
      </c>
      <c r="B995" s="36" t="s">
        <v>67</v>
      </c>
      <c r="C995" s="37" t="s">
        <v>259</v>
      </c>
      <c r="D995" s="37" t="s">
        <v>252</v>
      </c>
      <c r="E995" s="38">
        <v>40911</v>
      </c>
    </row>
    <row r="996" spans="1:5" x14ac:dyDescent="0.2">
      <c r="A996" s="35">
        <v>2021</v>
      </c>
      <c r="B996" s="36" t="s">
        <v>67</v>
      </c>
      <c r="C996" s="37" t="s">
        <v>259</v>
      </c>
      <c r="D996" s="37" t="s">
        <v>254</v>
      </c>
      <c r="E996" s="38">
        <v>0</v>
      </c>
    </row>
    <row r="997" spans="1:5" x14ac:dyDescent="0.2">
      <c r="A997" s="35">
        <v>2021</v>
      </c>
      <c r="B997" s="36" t="s">
        <v>67</v>
      </c>
      <c r="C997" s="37" t="s">
        <v>259</v>
      </c>
      <c r="D997" s="37" t="s">
        <v>256</v>
      </c>
      <c r="E997" s="38">
        <v>2770</v>
      </c>
    </row>
    <row r="998" spans="1:5" x14ac:dyDescent="0.2">
      <c r="A998" s="35">
        <v>2021</v>
      </c>
      <c r="B998" s="36" t="s">
        <v>67</v>
      </c>
      <c r="C998" s="37" t="s">
        <v>259</v>
      </c>
      <c r="D998" s="37" t="s">
        <v>258</v>
      </c>
      <c r="E998" s="38">
        <v>0</v>
      </c>
    </row>
    <row r="999" spans="1:5" x14ac:dyDescent="0.2">
      <c r="A999" s="35">
        <v>2021</v>
      </c>
      <c r="B999" s="36" t="s">
        <v>67</v>
      </c>
      <c r="C999" s="37" t="s">
        <v>260</v>
      </c>
      <c r="D999" s="37" t="s">
        <v>230</v>
      </c>
      <c r="E999" s="38">
        <v>194533</v>
      </c>
    </row>
    <row r="1000" spans="1:5" x14ac:dyDescent="0.2">
      <c r="A1000" s="35">
        <v>2021</v>
      </c>
      <c r="B1000" s="36" t="s">
        <v>67</v>
      </c>
      <c r="C1000" s="37" t="s">
        <v>260</v>
      </c>
      <c r="D1000" s="37" t="s">
        <v>250</v>
      </c>
      <c r="E1000" s="38">
        <v>10127</v>
      </c>
    </row>
    <row r="1001" spans="1:5" x14ac:dyDescent="0.2">
      <c r="A1001" s="35">
        <v>2021</v>
      </c>
      <c r="B1001" s="36" t="s">
        <v>67</v>
      </c>
      <c r="C1001" s="37" t="s">
        <v>260</v>
      </c>
      <c r="D1001" s="37" t="s">
        <v>252</v>
      </c>
      <c r="E1001" s="38">
        <v>142808</v>
      </c>
    </row>
    <row r="1002" spans="1:5" x14ac:dyDescent="0.2">
      <c r="A1002" s="35">
        <v>2021</v>
      </c>
      <c r="B1002" s="36" t="s">
        <v>67</v>
      </c>
      <c r="C1002" s="37" t="s">
        <v>260</v>
      </c>
      <c r="D1002" s="37" t="s">
        <v>254</v>
      </c>
      <c r="E1002" s="38">
        <v>219</v>
      </c>
    </row>
    <row r="1003" spans="1:5" x14ac:dyDescent="0.2">
      <c r="A1003" s="35">
        <v>2021</v>
      </c>
      <c r="B1003" s="36" t="s">
        <v>67</v>
      </c>
      <c r="C1003" s="37" t="s">
        <v>260</v>
      </c>
      <c r="D1003" s="37" t="s">
        <v>255</v>
      </c>
      <c r="E1003" s="38">
        <v>397</v>
      </c>
    </row>
    <row r="1004" spans="1:5" x14ac:dyDescent="0.2">
      <c r="A1004" s="35">
        <v>2021</v>
      </c>
      <c r="B1004" s="36" t="s">
        <v>67</v>
      </c>
      <c r="C1004" s="37" t="s">
        <v>260</v>
      </c>
      <c r="D1004" s="37" t="s">
        <v>258</v>
      </c>
      <c r="E1004" s="38">
        <v>40982</v>
      </c>
    </row>
    <row r="1005" spans="1:5" x14ac:dyDescent="0.2">
      <c r="A1005" s="35">
        <v>2021</v>
      </c>
      <c r="B1005" s="36" t="s">
        <v>67</v>
      </c>
      <c r="C1005" s="37" t="s">
        <v>261</v>
      </c>
      <c r="D1005" s="37" t="s">
        <v>230</v>
      </c>
      <c r="E1005" s="38">
        <v>35308</v>
      </c>
    </row>
    <row r="1006" spans="1:5" x14ac:dyDescent="0.2">
      <c r="A1006" s="35">
        <v>2021</v>
      </c>
      <c r="B1006" s="36" t="s">
        <v>67</v>
      </c>
      <c r="C1006" s="37" t="s">
        <v>261</v>
      </c>
      <c r="D1006" s="37" t="s">
        <v>250</v>
      </c>
      <c r="E1006" s="38">
        <v>0</v>
      </c>
    </row>
    <row r="1007" spans="1:5" x14ac:dyDescent="0.2">
      <c r="A1007" s="35">
        <v>2021</v>
      </c>
      <c r="B1007" s="36" t="s">
        <v>67</v>
      </c>
      <c r="C1007" s="37" t="s">
        <v>261</v>
      </c>
      <c r="D1007" s="37" t="s">
        <v>252</v>
      </c>
      <c r="E1007" s="38">
        <v>35308</v>
      </c>
    </row>
    <row r="1008" spans="1:5" x14ac:dyDescent="0.2">
      <c r="A1008" s="35">
        <v>2021</v>
      </c>
      <c r="B1008" s="36" t="s">
        <v>67</v>
      </c>
      <c r="C1008" s="37" t="s">
        <v>261</v>
      </c>
      <c r="D1008" s="37" t="s">
        <v>254</v>
      </c>
      <c r="E1008" s="38">
        <v>0</v>
      </c>
    </row>
    <row r="1009" spans="1:5" x14ac:dyDescent="0.2">
      <c r="A1009" s="35">
        <v>2021</v>
      </c>
      <c r="B1009" s="36" t="s">
        <v>67</v>
      </c>
      <c r="C1009" s="37" t="s">
        <v>262</v>
      </c>
      <c r="D1009" s="37" t="s">
        <v>230</v>
      </c>
      <c r="E1009" s="38">
        <v>6138746</v>
      </c>
    </row>
    <row r="1010" spans="1:5" x14ac:dyDescent="0.2">
      <c r="A1010" s="35">
        <v>2021</v>
      </c>
      <c r="B1010" s="36" t="s">
        <v>67</v>
      </c>
      <c r="C1010" s="37" t="s">
        <v>262</v>
      </c>
      <c r="D1010" s="37" t="s">
        <v>252</v>
      </c>
      <c r="E1010" s="38">
        <v>1780648</v>
      </c>
    </row>
    <row r="1011" spans="1:5" x14ac:dyDescent="0.2">
      <c r="A1011" s="35">
        <v>2021</v>
      </c>
      <c r="B1011" s="36" t="s">
        <v>67</v>
      </c>
      <c r="C1011" s="37" t="s">
        <v>262</v>
      </c>
      <c r="D1011" s="37" t="s">
        <v>255</v>
      </c>
      <c r="E1011" s="38">
        <v>97742</v>
      </c>
    </row>
    <row r="1012" spans="1:5" x14ac:dyDescent="0.2">
      <c r="A1012" s="35">
        <v>2021</v>
      </c>
      <c r="B1012" s="36" t="s">
        <v>67</v>
      </c>
      <c r="C1012" s="37" t="s">
        <v>262</v>
      </c>
      <c r="D1012" s="37" t="s">
        <v>256</v>
      </c>
      <c r="E1012" s="38">
        <v>37586</v>
      </c>
    </row>
    <row r="1013" spans="1:5" x14ac:dyDescent="0.2">
      <c r="A1013" s="35">
        <v>2021</v>
      </c>
      <c r="B1013" s="36" t="s">
        <v>67</v>
      </c>
      <c r="C1013" s="37" t="s">
        <v>262</v>
      </c>
      <c r="D1013" s="37" t="s">
        <v>257</v>
      </c>
      <c r="E1013" s="38">
        <v>4222770</v>
      </c>
    </row>
    <row r="1014" spans="1:5" x14ac:dyDescent="0.2">
      <c r="A1014" s="35">
        <v>2021</v>
      </c>
      <c r="B1014" s="36" t="s">
        <v>67</v>
      </c>
      <c r="C1014" s="37" t="s">
        <v>263</v>
      </c>
      <c r="D1014" s="37" t="s">
        <v>230</v>
      </c>
      <c r="E1014" s="38">
        <v>70529142</v>
      </c>
    </row>
    <row r="1015" spans="1:5" x14ac:dyDescent="0.2">
      <c r="A1015" s="35">
        <v>2021</v>
      </c>
      <c r="B1015" s="36" t="s">
        <v>67</v>
      </c>
      <c r="C1015" s="37" t="s">
        <v>263</v>
      </c>
      <c r="D1015" s="37" t="s">
        <v>250</v>
      </c>
      <c r="E1015" s="38">
        <v>57848141</v>
      </c>
    </row>
    <row r="1016" spans="1:5" x14ac:dyDescent="0.2">
      <c r="A1016" s="35">
        <v>2021</v>
      </c>
      <c r="B1016" s="36" t="s">
        <v>67</v>
      </c>
      <c r="C1016" s="37" t="s">
        <v>263</v>
      </c>
      <c r="D1016" s="37" t="s">
        <v>266</v>
      </c>
      <c r="E1016" s="38">
        <v>1487</v>
      </c>
    </row>
    <row r="1017" spans="1:5" x14ac:dyDescent="0.2">
      <c r="A1017" s="35">
        <v>2021</v>
      </c>
      <c r="B1017" s="36" t="s">
        <v>67</v>
      </c>
      <c r="C1017" s="37" t="s">
        <v>263</v>
      </c>
      <c r="D1017" s="37" t="s">
        <v>251</v>
      </c>
      <c r="E1017" s="38">
        <v>1697444</v>
      </c>
    </row>
    <row r="1018" spans="1:5" x14ac:dyDescent="0.2">
      <c r="A1018" s="35">
        <v>2021</v>
      </c>
      <c r="B1018" s="36" t="s">
        <v>67</v>
      </c>
      <c r="C1018" s="37" t="s">
        <v>263</v>
      </c>
      <c r="D1018" s="37" t="s">
        <v>252</v>
      </c>
      <c r="E1018" s="38">
        <v>4059295</v>
      </c>
    </row>
    <row r="1019" spans="1:5" x14ac:dyDescent="0.2">
      <c r="A1019" s="35">
        <v>2021</v>
      </c>
      <c r="B1019" s="36" t="s">
        <v>67</v>
      </c>
      <c r="C1019" s="37" t="s">
        <v>263</v>
      </c>
      <c r="D1019" s="37" t="s">
        <v>264</v>
      </c>
      <c r="E1019" s="38">
        <v>4292433</v>
      </c>
    </row>
    <row r="1020" spans="1:5" x14ac:dyDescent="0.2">
      <c r="A1020" s="35">
        <v>2021</v>
      </c>
      <c r="B1020" s="36" t="s">
        <v>67</v>
      </c>
      <c r="C1020" s="37" t="s">
        <v>263</v>
      </c>
      <c r="D1020" s="37" t="s">
        <v>253</v>
      </c>
      <c r="E1020" s="38">
        <v>2</v>
      </c>
    </row>
    <row r="1021" spans="1:5" x14ac:dyDescent="0.2">
      <c r="A1021" s="35">
        <v>2021</v>
      </c>
      <c r="B1021" s="36" t="s">
        <v>67</v>
      </c>
      <c r="C1021" s="37" t="s">
        <v>263</v>
      </c>
      <c r="D1021" s="37" t="s">
        <v>254</v>
      </c>
      <c r="E1021" s="38">
        <v>258475</v>
      </c>
    </row>
    <row r="1022" spans="1:5" x14ac:dyDescent="0.2">
      <c r="A1022" s="35">
        <v>2021</v>
      </c>
      <c r="B1022" s="36" t="s">
        <v>67</v>
      </c>
      <c r="C1022" s="37" t="s">
        <v>263</v>
      </c>
      <c r="D1022" s="37" t="s">
        <v>255</v>
      </c>
      <c r="E1022" s="38">
        <v>17897</v>
      </c>
    </row>
    <row r="1023" spans="1:5" x14ac:dyDescent="0.2">
      <c r="A1023" s="35">
        <v>2021</v>
      </c>
      <c r="B1023" s="36" t="s">
        <v>67</v>
      </c>
      <c r="C1023" s="37" t="s">
        <v>263</v>
      </c>
      <c r="D1023" s="37" t="s">
        <v>256</v>
      </c>
      <c r="E1023" s="38">
        <v>42394</v>
      </c>
    </row>
    <row r="1024" spans="1:5" x14ac:dyDescent="0.2">
      <c r="A1024" s="35">
        <v>2021</v>
      </c>
      <c r="B1024" s="36" t="s">
        <v>67</v>
      </c>
      <c r="C1024" s="37" t="s">
        <v>263</v>
      </c>
      <c r="D1024" s="37" t="s">
        <v>257</v>
      </c>
      <c r="E1024" s="38">
        <v>2311575</v>
      </c>
    </row>
    <row r="1025" spans="1:5" x14ac:dyDescent="0.2">
      <c r="A1025" s="35">
        <v>2021</v>
      </c>
      <c r="B1025" s="36" t="s">
        <v>67</v>
      </c>
      <c r="C1025" s="37" t="s">
        <v>263</v>
      </c>
      <c r="D1025" s="37" t="s">
        <v>258</v>
      </c>
      <c r="E1025" s="38">
        <v>0</v>
      </c>
    </row>
    <row r="1026" spans="1:5" x14ac:dyDescent="0.2">
      <c r="A1026" s="35">
        <v>2021</v>
      </c>
      <c r="B1026" s="36" t="s">
        <v>64</v>
      </c>
      <c r="C1026" s="37" t="s">
        <v>249</v>
      </c>
      <c r="D1026" s="37" t="s">
        <v>230</v>
      </c>
      <c r="E1026" s="38">
        <v>67723497</v>
      </c>
    </row>
    <row r="1027" spans="1:5" x14ac:dyDescent="0.2">
      <c r="A1027" s="35">
        <v>2021</v>
      </c>
      <c r="B1027" s="36" t="s">
        <v>64</v>
      </c>
      <c r="C1027" s="37" t="s">
        <v>249</v>
      </c>
      <c r="D1027" s="37" t="s">
        <v>250</v>
      </c>
      <c r="E1027" s="38">
        <v>5530688</v>
      </c>
    </row>
    <row r="1028" spans="1:5" x14ac:dyDescent="0.2">
      <c r="A1028" s="35">
        <v>2021</v>
      </c>
      <c r="B1028" s="36" t="s">
        <v>64</v>
      </c>
      <c r="C1028" s="37" t="s">
        <v>249</v>
      </c>
      <c r="D1028" s="37" t="s">
        <v>252</v>
      </c>
      <c r="E1028" s="38">
        <v>48621025</v>
      </c>
    </row>
    <row r="1029" spans="1:5" x14ac:dyDescent="0.2">
      <c r="A1029" s="35">
        <v>2021</v>
      </c>
      <c r="B1029" s="36" t="s">
        <v>64</v>
      </c>
      <c r="C1029" s="37" t="s">
        <v>249</v>
      </c>
      <c r="D1029" s="37" t="s">
        <v>264</v>
      </c>
      <c r="E1029" s="38">
        <v>11772058</v>
      </c>
    </row>
    <row r="1030" spans="1:5" x14ac:dyDescent="0.2">
      <c r="A1030" s="35">
        <v>2021</v>
      </c>
      <c r="B1030" s="36" t="s">
        <v>64</v>
      </c>
      <c r="C1030" s="37" t="s">
        <v>249</v>
      </c>
      <c r="D1030" s="37" t="s">
        <v>253</v>
      </c>
      <c r="E1030" s="38">
        <v>0</v>
      </c>
    </row>
    <row r="1031" spans="1:5" x14ac:dyDescent="0.2">
      <c r="A1031" s="35">
        <v>2021</v>
      </c>
      <c r="B1031" s="36" t="s">
        <v>64</v>
      </c>
      <c r="C1031" s="37" t="s">
        <v>249</v>
      </c>
      <c r="D1031" s="37" t="s">
        <v>254</v>
      </c>
      <c r="E1031" s="38">
        <v>8247</v>
      </c>
    </row>
    <row r="1032" spans="1:5" x14ac:dyDescent="0.2">
      <c r="A1032" s="35">
        <v>2021</v>
      </c>
      <c r="B1032" s="36" t="s">
        <v>64</v>
      </c>
      <c r="C1032" s="37" t="s">
        <v>249</v>
      </c>
      <c r="D1032" s="37" t="s">
        <v>255</v>
      </c>
      <c r="E1032" s="38">
        <v>424931</v>
      </c>
    </row>
    <row r="1033" spans="1:5" x14ac:dyDescent="0.2">
      <c r="A1033" s="35">
        <v>2021</v>
      </c>
      <c r="B1033" s="36" t="s">
        <v>64</v>
      </c>
      <c r="C1033" s="37" t="s">
        <v>249</v>
      </c>
      <c r="D1033" s="37" t="s">
        <v>256</v>
      </c>
      <c r="E1033" s="38">
        <v>12388</v>
      </c>
    </row>
    <row r="1034" spans="1:5" x14ac:dyDescent="0.2">
      <c r="A1034" s="35">
        <v>2021</v>
      </c>
      <c r="B1034" s="36" t="s">
        <v>64</v>
      </c>
      <c r="C1034" s="37" t="s">
        <v>249</v>
      </c>
      <c r="D1034" s="37" t="s">
        <v>258</v>
      </c>
      <c r="E1034" s="38">
        <v>1354161</v>
      </c>
    </row>
    <row r="1035" spans="1:5" x14ac:dyDescent="0.2">
      <c r="A1035" s="35">
        <v>2021</v>
      </c>
      <c r="B1035" s="36" t="s">
        <v>64</v>
      </c>
      <c r="C1035" s="37" t="s">
        <v>259</v>
      </c>
      <c r="D1035" s="37" t="s">
        <v>230</v>
      </c>
      <c r="E1035" s="38">
        <v>1898120</v>
      </c>
    </row>
    <row r="1036" spans="1:5" x14ac:dyDescent="0.2">
      <c r="A1036" s="35">
        <v>2021</v>
      </c>
      <c r="B1036" s="36" t="s">
        <v>64</v>
      </c>
      <c r="C1036" s="37" t="s">
        <v>259</v>
      </c>
      <c r="D1036" s="37" t="s">
        <v>250</v>
      </c>
      <c r="E1036" s="38">
        <v>0</v>
      </c>
    </row>
    <row r="1037" spans="1:5" x14ac:dyDescent="0.2">
      <c r="A1037" s="35">
        <v>2021</v>
      </c>
      <c r="B1037" s="36" t="s">
        <v>64</v>
      </c>
      <c r="C1037" s="37" t="s">
        <v>259</v>
      </c>
      <c r="D1037" s="37" t="s">
        <v>252</v>
      </c>
      <c r="E1037" s="38">
        <v>540087</v>
      </c>
    </row>
    <row r="1038" spans="1:5" x14ac:dyDescent="0.2">
      <c r="A1038" s="35">
        <v>2021</v>
      </c>
      <c r="B1038" s="36" t="s">
        <v>64</v>
      </c>
      <c r="C1038" s="37" t="s">
        <v>259</v>
      </c>
      <c r="D1038" s="37" t="s">
        <v>253</v>
      </c>
      <c r="E1038" s="38">
        <v>0</v>
      </c>
    </row>
    <row r="1039" spans="1:5" x14ac:dyDescent="0.2">
      <c r="A1039" s="35">
        <v>2021</v>
      </c>
      <c r="B1039" s="36" t="s">
        <v>64</v>
      </c>
      <c r="C1039" s="37" t="s">
        <v>259</v>
      </c>
      <c r="D1039" s="37" t="s">
        <v>254</v>
      </c>
      <c r="E1039" s="38">
        <v>2251</v>
      </c>
    </row>
    <row r="1040" spans="1:5" x14ac:dyDescent="0.2">
      <c r="A1040" s="35">
        <v>2021</v>
      </c>
      <c r="B1040" s="36" t="s">
        <v>64</v>
      </c>
      <c r="C1040" s="37" t="s">
        <v>259</v>
      </c>
      <c r="D1040" s="37" t="s">
        <v>256</v>
      </c>
      <c r="E1040" s="38">
        <v>1621</v>
      </c>
    </row>
    <row r="1041" spans="1:5" x14ac:dyDescent="0.2">
      <c r="A1041" s="35">
        <v>2021</v>
      </c>
      <c r="B1041" s="36" t="s">
        <v>64</v>
      </c>
      <c r="C1041" s="37" t="s">
        <v>259</v>
      </c>
      <c r="D1041" s="37" t="s">
        <v>258</v>
      </c>
      <c r="E1041" s="38">
        <v>1354161</v>
      </c>
    </row>
    <row r="1042" spans="1:5" x14ac:dyDescent="0.2">
      <c r="A1042" s="35">
        <v>2021</v>
      </c>
      <c r="B1042" s="36" t="s">
        <v>64</v>
      </c>
      <c r="C1042" s="37" t="s">
        <v>260</v>
      </c>
      <c r="D1042" s="37" t="s">
        <v>230</v>
      </c>
      <c r="E1042" s="38">
        <v>0</v>
      </c>
    </row>
    <row r="1043" spans="1:5" x14ac:dyDescent="0.2">
      <c r="A1043" s="35">
        <v>2021</v>
      </c>
      <c r="B1043" s="36" t="s">
        <v>64</v>
      </c>
      <c r="C1043" s="37" t="s">
        <v>260</v>
      </c>
      <c r="D1043" s="37" t="s">
        <v>252</v>
      </c>
      <c r="E1043" s="38">
        <v>0</v>
      </c>
    </row>
    <row r="1044" spans="1:5" x14ac:dyDescent="0.2">
      <c r="A1044" s="35">
        <v>2021</v>
      </c>
      <c r="B1044" s="36" t="s">
        <v>64</v>
      </c>
      <c r="C1044" s="37" t="s">
        <v>262</v>
      </c>
      <c r="D1044" s="37" t="s">
        <v>230</v>
      </c>
      <c r="E1044" s="38">
        <v>3195788</v>
      </c>
    </row>
    <row r="1045" spans="1:5" x14ac:dyDescent="0.2">
      <c r="A1045" s="35">
        <v>2021</v>
      </c>
      <c r="B1045" s="36" t="s">
        <v>64</v>
      </c>
      <c r="C1045" s="37" t="s">
        <v>262</v>
      </c>
      <c r="D1045" s="37" t="s">
        <v>250</v>
      </c>
      <c r="E1045" s="38">
        <v>2752809</v>
      </c>
    </row>
    <row r="1046" spans="1:5" x14ac:dyDescent="0.2">
      <c r="A1046" s="35">
        <v>2021</v>
      </c>
      <c r="B1046" s="36" t="s">
        <v>64</v>
      </c>
      <c r="C1046" s="37" t="s">
        <v>262</v>
      </c>
      <c r="D1046" s="37" t="s">
        <v>252</v>
      </c>
      <c r="E1046" s="38">
        <v>7281</v>
      </c>
    </row>
    <row r="1047" spans="1:5" x14ac:dyDescent="0.2">
      <c r="A1047" s="35">
        <v>2021</v>
      </c>
      <c r="B1047" s="36" t="s">
        <v>64</v>
      </c>
      <c r="C1047" s="37" t="s">
        <v>262</v>
      </c>
      <c r="D1047" s="37" t="s">
        <v>255</v>
      </c>
      <c r="E1047" s="38">
        <v>424931</v>
      </c>
    </row>
    <row r="1048" spans="1:5" x14ac:dyDescent="0.2">
      <c r="A1048" s="35">
        <v>2021</v>
      </c>
      <c r="B1048" s="36" t="s">
        <v>64</v>
      </c>
      <c r="C1048" s="37" t="s">
        <v>262</v>
      </c>
      <c r="D1048" s="37" t="s">
        <v>256</v>
      </c>
      <c r="E1048" s="38">
        <v>10767</v>
      </c>
    </row>
    <row r="1049" spans="1:5" x14ac:dyDescent="0.2">
      <c r="A1049" s="35">
        <v>2021</v>
      </c>
      <c r="B1049" s="36" t="s">
        <v>64</v>
      </c>
      <c r="C1049" s="37" t="s">
        <v>263</v>
      </c>
      <c r="D1049" s="37" t="s">
        <v>230</v>
      </c>
      <c r="E1049" s="38">
        <v>62629589</v>
      </c>
    </row>
    <row r="1050" spans="1:5" x14ac:dyDescent="0.2">
      <c r="A1050" s="35">
        <v>2021</v>
      </c>
      <c r="B1050" s="36" t="s">
        <v>64</v>
      </c>
      <c r="C1050" s="37" t="s">
        <v>263</v>
      </c>
      <c r="D1050" s="37" t="s">
        <v>250</v>
      </c>
      <c r="E1050" s="38">
        <v>2777879</v>
      </c>
    </row>
    <row r="1051" spans="1:5" x14ac:dyDescent="0.2">
      <c r="A1051" s="35">
        <v>2021</v>
      </c>
      <c r="B1051" s="36" t="s">
        <v>64</v>
      </c>
      <c r="C1051" s="37" t="s">
        <v>263</v>
      </c>
      <c r="D1051" s="37" t="s">
        <v>252</v>
      </c>
      <c r="E1051" s="38">
        <v>48073657</v>
      </c>
    </row>
    <row r="1052" spans="1:5" x14ac:dyDescent="0.2">
      <c r="A1052" s="35">
        <v>2021</v>
      </c>
      <c r="B1052" s="36" t="s">
        <v>64</v>
      </c>
      <c r="C1052" s="37" t="s">
        <v>263</v>
      </c>
      <c r="D1052" s="37" t="s">
        <v>264</v>
      </c>
      <c r="E1052" s="38">
        <v>11772058</v>
      </c>
    </row>
    <row r="1053" spans="1:5" x14ac:dyDescent="0.2">
      <c r="A1053" s="35">
        <v>2021</v>
      </c>
      <c r="B1053" s="36" t="s">
        <v>64</v>
      </c>
      <c r="C1053" s="37" t="s">
        <v>263</v>
      </c>
      <c r="D1053" s="37" t="s">
        <v>254</v>
      </c>
      <c r="E1053" s="38">
        <v>5995</v>
      </c>
    </row>
    <row r="1054" spans="1:5" x14ac:dyDescent="0.2">
      <c r="A1054" s="35">
        <v>2021</v>
      </c>
      <c r="B1054" s="36" t="s">
        <v>70</v>
      </c>
      <c r="C1054" s="37" t="s">
        <v>249</v>
      </c>
      <c r="D1054" s="37" t="s">
        <v>230</v>
      </c>
      <c r="E1054" s="38">
        <v>24947923</v>
      </c>
    </row>
    <row r="1055" spans="1:5" x14ac:dyDescent="0.2">
      <c r="A1055" s="35">
        <v>2021</v>
      </c>
      <c r="B1055" s="36" t="s">
        <v>70</v>
      </c>
      <c r="C1055" s="37" t="s">
        <v>249</v>
      </c>
      <c r="D1055" s="37" t="s">
        <v>250</v>
      </c>
      <c r="E1055" s="38">
        <v>10876454</v>
      </c>
    </row>
    <row r="1056" spans="1:5" x14ac:dyDescent="0.2">
      <c r="A1056" s="35">
        <v>2021</v>
      </c>
      <c r="B1056" s="36" t="s">
        <v>70</v>
      </c>
      <c r="C1056" s="37" t="s">
        <v>249</v>
      </c>
      <c r="D1056" s="37" t="s">
        <v>251</v>
      </c>
      <c r="E1056" s="38">
        <v>9258373</v>
      </c>
    </row>
    <row r="1057" spans="1:5" x14ac:dyDescent="0.2">
      <c r="A1057" s="35">
        <v>2021</v>
      </c>
      <c r="B1057" s="36" t="s">
        <v>70</v>
      </c>
      <c r="C1057" s="37" t="s">
        <v>249</v>
      </c>
      <c r="D1057" s="37" t="s">
        <v>252</v>
      </c>
      <c r="E1057" s="38">
        <v>528305</v>
      </c>
    </row>
    <row r="1058" spans="1:5" x14ac:dyDescent="0.2">
      <c r="A1058" s="35">
        <v>2021</v>
      </c>
      <c r="B1058" s="36" t="s">
        <v>70</v>
      </c>
      <c r="C1058" s="37" t="s">
        <v>249</v>
      </c>
      <c r="D1058" s="37" t="s">
        <v>265</v>
      </c>
      <c r="E1058" s="38">
        <v>13018</v>
      </c>
    </row>
    <row r="1059" spans="1:5" x14ac:dyDescent="0.2">
      <c r="A1059" s="35">
        <v>2021</v>
      </c>
      <c r="B1059" s="36" t="s">
        <v>70</v>
      </c>
      <c r="C1059" s="37" t="s">
        <v>249</v>
      </c>
      <c r="D1059" s="37" t="s">
        <v>253</v>
      </c>
      <c r="E1059" s="38">
        <v>282678</v>
      </c>
    </row>
    <row r="1060" spans="1:5" x14ac:dyDescent="0.2">
      <c r="A1060" s="35">
        <v>2021</v>
      </c>
      <c r="B1060" s="36" t="s">
        <v>70</v>
      </c>
      <c r="C1060" s="37" t="s">
        <v>249</v>
      </c>
      <c r="D1060" s="37" t="s">
        <v>254</v>
      </c>
      <c r="E1060" s="38">
        <v>450731</v>
      </c>
    </row>
    <row r="1061" spans="1:5" x14ac:dyDescent="0.2">
      <c r="A1061" s="35">
        <v>2021</v>
      </c>
      <c r="B1061" s="36" t="s">
        <v>70</v>
      </c>
      <c r="C1061" s="37" t="s">
        <v>249</v>
      </c>
      <c r="D1061" s="37" t="s">
        <v>255</v>
      </c>
      <c r="E1061" s="38">
        <v>33436</v>
      </c>
    </row>
    <row r="1062" spans="1:5" x14ac:dyDescent="0.2">
      <c r="A1062" s="35">
        <v>2021</v>
      </c>
      <c r="B1062" s="36" t="s">
        <v>70</v>
      </c>
      <c r="C1062" s="37" t="s">
        <v>249</v>
      </c>
      <c r="D1062" s="37" t="s">
        <v>256</v>
      </c>
      <c r="E1062" s="38">
        <v>11557</v>
      </c>
    </row>
    <row r="1063" spans="1:5" x14ac:dyDescent="0.2">
      <c r="A1063" s="35">
        <v>2021</v>
      </c>
      <c r="B1063" s="36" t="s">
        <v>70</v>
      </c>
      <c r="C1063" s="37" t="s">
        <v>249</v>
      </c>
      <c r="D1063" s="37" t="s">
        <v>257</v>
      </c>
      <c r="E1063" s="38">
        <v>3472646</v>
      </c>
    </row>
    <row r="1064" spans="1:5" x14ac:dyDescent="0.2">
      <c r="A1064" s="35">
        <v>2021</v>
      </c>
      <c r="B1064" s="36" t="s">
        <v>70</v>
      </c>
      <c r="C1064" s="37" t="s">
        <v>249</v>
      </c>
      <c r="D1064" s="37" t="s">
        <v>258</v>
      </c>
      <c r="E1064" s="38">
        <v>20725</v>
      </c>
    </row>
    <row r="1065" spans="1:5" x14ac:dyDescent="0.2">
      <c r="A1065" s="35">
        <v>2021</v>
      </c>
      <c r="B1065" s="36" t="s">
        <v>70</v>
      </c>
      <c r="C1065" s="37" t="s">
        <v>259</v>
      </c>
      <c r="D1065" s="37" t="s">
        <v>230</v>
      </c>
      <c r="E1065" s="38">
        <v>35257</v>
      </c>
    </row>
    <row r="1066" spans="1:5" x14ac:dyDescent="0.2">
      <c r="A1066" s="35">
        <v>2021</v>
      </c>
      <c r="B1066" s="36" t="s">
        <v>70</v>
      </c>
      <c r="C1066" s="37" t="s">
        <v>259</v>
      </c>
      <c r="D1066" s="37" t="s">
        <v>250</v>
      </c>
      <c r="E1066" s="38">
        <v>9464</v>
      </c>
    </row>
    <row r="1067" spans="1:5" x14ac:dyDescent="0.2">
      <c r="A1067" s="35">
        <v>2021</v>
      </c>
      <c r="B1067" s="36" t="s">
        <v>70</v>
      </c>
      <c r="C1067" s="37" t="s">
        <v>259</v>
      </c>
      <c r="D1067" s="37" t="s">
        <v>252</v>
      </c>
      <c r="E1067" s="38">
        <v>3911</v>
      </c>
    </row>
    <row r="1068" spans="1:5" x14ac:dyDescent="0.2">
      <c r="A1068" s="35">
        <v>2021</v>
      </c>
      <c r="B1068" s="36" t="s">
        <v>70</v>
      </c>
      <c r="C1068" s="37" t="s">
        <v>259</v>
      </c>
      <c r="D1068" s="37" t="s">
        <v>265</v>
      </c>
      <c r="E1068" s="38">
        <v>1157</v>
      </c>
    </row>
    <row r="1069" spans="1:5" x14ac:dyDescent="0.2">
      <c r="A1069" s="35">
        <v>2021</v>
      </c>
      <c r="B1069" s="36" t="s">
        <v>70</v>
      </c>
      <c r="C1069" s="37" t="s">
        <v>259</v>
      </c>
      <c r="D1069" s="37" t="s">
        <v>254</v>
      </c>
      <c r="E1069" s="38">
        <v>0</v>
      </c>
    </row>
    <row r="1070" spans="1:5" x14ac:dyDescent="0.2">
      <c r="A1070" s="35">
        <v>2021</v>
      </c>
      <c r="B1070" s="36" t="s">
        <v>70</v>
      </c>
      <c r="C1070" s="37" t="s">
        <v>259</v>
      </c>
      <c r="D1070" s="37" t="s">
        <v>258</v>
      </c>
      <c r="E1070" s="38">
        <v>20725</v>
      </c>
    </row>
    <row r="1071" spans="1:5" x14ac:dyDescent="0.2">
      <c r="A1071" s="35">
        <v>2021</v>
      </c>
      <c r="B1071" s="36" t="s">
        <v>70</v>
      </c>
      <c r="C1071" s="37" t="s">
        <v>261</v>
      </c>
      <c r="D1071" s="37" t="s">
        <v>230</v>
      </c>
      <c r="E1071" s="38">
        <v>454274</v>
      </c>
    </row>
    <row r="1072" spans="1:5" x14ac:dyDescent="0.2">
      <c r="A1072" s="35">
        <v>2021</v>
      </c>
      <c r="B1072" s="36" t="s">
        <v>70</v>
      </c>
      <c r="C1072" s="37" t="s">
        <v>261</v>
      </c>
      <c r="D1072" s="37" t="s">
        <v>265</v>
      </c>
      <c r="E1072" s="38">
        <v>11861</v>
      </c>
    </row>
    <row r="1073" spans="1:5" x14ac:dyDescent="0.2">
      <c r="A1073" s="35">
        <v>2021</v>
      </c>
      <c r="B1073" s="36" t="s">
        <v>70</v>
      </c>
      <c r="C1073" s="37" t="s">
        <v>261</v>
      </c>
      <c r="D1073" s="37" t="s">
        <v>254</v>
      </c>
      <c r="E1073" s="38">
        <v>442413</v>
      </c>
    </row>
    <row r="1074" spans="1:5" x14ac:dyDescent="0.2">
      <c r="A1074" s="35">
        <v>2021</v>
      </c>
      <c r="B1074" s="36" t="s">
        <v>70</v>
      </c>
      <c r="C1074" s="37" t="s">
        <v>262</v>
      </c>
      <c r="D1074" s="37" t="s">
        <v>230</v>
      </c>
      <c r="E1074" s="38">
        <v>13913126</v>
      </c>
    </row>
    <row r="1075" spans="1:5" x14ac:dyDescent="0.2">
      <c r="A1075" s="35">
        <v>2021</v>
      </c>
      <c r="B1075" s="36" t="s">
        <v>70</v>
      </c>
      <c r="C1075" s="37" t="s">
        <v>262</v>
      </c>
      <c r="D1075" s="37" t="s">
        <v>250</v>
      </c>
      <c r="E1075" s="38">
        <v>10803105</v>
      </c>
    </row>
    <row r="1076" spans="1:5" x14ac:dyDescent="0.2">
      <c r="A1076" s="35">
        <v>2021</v>
      </c>
      <c r="B1076" s="36" t="s">
        <v>70</v>
      </c>
      <c r="C1076" s="37" t="s">
        <v>262</v>
      </c>
      <c r="D1076" s="37" t="s">
        <v>251</v>
      </c>
      <c r="E1076" s="38">
        <v>109779</v>
      </c>
    </row>
    <row r="1077" spans="1:5" x14ac:dyDescent="0.2">
      <c r="A1077" s="35">
        <v>2021</v>
      </c>
      <c r="B1077" s="36" t="s">
        <v>70</v>
      </c>
      <c r="C1077" s="37" t="s">
        <v>262</v>
      </c>
      <c r="D1077" s="37" t="s">
        <v>252</v>
      </c>
      <c r="E1077" s="38">
        <v>122705</v>
      </c>
    </row>
    <row r="1078" spans="1:5" x14ac:dyDescent="0.2">
      <c r="A1078" s="35">
        <v>2021</v>
      </c>
      <c r="B1078" s="36" t="s">
        <v>70</v>
      </c>
      <c r="C1078" s="37" t="s">
        <v>262</v>
      </c>
      <c r="D1078" s="37" t="s">
        <v>253</v>
      </c>
      <c r="E1078" s="38">
        <v>282678</v>
      </c>
    </row>
    <row r="1079" spans="1:5" x14ac:dyDescent="0.2">
      <c r="A1079" s="35">
        <v>2021</v>
      </c>
      <c r="B1079" s="36" t="s">
        <v>70</v>
      </c>
      <c r="C1079" s="37" t="s">
        <v>262</v>
      </c>
      <c r="D1079" s="37" t="s">
        <v>254</v>
      </c>
      <c r="E1079" s="38">
        <v>8009</v>
      </c>
    </row>
    <row r="1080" spans="1:5" x14ac:dyDescent="0.2">
      <c r="A1080" s="35">
        <v>2021</v>
      </c>
      <c r="B1080" s="36" t="s">
        <v>70</v>
      </c>
      <c r="C1080" s="37" t="s">
        <v>262</v>
      </c>
      <c r="D1080" s="37" t="s">
        <v>255</v>
      </c>
      <c r="E1080" s="38">
        <v>33436</v>
      </c>
    </row>
    <row r="1081" spans="1:5" x14ac:dyDescent="0.2">
      <c r="A1081" s="35">
        <v>2021</v>
      </c>
      <c r="B1081" s="36" t="s">
        <v>70</v>
      </c>
      <c r="C1081" s="37" t="s">
        <v>262</v>
      </c>
      <c r="D1081" s="37" t="s">
        <v>257</v>
      </c>
      <c r="E1081" s="38">
        <v>2553415</v>
      </c>
    </row>
    <row r="1082" spans="1:5" x14ac:dyDescent="0.2">
      <c r="A1082" s="35">
        <v>2021</v>
      </c>
      <c r="B1082" s="36" t="s">
        <v>70</v>
      </c>
      <c r="C1082" s="37" t="s">
        <v>263</v>
      </c>
      <c r="D1082" s="37" t="s">
        <v>230</v>
      </c>
      <c r="E1082" s="38">
        <v>10545266</v>
      </c>
    </row>
    <row r="1083" spans="1:5" x14ac:dyDescent="0.2">
      <c r="A1083" s="35">
        <v>2021</v>
      </c>
      <c r="B1083" s="36" t="s">
        <v>70</v>
      </c>
      <c r="C1083" s="37" t="s">
        <v>263</v>
      </c>
      <c r="D1083" s="37" t="s">
        <v>250</v>
      </c>
      <c r="E1083" s="38">
        <v>63885</v>
      </c>
    </row>
    <row r="1084" spans="1:5" x14ac:dyDescent="0.2">
      <c r="A1084" s="35">
        <v>2021</v>
      </c>
      <c r="B1084" s="36" t="s">
        <v>70</v>
      </c>
      <c r="C1084" s="37" t="s">
        <v>263</v>
      </c>
      <c r="D1084" s="37" t="s">
        <v>251</v>
      </c>
      <c r="E1084" s="38">
        <v>9148594</v>
      </c>
    </row>
    <row r="1085" spans="1:5" x14ac:dyDescent="0.2">
      <c r="A1085" s="35">
        <v>2021</v>
      </c>
      <c r="B1085" s="36" t="s">
        <v>70</v>
      </c>
      <c r="C1085" s="37" t="s">
        <v>263</v>
      </c>
      <c r="D1085" s="37" t="s">
        <v>252</v>
      </c>
      <c r="E1085" s="38">
        <v>401689</v>
      </c>
    </row>
    <row r="1086" spans="1:5" x14ac:dyDescent="0.2">
      <c r="A1086" s="35">
        <v>2021</v>
      </c>
      <c r="B1086" s="36" t="s">
        <v>70</v>
      </c>
      <c r="C1086" s="37" t="s">
        <v>263</v>
      </c>
      <c r="D1086" s="37" t="s">
        <v>254</v>
      </c>
      <c r="E1086" s="38">
        <v>310</v>
      </c>
    </row>
    <row r="1087" spans="1:5" x14ac:dyDescent="0.2">
      <c r="A1087" s="35">
        <v>2021</v>
      </c>
      <c r="B1087" s="36" t="s">
        <v>70</v>
      </c>
      <c r="C1087" s="37" t="s">
        <v>263</v>
      </c>
      <c r="D1087" s="37" t="s">
        <v>256</v>
      </c>
      <c r="E1087" s="38">
        <v>11557</v>
      </c>
    </row>
    <row r="1088" spans="1:5" x14ac:dyDescent="0.2">
      <c r="A1088" s="35">
        <v>2021</v>
      </c>
      <c r="B1088" s="36" t="s">
        <v>70</v>
      </c>
      <c r="C1088" s="37" t="s">
        <v>263</v>
      </c>
      <c r="D1088" s="37" t="s">
        <v>257</v>
      </c>
      <c r="E1088" s="38">
        <v>919231</v>
      </c>
    </row>
    <row r="1089" spans="1:5" x14ac:dyDescent="0.2">
      <c r="A1089" s="35">
        <v>2021</v>
      </c>
      <c r="B1089" s="36" t="s">
        <v>89</v>
      </c>
      <c r="C1089" s="37" t="s">
        <v>249</v>
      </c>
      <c r="D1089" s="37" t="s">
        <v>230</v>
      </c>
      <c r="E1089" s="38">
        <v>129923364</v>
      </c>
    </row>
    <row r="1090" spans="1:5" x14ac:dyDescent="0.2">
      <c r="A1090" s="35">
        <v>2021</v>
      </c>
      <c r="B1090" s="36" t="s">
        <v>89</v>
      </c>
      <c r="C1090" s="37" t="s">
        <v>249</v>
      </c>
      <c r="D1090" s="37" t="s">
        <v>250</v>
      </c>
      <c r="E1090" s="38">
        <v>20404638</v>
      </c>
    </row>
    <row r="1091" spans="1:5" x14ac:dyDescent="0.2">
      <c r="A1091" s="35">
        <v>2021</v>
      </c>
      <c r="B1091" s="36" t="s">
        <v>89</v>
      </c>
      <c r="C1091" s="37" t="s">
        <v>249</v>
      </c>
      <c r="D1091" s="37" t="s">
        <v>266</v>
      </c>
      <c r="E1091" s="38">
        <v>0</v>
      </c>
    </row>
    <row r="1092" spans="1:5" x14ac:dyDescent="0.2">
      <c r="A1092" s="35">
        <v>2021</v>
      </c>
      <c r="B1092" s="36" t="s">
        <v>89</v>
      </c>
      <c r="C1092" s="37" t="s">
        <v>249</v>
      </c>
      <c r="D1092" s="37" t="s">
        <v>251</v>
      </c>
      <c r="E1092" s="38">
        <v>5812758</v>
      </c>
    </row>
    <row r="1093" spans="1:5" x14ac:dyDescent="0.2">
      <c r="A1093" s="35">
        <v>2021</v>
      </c>
      <c r="B1093" s="36" t="s">
        <v>89</v>
      </c>
      <c r="C1093" s="37" t="s">
        <v>249</v>
      </c>
      <c r="D1093" s="37" t="s">
        <v>252</v>
      </c>
      <c r="E1093" s="38">
        <v>47444634</v>
      </c>
    </row>
    <row r="1094" spans="1:5" x14ac:dyDescent="0.2">
      <c r="A1094" s="35">
        <v>2021</v>
      </c>
      <c r="B1094" s="36" t="s">
        <v>89</v>
      </c>
      <c r="C1094" s="37" t="s">
        <v>249</v>
      </c>
      <c r="D1094" s="37" t="s">
        <v>264</v>
      </c>
      <c r="E1094" s="38">
        <v>43117707</v>
      </c>
    </row>
    <row r="1095" spans="1:5" x14ac:dyDescent="0.2">
      <c r="A1095" s="35">
        <v>2021</v>
      </c>
      <c r="B1095" s="36" t="s">
        <v>89</v>
      </c>
      <c r="C1095" s="37" t="s">
        <v>249</v>
      </c>
      <c r="D1095" s="37" t="s">
        <v>253</v>
      </c>
      <c r="E1095" s="38">
        <v>288520</v>
      </c>
    </row>
    <row r="1096" spans="1:5" x14ac:dyDescent="0.2">
      <c r="A1096" s="35">
        <v>2021</v>
      </c>
      <c r="B1096" s="36" t="s">
        <v>89</v>
      </c>
      <c r="C1096" s="37" t="s">
        <v>249</v>
      </c>
      <c r="D1096" s="37" t="s">
        <v>254</v>
      </c>
      <c r="E1096" s="38">
        <v>194742</v>
      </c>
    </row>
    <row r="1097" spans="1:5" x14ac:dyDescent="0.2">
      <c r="A1097" s="35">
        <v>2021</v>
      </c>
      <c r="B1097" s="36" t="s">
        <v>89</v>
      </c>
      <c r="C1097" s="37" t="s">
        <v>249</v>
      </c>
      <c r="D1097" s="37" t="s">
        <v>255</v>
      </c>
      <c r="E1097" s="38">
        <v>10123161</v>
      </c>
    </row>
    <row r="1098" spans="1:5" x14ac:dyDescent="0.2">
      <c r="A1098" s="35">
        <v>2021</v>
      </c>
      <c r="B1098" s="36" t="s">
        <v>89</v>
      </c>
      <c r="C1098" s="37" t="s">
        <v>249</v>
      </c>
      <c r="D1098" s="37" t="s">
        <v>256</v>
      </c>
      <c r="E1098" s="38">
        <v>557186</v>
      </c>
    </row>
    <row r="1099" spans="1:5" x14ac:dyDescent="0.2">
      <c r="A1099" s="35">
        <v>2021</v>
      </c>
      <c r="B1099" s="36" t="s">
        <v>89</v>
      </c>
      <c r="C1099" s="37" t="s">
        <v>249</v>
      </c>
      <c r="D1099" s="37" t="s">
        <v>257</v>
      </c>
      <c r="E1099" s="38">
        <v>514703</v>
      </c>
    </row>
    <row r="1100" spans="1:5" x14ac:dyDescent="0.2">
      <c r="A1100" s="35">
        <v>2021</v>
      </c>
      <c r="B1100" s="36" t="s">
        <v>89</v>
      </c>
      <c r="C1100" s="37" t="s">
        <v>249</v>
      </c>
      <c r="D1100" s="37" t="s">
        <v>258</v>
      </c>
      <c r="E1100" s="38">
        <v>1465316</v>
      </c>
    </row>
    <row r="1101" spans="1:5" x14ac:dyDescent="0.2">
      <c r="A1101" s="35">
        <v>2021</v>
      </c>
      <c r="B1101" s="36" t="s">
        <v>89</v>
      </c>
      <c r="C1101" s="37" t="s">
        <v>259</v>
      </c>
      <c r="D1101" s="37" t="s">
        <v>230</v>
      </c>
      <c r="E1101" s="38">
        <v>1749661</v>
      </c>
    </row>
    <row r="1102" spans="1:5" x14ac:dyDescent="0.2">
      <c r="A1102" s="35">
        <v>2021</v>
      </c>
      <c r="B1102" s="36" t="s">
        <v>89</v>
      </c>
      <c r="C1102" s="37" t="s">
        <v>259</v>
      </c>
      <c r="D1102" s="37" t="s">
        <v>250</v>
      </c>
      <c r="E1102" s="38">
        <v>139642</v>
      </c>
    </row>
    <row r="1103" spans="1:5" x14ac:dyDescent="0.2">
      <c r="A1103" s="35">
        <v>2021</v>
      </c>
      <c r="B1103" s="36" t="s">
        <v>89</v>
      </c>
      <c r="C1103" s="37" t="s">
        <v>259</v>
      </c>
      <c r="D1103" s="37" t="s">
        <v>251</v>
      </c>
      <c r="E1103" s="38">
        <v>0</v>
      </c>
    </row>
    <row r="1104" spans="1:5" x14ac:dyDescent="0.2">
      <c r="A1104" s="35">
        <v>2021</v>
      </c>
      <c r="B1104" s="36" t="s">
        <v>89</v>
      </c>
      <c r="C1104" s="37" t="s">
        <v>259</v>
      </c>
      <c r="D1104" s="37" t="s">
        <v>252</v>
      </c>
      <c r="E1104" s="38">
        <v>166190</v>
      </c>
    </row>
    <row r="1105" spans="1:5" x14ac:dyDescent="0.2">
      <c r="A1105" s="35">
        <v>2021</v>
      </c>
      <c r="B1105" s="36" t="s">
        <v>89</v>
      </c>
      <c r="C1105" s="37" t="s">
        <v>259</v>
      </c>
      <c r="D1105" s="37" t="s">
        <v>253</v>
      </c>
      <c r="E1105" s="38">
        <v>237100</v>
      </c>
    </row>
    <row r="1106" spans="1:5" x14ac:dyDescent="0.2">
      <c r="A1106" s="35">
        <v>2021</v>
      </c>
      <c r="B1106" s="36" t="s">
        <v>89</v>
      </c>
      <c r="C1106" s="37" t="s">
        <v>259</v>
      </c>
      <c r="D1106" s="37" t="s">
        <v>254</v>
      </c>
      <c r="E1106" s="38">
        <v>17940</v>
      </c>
    </row>
    <row r="1107" spans="1:5" x14ac:dyDescent="0.2">
      <c r="A1107" s="35">
        <v>2021</v>
      </c>
      <c r="B1107" s="36" t="s">
        <v>89</v>
      </c>
      <c r="C1107" s="37" t="s">
        <v>259</v>
      </c>
      <c r="D1107" s="37" t="s">
        <v>256</v>
      </c>
      <c r="E1107" s="38">
        <v>0</v>
      </c>
    </row>
    <row r="1108" spans="1:5" x14ac:dyDescent="0.2">
      <c r="A1108" s="35">
        <v>2021</v>
      </c>
      <c r="B1108" s="36" t="s">
        <v>89</v>
      </c>
      <c r="C1108" s="37" t="s">
        <v>259</v>
      </c>
      <c r="D1108" s="37" t="s">
        <v>258</v>
      </c>
      <c r="E1108" s="38">
        <v>1188789</v>
      </c>
    </row>
    <row r="1109" spans="1:5" x14ac:dyDescent="0.2">
      <c r="A1109" s="35">
        <v>2021</v>
      </c>
      <c r="B1109" s="36" t="s">
        <v>89</v>
      </c>
      <c r="C1109" s="37" t="s">
        <v>260</v>
      </c>
      <c r="D1109" s="37" t="s">
        <v>230</v>
      </c>
      <c r="E1109" s="38">
        <v>361847</v>
      </c>
    </row>
    <row r="1110" spans="1:5" x14ac:dyDescent="0.2">
      <c r="A1110" s="35">
        <v>2021</v>
      </c>
      <c r="B1110" s="36" t="s">
        <v>89</v>
      </c>
      <c r="C1110" s="37" t="s">
        <v>260</v>
      </c>
      <c r="D1110" s="37" t="s">
        <v>250</v>
      </c>
      <c r="E1110" s="38">
        <v>28983</v>
      </c>
    </row>
    <row r="1111" spans="1:5" x14ac:dyDescent="0.2">
      <c r="A1111" s="35">
        <v>2021</v>
      </c>
      <c r="B1111" s="36" t="s">
        <v>89</v>
      </c>
      <c r="C1111" s="37" t="s">
        <v>260</v>
      </c>
      <c r="D1111" s="37" t="s">
        <v>251</v>
      </c>
      <c r="E1111" s="38">
        <v>13993</v>
      </c>
    </row>
    <row r="1112" spans="1:5" x14ac:dyDescent="0.2">
      <c r="A1112" s="35">
        <v>2021</v>
      </c>
      <c r="B1112" s="36" t="s">
        <v>89</v>
      </c>
      <c r="C1112" s="37" t="s">
        <v>260</v>
      </c>
      <c r="D1112" s="37" t="s">
        <v>252</v>
      </c>
      <c r="E1112" s="38">
        <v>151361</v>
      </c>
    </row>
    <row r="1113" spans="1:5" x14ac:dyDescent="0.2">
      <c r="A1113" s="35">
        <v>2021</v>
      </c>
      <c r="B1113" s="36" t="s">
        <v>89</v>
      </c>
      <c r="C1113" s="37" t="s">
        <v>260</v>
      </c>
      <c r="D1113" s="37" t="s">
        <v>254</v>
      </c>
      <c r="E1113" s="38">
        <v>442</v>
      </c>
    </row>
    <row r="1114" spans="1:5" x14ac:dyDescent="0.2">
      <c r="A1114" s="35">
        <v>2021</v>
      </c>
      <c r="B1114" s="36" t="s">
        <v>89</v>
      </c>
      <c r="C1114" s="37" t="s">
        <v>260</v>
      </c>
      <c r="D1114" s="37" t="s">
        <v>255</v>
      </c>
      <c r="E1114" s="38">
        <v>112295</v>
      </c>
    </row>
    <row r="1115" spans="1:5" x14ac:dyDescent="0.2">
      <c r="A1115" s="35">
        <v>2021</v>
      </c>
      <c r="B1115" s="36" t="s">
        <v>89</v>
      </c>
      <c r="C1115" s="37" t="s">
        <v>260</v>
      </c>
      <c r="D1115" s="37" t="s">
        <v>256</v>
      </c>
      <c r="E1115" s="38">
        <v>54773</v>
      </c>
    </row>
    <row r="1116" spans="1:5" x14ac:dyDescent="0.2">
      <c r="A1116" s="35">
        <v>2021</v>
      </c>
      <c r="B1116" s="36" t="s">
        <v>89</v>
      </c>
      <c r="C1116" s="37" t="s">
        <v>261</v>
      </c>
      <c r="D1116" s="37" t="s">
        <v>230</v>
      </c>
      <c r="E1116" s="38">
        <v>101553</v>
      </c>
    </row>
    <row r="1117" spans="1:5" x14ac:dyDescent="0.2">
      <c r="A1117" s="35">
        <v>2021</v>
      </c>
      <c r="B1117" s="36" t="s">
        <v>89</v>
      </c>
      <c r="C1117" s="37" t="s">
        <v>261</v>
      </c>
      <c r="D1117" s="37" t="s">
        <v>250</v>
      </c>
      <c r="E1117" s="38">
        <v>7728</v>
      </c>
    </row>
    <row r="1118" spans="1:5" x14ac:dyDescent="0.2">
      <c r="A1118" s="35">
        <v>2021</v>
      </c>
      <c r="B1118" s="36" t="s">
        <v>89</v>
      </c>
      <c r="C1118" s="37" t="s">
        <v>261</v>
      </c>
      <c r="D1118" s="37" t="s">
        <v>253</v>
      </c>
      <c r="E1118" s="38">
        <v>23590</v>
      </c>
    </row>
    <row r="1119" spans="1:5" x14ac:dyDescent="0.2">
      <c r="A1119" s="35">
        <v>2021</v>
      </c>
      <c r="B1119" s="36" t="s">
        <v>89</v>
      </c>
      <c r="C1119" s="37" t="s">
        <v>261</v>
      </c>
      <c r="D1119" s="37" t="s">
        <v>254</v>
      </c>
      <c r="E1119" s="38">
        <v>314</v>
      </c>
    </row>
    <row r="1120" spans="1:5" x14ac:dyDescent="0.2">
      <c r="A1120" s="35">
        <v>2021</v>
      </c>
      <c r="B1120" s="36" t="s">
        <v>89</v>
      </c>
      <c r="C1120" s="37" t="s">
        <v>261</v>
      </c>
      <c r="D1120" s="37" t="s">
        <v>256</v>
      </c>
      <c r="E1120" s="38">
        <v>42416</v>
      </c>
    </row>
    <row r="1121" spans="1:5" x14ac:dyDescent="0.2">
      <c r="A1121" s="35">
        <v>2021</v>
      </c>
      <c r="B1121" s="36" t="s">
        <v>89</v>
      </c>
      <c r="C1121" s="37" t="s">
        <v>261</v>
      </c>
      <c r="D1121" s="37" t="s">
        <v>258</v>
      </c>
      <c r="E1121" s="38">
        <v>27505</v>
      </c>
    </row>
    <row r="1122" spans="1:5" x14ac:dyDescent="0.2">
      <c r="A1122" s="35">
        <v>2021</v>
      </c>
      <c r="B1122" s="36" t="s">
        <v>89</v>
      </c>
      <c r="C1122" s="37" t="s">
        <v>262</v>
      </c>
      <c r="D1122" s="37" t="s">
        <v>230</v>
      </c>
      <c r="E1122" s="38">
        <v>19557110</v>
      </c>
    </row>
    <row r="1123" spans="1:5" x14ac:dyDescent="0.2">
      <c r="A1123" s="35">
        <v>2021</v>
      </c>
      <c r="B1123" s="36" t="s">
        <v>89</v>
      </c>
      <c r="C1123" s="37" t="s">
        <v>262</v>
      </c>
      <c r="D1123" s="37" t="s">
        <v>250</v>
      </c>
      <c r="E1123" s="38">
        <v>8500</v>
      </c>
    </row>
    <row r="1124" spans="1:5" x14ac:dyDescent="0.2">
      <c r="A1124" s="35">
        <v>2021</v>
      </c>
      <c r="B1124" s="36" t="s">
        <v>89</v>
      </c>
      <c r="C1124" s="37" t="s">
        <v>262</v>
      </c>
      <c r="D1124" s="37" t="s">
        <v>251</v>
      </c>
      <c r="E1124" s="38">
        <v>891352</v>
      </c>
    </row>
    <row r="1125" spans="1:5" x14ac:dyDescent="0.2">
      <c r="A1125" s="35">
        <v>2021</v>
      </c>
      <c r="B1125" s="36" t="s">
        <v>89</v>
      </c>
      <c r="C1125" s="37" t="s">
        <v>262</v>
      </c>
      <c r="D1125" s="37" t="s">
        <v>252</v>
      </c>
      <c r="E1125" s="38">
        <v>8150353</v>
      </c>
    </row>
    <row r="1126" spans="1:5" x14ac:dyDescent="0.2">
      <c r="A1126" s="35">
        <v>2021</v>
      </c>
      <c r="B1126" s="36" t="s">
        <v>89</v>
      </c>
      <c r="C1126" s="37" t="s">
        <v>262</v>
      </c>
      <c r="D1126" s="37" t="s">
        <v>253</v>
      </c>
      <c r="E1126" s="38">
        <v>28060</v>
      </c>
    </row>
    <row r="1127" spans="1:5" x14ac:dyDescent="0.2">
      <c r="A1127" s="35">
        <v>2021</v>
      </c>
      <c r="B1127" s="36" t="s">
        <v>89</v>
      </c>
      <c r="C1127" s="37" t="s">
        <v>262</v>
      </c>
      <c r="D1127" s="37" t="s">
        <v>254</v>
      </c>
      <c r="E1127" s="38">
        <v>6169</v>
      </c>
    </row>
    <row r="1128" spans="1:5" x14ac:dyDescent="0.2">
      <c r="A1128" s="35">
        <v>2021</v>
      </c>
      <c r="B1128" s="36" t="s">
        <v>89</v>
      </c>
      <c r="C1128" s="37" t="s">
        <v>262</v>
      </c>
      <c r="D1128" s="37" t="s">
        <v>255</v>
      </c>
      <c r="E1128" s="38">
        <v>9248955</v>
      </c>
    </row>
    <row r="1129" spans="1:5" x14ac:dyDescent="0.2">
      <c r="A1129" s="35">
        <v>2021</v>
      </c>
      <c r="B1129" s="36" t="s">
        <v>89</v>
      </c>
      <c r="C1129" s="37" t="s">
        <v>262</v>
      </c>
      <c r="D1129" s="37" t="s">
        <v>256</v>
      </c>
      <c r="E1129" s="38">
        <v>459997</v>
      </c>
    </row>
    <row r="1130" spans="1:5" x14ac:dyDescent="0.2">
      <c r="A1130" s="35">
        <v>2021</v>
      </c>
      <c r="B1130" s="36" t="s">
        <v>89</v>
      </c>
      <c r="C1130" s="37" t="s">
        <v>262</v>
      </c>
      <c r="D1130" s="37" t="s">
        <v>257</v>
      </c>
      <c r="E1130" s="38">
        <v>514703</v>
      </c>
    </row>
    <row r="1131" spans="1:5" x14ac:dyDescent="0.2">
      <c r="A1131" s="35">
        <v>2021</v>
      </c>
      <c r="B1131" s="36" t="s">
        <v>89</v>
      </c>
      <c r="C1131" s="37" t="s">
        <v>262</v>
      </c>
      <c r="D1131" s="37" t="s">
        <v>258</v>
      </c>
      <c r="E1131" s="38">
        <v>249022</v>
      </c>
    </row>
    <row r="1132" spans="1:5" x14ac:dyDescent="0.2">
      <c r="A1132" s="35">
        <v>2021</v>
      </c>
      <c r="B1132" s="36" t="s">
        <v>89</v>
      </c>
      <c r="C1132" s="37" t="s">
        <v>263</v>
      </c>
      <c r="D1132" s="37" t="s">
        <v>230</v>
      </c>
      <c r="E1132" s="38">
        <v>108153193</v>
      </c>
    </row>
    <row r="1133" spans="1:5" x14ac:dyDescent="0.2">
      <c r="A1133" s="35">
        <v>2021</v>
      </c>
      <c r="B1133" s="36" t="s">
        <v>89</v>
      </c>
      <c r="C1133" s="37" t="s">
        <v>263</v>
      </c>
      <c r="D1133" s="37" t="s">
        <v>250</v>
      </c>
      <c r="E1133" s="38">
        <v>20219785</v>
      </c>
    </row>
    <row r="1134" spans="1:5" x14ac:dyDescent="0.2">
      <c r="A1134" s="35">
        <v>2021</v>
      </c>
      <c r="B1134" s="36" t="s">
        <v>89</v>
      </c>
      <c r="C1134" s="37" t="s">
        <v>263</v>
      </c>
      <c r="D1134" s="37" t="s">
        <v>266</v>
      </c>
      <c r="E1134" s="38">
        <v>0</v>
      </c>
    </row>
    <row r="1135" spans="1:5" x14ac:dyDescent="0.2">
      <c r="A1135" s="35">
        <v>2021</v>
      </c>
      <c r="B1135" s="36" t="s">
        <v>89</v>
      </c>
      <c r="C1135" s="37" t="s">
        <v>263</v>
      </c>
      <c r="D1135" s="37" t="s">
        <v>251</v>
      </c>
      <c r="E1135" s="38">
        <v>4907413</v>
      </c>
    </row>
    <row r="1136" spans="1:5" x14ac:dyDescent="0.2">
      <c r="A1136" s="35">
        <v>2021</v>
      </c>
      <c r="B1136" s="36" t="s">
        <v>89</v>
      </c>
      <c r="C1136" s="37" t="s">
        <v>263</v>
      </c>
      <c r="D1136" s="37" t="s">
        <v>252</v>
      </c>
      <c r="E1136" s="38">
        <v>38976730</v>
      </c>
    </row>
    <row r="1137" spans="1:5" x14ac:dyDescent="0.2">
      <c r="A1137" s="35">
        <v>2021</v>
      </c>
      <c r="B1137" s="36" t="s">
        <v>89</v>
      </c>
      <c r="C1137" s="37" t="s">
        <v>263</v>
      </c>
      <c r="D1137" s="37" t="s">
        <v>264</v>
      </c>
      <c r="E1137" s="38">
        <v>43117707</v>
      </c>
    </row>
    <row r="1138" spans="1:5" x14ac:dyDescent="0.2">
      <c r="A1138" s="35">
        <v>2021</v>
      </c>
      <c r="B1138" s="36" t="s">
        <v>89</v>
      </c>
      <c r="C1138" s="37" t="s">
        <v>263</v>
      </c>
      <c r="D1138" s="37" t="s">
        <v>253</v>
      </c>
      <c r="E1138" s="38">
        <v>-230</v>
      </c>
    </row>
    <row r="1139" spans="1:5" x14ac:dyDescent="0.2">
      <c r="A1139" s="35">
        <v>2021</v>
      </c>
      <c r="B1139" s="36" t="s">
        <v>89</v>
      </c>
      <c r="C1139" s="37" t="s">
        <v>263</v>
      </c>
      <c r="D1139" s="37" t="s">
        <v>254</v>
      </c>
      <c r="E1139" s="38">
        <v>169877</v>
      </c>
    </row>
    <row r="1140" spans="1:5" x14ac:dyDescent="0.2">
      <c r="A1140" s="35">
        <v>2021</v>
      </c>
      <c r="B1140" s="36" t="s">
        <v>89</v>
      </c>
      <c r="C1140" s="37" t="s">
        <v>263</v>
      </c>
      <c r="D1140" s="37" t="s">
        <v>255</v>
      </c>
      <c r="E1140" s="38">
        <v>761911</v>
      </c>
    </row>
    <row r="1141" spans="1:5" x14ac:dyDescent="0.2">
      <c r="A1141" s="35">
        <v>2021</v>
      </c>
      <c r="B1141" s="36" t="s">
        <v>91</v>
      </c>
      <c r="C1141" s="37" t="s">
        <v>249</v>
      </c>
      <c r="D1141" s="37" t="s">
        <v>230</v>
      </c>
      <c r="E1141" s="38">
        <v>43032378</v>
      </c>
    </row>
    <row r="1142" spans="1:5" x14ac:dyDescent="0.2">
      <c r="A1142" s="35">
        <v>2021</v>
      </c>
      <c r="B1142" s="36" t="s">
        <v>91</v>
      </c>
      <c r="C1142" s="37" t="s">
        <v>249</v>
      </c>
      <c r="D1142" s="37" t="s">
        <v>250</v>
      </c>
      <c r="E1142" s="38">
        <v>24402791</v>
      </c>
    </row>
    <row r="1143" spans="1:5" x14ac:dyDescent="0.2">
      <c r="A1143" s="35">
        <v>2021</v>
      </c>
      <c r="B1143" s="36" t="s">
        <v>91</v>
      </c>
      <c r="C1143" s="37" t="s">
        <v>249</v>
      </c>
      <c r="D1143" s="37" t="s">
        <v>251</v>
      </c>
      <c r="E1143" s="38">
        <v>1989053</v>
      </c>
    </row>
    <row r="1144" spans="1:5" x14ac:dyDescent="0.2">
      <c r="A1144" s="35">
        <v>2021</v>
      </c>
      <c r="B1144" s="36" t="s">
        <v>91</v>
      </c>
      <c r="C1144" s="37" t="s">
        <v>249</v>
      </c>
      <c r="D1144" s="37" t="s">
        <v>252</v>
      </c>
      <c r="E1144" s="38">
        <v>1577728</v>
      </c>
    </row>
    <row r="1145" spans="1:5" x14ac:dyDescent="0.2">
      <c r="A1145" s="35">
        <v>2021</v>
      </c>
      <c r="B1145" s="36" t="s">
        <v>91</v>
      </c>
      <c r="C1145" s="37" t="s">
        <v>249</v>
      </c>
      <c r="D1145" s="37" t="s">
        <v>265</v>
      </c>
      <c r="E1145" s="38">
        <v>38290</v>
      </c>
    </row>
    <row r="1146" spans="1:5" x14ac:dyDescent="0.2">
      <c r="A1146" s="35">
        <v>2021</v>
      </c>
      <c r="B1146" s="36" t="s">
        <v>91</v>
      </c>
      <c r="C1146" s="37" t="s">
        <v>249</v>
      </c>
      <c r="D1146" s="37" t="s">
        <v>253</v>
      </c>
      <c r="E1146" s="38">
        <v>54454</v>
      </c>
    </row>
    <row r="1147" spans="1:5" x14ac:dyDescent="0.2">
      <c r="A1147" s="35">
        <v>2021</v>
      </c>
      <c r="B1147" s="36" t="s">
        <v>91</v>
      </c>
      <c r="C1147" s="37" t="s">
        <v>249</v>
      </c>
      <c r="D1147" s="37" t="s">
        <v>254</v>
      </c>
      <c r="E1147" s="38">
        <v>33095</v>
      </c>
    </row>
    <row r="1148" spans="1:5" x14ac:dyDescent="0.2">
      <c r="A1148" s="35">
        <v>2021</v>
      </c>
      <c r="B1148" s="36" t="s">
        <v>91</v>
      </c>
      <c r="C1148" s="37" t="s">
        <v>249</v>
      </c>
      <c r="D1148" s="37" t="s">
        <v>256</v>
      </c>
      <c r="E1148" s="38">
        <v>1764</v>
      </c>
    </row>
    <row r="1149" spans="1:5" x14ac:dyDescent="0.2">
      <c r="A1149" s="35">
        <v>2021</v>
      </c>
      <c r="B1149" s="36" t="s">
        <v>91</v>
      </c>
      <c r="C1149" s="37" t="s">
        <v>249</v>
      </c>
      <c r="D1149" s="37" t="s">
        <v>257</v>
      </c>
      <c r="E1149" s="38">
        <v>14935203</v>
      </c>
    </row>
    <row r="1150" spans="1:5" x14ac:dyDescent="0.2">
      <c r="A1150" s="35">
        <v>2021</v>
      </c>
      <c r="B1150" s="36" t="s">
        <v>91</v>
      </c>
      <c r="C1150" s="37" t="s">
        <v>259</v>
      </c>
      <c r="D1150" s="37" t="s">
        <v>230</v>
      </c>
      <c r="E1150" s="38">
        <v>165650</v>
      </c>
    </row>
    <row r="1151" spans="1:5" x14ac:dyDescent="0.2">
      <c r="A1151" s="35">
        <v>2021</v>
      </c>
      <c r="B1151" s="36" t="s">
        <v>91</v>
      </c>
      <c r="C1151" s="37" t="s">
        <v>259</v>
      </c>
      <c r="D1151" s="37" t="s">
        <v>250</v>
      </c>
      <c r="E1151" s="38">
        <v>110184</v>
      </c>
    </row>
    <row r="1152" spans="1:5" x14ac:dyDescent="0.2">
      <c r="A1152" s="35">
        <v>2021</v>
      </c>
      <c r="B1152" s="36" t="s">
        <v>91</v>
      </c>
      <c r="C1152" s="37" t="s">
        <v>259</v>
      </c>
      <c r="D1152" s="37" t="s">
        <v>252</v>
      </c>
      <c r="E1152" s="38">
        <v>15412</v>
      </c>
    </row>
    <row r="1153" spans="1:5" x14ac:dyDescent="0.2">
      <c r="A1153" s="35">
        <v>2021</v>
      </c>
      <c r="B1153" s="36" t="s">
        <v>91</v>
      </c>
      <c r="C1153" s="37" t="s">
        <v>259</v>
      </c>
      <c r="D1153" s="37" t="s">
        <v>265</v>
      </c>
      <c r="E1153" s="38">
        <v>38290</v>
      </c>
    </row>
    <row r="1154" spans="1:5" x14ac:dyDescent="0.2">
      <c r="A1154" s="35">
        <v>2021</v>
      </c>
      <c r="B1154" s="36" t="s">
        <v>91</v>
      </c>
      <c r="C1154" s="37" t="s">
        <v>259</v>
      </c>
      <c r="D1154" s="37" t="s">
        <v>254</v>
      </c>
      <c r="E1154" s="38">
        <v>0</v>
      </c>
    </row>
    <row r="1155" spans="1:5" x14ac:dyDescent="0.2">
      <c r="A1155" s="35">
        <v>2021</v>
      </c>
      <c r="B1155" s="36" t="s">
        <v>91</v>
      </c>
      <c r="C1155" s="37" t="s">
        <v>259</v>
      </c>
      <c r="D1155" s="37" t="s">
        <v>256</v>
      </c>
      <c r="E1155" s="38">
        <v>1764</v>
      </c>
    </row>
    <row r="1156" spans="1:5" x14ac:dyDescent="0.2">
      <c r="A1156" s="35">
        <v>2021</v>
      </c>
      <c r="B1156" s="36" t="s">
        <v>91</v>
      </c>
      <c r="C1156" s="37" t="s">
        <v>260</v>
      </c>
      <c r="D1156" s="37" t="s">
        <v>230</v>
      </c>
      <c r="E1156" s="38">
        <v>772</v>
      </c>
    </row>
    <row r="1157" spans="1:5" x14ac:dyDescent="0.2">
      <c r="A1157" s="35">
        <v>2021</v>
      </c>
      <c r="B1157" s="36" t="s">
        <v>91</v>
      </c>
      <c r="C1157" s="37" t="s">
        <v>260</v>
      </c>
      <c r="D1157" s="37" t="s">
        <v>254</v>
      </c>
      <c r="E1157" s="38">
        <v>450</v>
      </c>
    </row>
    <row r="1158" spans="1:5" x14ac:dyDescent="0.2">
      <c r="A1158" s="35">
        <v>2021</v>
      </c>
      <c r="B1158" s="36" t="s">
        <v>91</v>
      </c>
      <c r="C1158" s="37" t="s">
        <v>260</v>
      </c>
      <c r="D1158" s="37" t="s">
        <v>257</v>
      </c>
      <c r="E1158" s="38">
        <v>322</v>
      </c>
    </row>
    <row r="1159" spans="1:5" x14ac:dyDescent="0.2">
      <c r="A1159" s="35">
        <v>2021</v>
      </c>
      <c r="B1159" s="36" t="s">
        <v>91</v>
      </c>
      <c r="C1159" s="37" t="s">
        <v>262</v>
      </c>
      <c r="D1159" s="37" t="s">
        <v>230</v>
      </c>
      <c r="E1159" s="38">
        <v>9479705</v>
      </c>
    </row>
    <row r="1160" spans="1:5" x14ac:dyDescent="0.2">
      <c r="A1160" s="35">
        <v>2021</v>
      </c>
      <c r="B1160" s="36" t="s">
        <v>91</v>
      </c>
      <c r="C1160" s="37" t="s">
        <v>262</v>
      </c>
      <c r="D1160" s="37" t="s">
        <v>257</v>
      </c>
      <c r="E1160" s="38">
        <v>9479705</v>
      </c>
    </row>
    <row r="1161" spans="1:5" x14ac:dyDescent="0.2">
      <c r="A1161" s="35">
        <v>2021</v>
      </c>
      <c r="B1161" s="36" t="s">
        <v>91</v>
      </c>
      <c r="C1161" s="37" t="s">
        <v>263</v>
      </c>
      <c r="D1161" s="37" t="s">
        <v>230</v>
      </c>
      <c r="E1161" s="38">
        <v>33386251</v>
      </c>
    </row>
    <row r="1162" spans="1:5" x14ac:dyDescent="0.2">
      <c r="A1162" s="35">
        <v>2021</v>
      </c>
      <c r="B1162" s="36" t="s">
        <v>91</v>
      </c>
      <c r="C1162" s="37" t="s">
        <v>263</v>
      </c>
      <c r="D1162" s="37" t="s">
        <v>250</v>
      </c>
      <c r="E1162" s="38">
        <v>24292607</v>
      </c>
    </row>
    <row r="1163" spans="1:5" x14ac:dyDescent="0.2">
      <c r="A1163" s="35">
        <v>2021</v>
      </c>
      <c r="B1163" s="36" t="s">
        <v>91</v>
      </c>
      <c r="C1163" s="37" t="s">
        <v>263</v>
      </c>
      <c r="D1163" s="37" t="s">
        <v>251</v>
      </c>
      <c r="E1163" s="38">
        <v>1989053</v>
      </c>
    </row>
    <row r="1164" spans="1:5" x14ac:dyDescent="0.2">
      <c r="A1164" s="35">
        <v>2021</v>
      </c>
      <c r="B1164" s="36" t="s">
        <v>91</v>
      </c>
      <c r="C1164" s="37" t="s">
        <v>263</v>
      </c>
      <c r="D1164" s="37" t="s">
        <v>252</v>
      </c>
      <c r="E1164" s="38">
        <v>1562316</v>
      </c>
    </row>
    <row r="1165" spans="1:5" x14ac:dyDescent="0.2">
      <c r="A1165" s="35">
        <v>2021</v>
      </c>
      <c r="B1165" s="36" t="s">
        <v>91</v>
      </c>
      <c r="C1165" s="37" t="s">
        <v>263</v>
      </c>
      <c r="D1165" s="37" t="s">
        <v>253</v>
      </c>
      <c r="E1165" s="38">
        <v>54454</v>
      </c>
    </row>
    <row r="1166" spans="1:5" x14ac:dyDescent="0.2">
      <c r="A1166" s="35">
        <v>2021</v>
      </c>
      <c r="B1166" s="36" t="s">
        <v>91</v>
      </c>
      <c r="C1166" s="37" t="s">
        <v>263</v>
      </c>
      <c r="D1166" s="37" t="s">
        <v>254</v>
      </c>
      <c r="E1166" s="38">
        <v>32645</v>
      </c>
    </row>
    <row r="1167" spans="1:5" x14ac:dyDescent="0.2">
      <c r="A1167" s="35">
        <v>2021</v>
      </c>
      <c r="B1167" s="36" t="s">
        <v>91</v>
      </c>
      <c r="C1167" s="37" t="s">
        <v>263</v>
      </c>
      <c r="D1167" s="37" t="s">
        <v>257</v>
      </c>
      <c r="E1167" s="38">
        <v>5455176</v>
      </c>
    </row>
    <row r="1168" spans="1:5" x14ac:dyDescent="0.2">
      <c r="A1168" s="35">
        <v>2021</v>
      </c>
      <c r="B1168" s="36" t="s">
        <v>72</v>
      </c>
      <c r="C1168" s="37" t="s">
        <v>249</v>
      </c>
      <c r="D1168" s="37" t="s">
        <v>230</v>
      </c>
      <c r="E1168" s="38">
        <v>37910898</v>
      </c>
    </row>
    <row r="1169" spans="1:5" x14ac:dyDescent="0.2">
      <c r="A1169" s="35">
        <v>2021</v>
      </c>
      <c r="B1169" s="36" t="s">
        <v>72</v>
      </c>
      <c r="C1169" s="37" t="s">
        <v>249</v>
      </c>
      <c r="D1169" s="37" t="s">
        <v>250</v>
      </c>
      <c r="E1169" s="38">
        <v>18933617</v>
      </c>
    </row>
    <row r="1170" spans="1:5" x14ac:dyDescent="0.2">
      <c r="A1170" s="35">
        <v>2021</v>
      </c>
      <c r="B1170" s="36" t="s">
        <v>72</v>
      </c>
      <c r="C1170" s="37" t="s">
        <v>249</v>
      </c>
      <c r="D1170" s="37" t="s">
        <v>251</v>
      </c>
      <c r="E1170" s="38">
        <v>1123156</v>
      </c>
    </row>
    <row r="1171" spans="1:5" x14ac:dyDescent="0.2">
      <c r="A1171" s="35">
        <v>2021</v>
      </c>
      <c r="B1171" s="36" t="s">
        <v>72</v>
      </c>
      <c r="C1171" s="37" t="s">
        <v>249</v>
      </c>
      <c r="D1171" s="37" t="s">
        <v>252</v>
      </c>
      <c r="E1171" s="38">
        <v>1173365</v>
      </c>
    </row>
    <row r="1172" spans="1:5" x14ac:dyDescent="0.2">
      <c r="A1172" s="35">
        <v>2021</v>
      </c>
      <c r="B1172" s="36" t="s">
        <v>72</v>
      </c>
      <c r="C1172" s="37" t="s">
        <v>249</v>
      </c>
      <c r="D1172" s="37" t="s">
        <v>264</v>
      </c>
      <c r="E1172" s="38">
        <v>6880622</v>
      </c>
    </row>
    <row r="1173" spans="1:5" x14ac:dyDescent="0.2">
      <c r="A1173" s="35">
        <v>2021</v>
      </c>
      <c r="B1173" s="36" t="s">
        <v>72</v>
      </c>
      <c r="C1173" s="37" t="s">
        <v>249</v>
      </c>
      <c r="D1173" s="37" t="s">
        <v>253</v>
      </c>
      <c r="E1173" s="38">
        <v>-28</v>
      </c>
    </row>
    <row r="1174" spans="1:5" x14ac:dyDescent="0.2">
      <c r="A1174" s="35">
        <v>2021</v>
      </c>
      <c r="B1174" s="36" t="s">
        <v>72</v>
      </c>
      <c r="C1174" s="37" t="s">
        <v>249</v>
      </c>
      <c r="D1174" s="37" t="s">
        <v>254</v>
      </c>
      <c r="E1174" s="38">
        <v>55130</v>
      </c>
    </row>
    <row r="1175" spans="1:5" x14ac:dyDescent="0.2">
      <c r="A1175" s="35">
        <v>2021</v>
      </c>
      <c r="B1175" s="36" t="s">
        <v>72</v>
      </c>
      <c r="C1175" s="37" t="s">
        <v>249</v>
      </c>
      <c r="D1175" s="37" t="s">
        <v>255</v>
      </c>
      <c r="E1175" s="38">
        <v>60523</v>
      </c>
    </row>
    <row r="1176" spans="1:5" x14ac:dyDescent="0.2">
      <c r="A1176" s="35">
        <v>2021</v>
      </c>
      <c r="B1176" s="36" t="s">
        <v>72</v>
      </c>
      <c r="C1176" s="37" t="s">
        <v>249</v>
      </c>
      <c r="D1176" s="37" t="s">
        <v>256</v>
      </c>
      <c r="E1176" s="38">
        <v>92473</v>
      </c>
    </row>
    <row r="1177" spans="1:5" x14ac:dyDescent="0.2">
      <c r="A1177" s="35">
        <v>2021</v>
      </c>
      <c r="B1177" s="36" t="s">
        <v>72</v>
      </c>
      <c r="C1177" s="37" t="s">
        <v>249</v>
      </c>
      <c r="D1177" s="37" t="s">
        <v>257</v>
      </c>
      <c r="E1177" s="38">
        <v>9592039</v>
      </c>
    </row>
    <row r="1178" spans="1:5" x14ac:dyDescent="0.2">
      <c r="A1178" s="35">
        <v>2021</v>
      </c>
      <c r="B1178" s="36" t="s">
        <v>72</v>
      </c>
      <c r="C1178" s="37" t="s">
        <v>249</v>
      </c>
      <c r="D1178" s="37" t="s">
        <v>258</v>
      </c>
      <c r="E1178" s="38">
        <v>0</v>
      </c>
    </row>
    <row r="1179" spans="1:5" x14ac:dyDescent="0.2">
      <c r="A1179" s="35">
        <v>2021</v>
      </c>
      <c r="B1179" s="36" t="s">
        <v>72</v>
      </c>
      <c r="C1179" s="37" t="s">
        <v>259</v>
      </c>
      <c r="D1179" s="37" t="s">
        <v>230</v>
      </c>
      <c r="E1179" s="38">
        <v>330511</v>
      </c>
    </row>
    <row r="1180" spans="1:5" x14ac:dyDescent="0.2">
      <c r="A1180" s="35">
        <v>2021</v>
      </c>
      <c r="B1180" s="36" t="s">
        <v>72</v>
      </c>
      <c r="C1180" s="37" t="s">
        <v>259</v>
      </c>
      <c r="D1180" s="37" t="s">
        <v>250</v>
      </c>
      <c r="E1180" s="38">
        <v>330511</v>
      </c>
    </row>
    <row r="1181" spans="1:5" x14ac:dyDescent="0.2">
      <c r="A1181" s="35">
        <v>2021</v>
      </c>
      <c r="B1181" s="36" t="s">
        <v>72</v>
      </c>
      <c r="C1181" s="37" t="s">
        <v>259</v>
      </c>
      <c r="D1181" s="37" t="s">
        <v>252</v>
      </c>
      <c r="E1181" s="38">
        <v>0</v>
      </c>
    </row>
    <row r="1182" spans="1:5" x14ac:dyDescent="0.2">
      <c r="A1182" s="35">
        <v>2021</v>
      </c>
      <c r="B1182" s="36" t="s">
        <v>72</v>
      </c>
      <c r="C1182" s="37" t="s">
        <v>259</v>
      </c>
      <c r="D1182" s="37" t="s">
        <v>253</v>
      </c>
      <c r="E1182" s="38">
        <v>0</v>
      </c>
    </row>
    <row r="1183" spans="1:5" x14ac:dyDescent="0.2">
      <c r="A1183" s="35">
        <v>2021</v>
      </c>
      <c r="B1183" s="36" t="s">
        <v>72</v>
      </c>
      <c r="C1183" s="37" t="s">
        <v>259</v>
      </c>
      <c r="D1183" s="37" t="s">
        <v>256</v>
      </c>
      <c r="E1183" s="38">
        <v>0</v>
      </c>
    </row>
    <row r="1184" spans="1:5" x14ac:dyDescent="0.2">
      <c r="A1184" s="35">
        <v>2021</v>
      </c>
      <c r="B1184" s="36" t="s">
        <v>72</v>
      </c>
      <c r="C1184" s="37" t="s">
        <v>259</v>
      </c>
      <c r="D1184" s="37" t="s">
        <v>258</v>
      </c>
      <c r="E1184" s="38">
        <v>0</v>
      </c>
    </row>
    <row r="1185" spans="1:5" x14ac:dyDescent="0.2">
      <c r="A1185" s="35">
        <v>2021</v>
      </c>
      <c r="B1185" s="36" t="s">
        <v>72</v>
      </c>
      <c r="C1185" s="37" t="s">
        <v>260</v>
      </c>
      <c r="D1185" s="37" t="s">
        <v>230</v>
      </c>
      <c r="E1185" s="38">
        <v>17924</v>
      </c>
    </row>
    <row r="1186" spans="1:5" x14ac:dyDescent="0.2">
      <c r="A1186" s="35">
        <v>2021</v>
      </c>
      <c r="B1186" s="36" t="s">
        <v>72</v>
      </c>
      <c r="C1186" s="37" t="s">
        <v>260</v>
      </c>
      <c r="D1186" s="37" t="s">
        <v>252</v>
      </c>
      <c r="E1186" s="38">
        <v>2607</v>
      </c>
    </row>
    <row r="1187" spans="1:5" x14ac:dyDescent="0.2">
      <c r="A1187" s="35">
        <v>2021</v>
      </c>
      <c r="B1187" s="36" t="s">
        <v>72</v>
      </c>
      <c r="C1187" s="37" t="s">
        <v>260</v>
      </c>
      <c r="D1187" s="37" t="s">
        <v>256</v>
      </c>
      <c r="E1187" s="38">
        <v>15317</v>
      </c>
    </row>
    <row r="1188" spans="1:5" x14ac:dyDescent="0.2">
      <c r="A1188" s="35">
        <v>2021</v>
      </c>
      <c r="B1188" s="36" t="s">
        <v>72</v>
      </c>
      <c r="C1188" s="37" t="s">
        <v>262</v>
      </c>
      <c r="D1188" s="37" t="s">
        <v>230</v>
      </c>
      <c r="E1188" s="38">
        <v>9554507</v>
      </c>
    </row>
    <row r="1189" spans="1:5" x14ac:dyDescent="0.2">
      <c r="A1189" s="35">
        <v>2021</v>
      </c>
      <c r="B1189" s="36" t="s">
        <v>72</v>
      </c>
      <c r="C1189" s="37" t="s">
        <v>262</v>
      </c>
      <c r="D1189" s="37" t="s">
        <v>253</v>
      </c>
      <c r="E1189" s="38">
        <v>-28</v>
      </c>
    </row>
    <row r="1190" spans="1:5" x14ac:dyDescent="0.2">
      <c r="A1190" s="35">
        <v>2021</v>
      </c>
      <c r="B1190" s="36" t="s">
        <v>72</v>
      </c>
      <c r="C1190" s="37" t="s">
        <v>262</v>
      </c>
      <c r="D1190" s="37" t="s">
        <v>255</v>
      </c>
      <c r="E1190" s="38">
        <v>52705</v>
      </c>
    </row>
    <row r="1191" spans="1:5" x14ac:dyDescent="0.2">
      <c r="A1191" s="35">
        <v>2021</v>
      </c>
      <c r="B1191" s="36" t="s">
        <v>72</v>
      </c>
      <c r="C1191" s="37" t="s">
        <v>262</v>
      </c>
      <c r="D1191" s="37" t="s">
        <v>257</v>
      </c>
      <c r="E1191" s="38">
        <v>9501830</v>
      </c>
    </row>
    <row r="1192" spans="1:5" x14ac:dyDescent="0.2">
      <c r="A1192" s="35">
        <v>2021</v>
      </c>
      <c r="B1192" s="36" t="s">
        <v>72</v>
      </c>
      <c r="C1192" s="37" t="s">
        <v>263</v>
      </c>
      <c r="D1192" s="37" t="s">
        <v>230</v>
      </c>
      <c r="E1192" s="38">
        <v>28007956</v>
      </c>
    </row>
    <row r="1193" spans="1:5" x14ac:dyDescent="0.2">
      <c r="A1193" s="35">
        <v>2021</v>
      </c>
      <c r="B1193" s="36" t="s">
        <v>72</v>
      </c>
      <c r="C1193" s="37" t="s">
        <v>263</v>
      </c>
      <c r="D1193" s="37" t="s">
        <v>250</v>
      </c>
      <c r="E1193" s="38">
        <v>18603106</v>
      </c>
    </row>
    <row r="1194" spans="1:5" x14ac:dyDescent="0.2">
      <c r="A1194" s="35">
        <v>2021</v>
      </c>
      <c r="B1194" s="36" t="s">
        <v>72</v>
      </c>
      <c r="C1194" s="37" t="s">
        <v>263</v>
      </c>
      <c r="D1194" s="37" t="s">
        <v>251</v>
      </c>
      <c r="E1194" s="38">
        <v>1123156</v>
      </c>
    </row>
    <row r="1195" spans="1:5" x14ac:dyDescent="0.2">
      <c r="A1195" s="35">
        <v>2021</v>
      </c>
      <c r="B1195" s="36" t="s">
        <v>72</v>
      </c>
      <c r="C1195" s="37" t="s">
        <v>263</v>
      </c>
      <c r="D1195" s="37" t="s">
        <v>252</v>
      </c>
      <c r="E1195" s="38">
        <v>1170758</v>
      </c>
    </row>
    <row r="1196" spans="1:5" x14ac:dyDescent="0.2">
      <c r="A1196" s="35">
        <v>2021</v>
      </c>
      <c r="B1196" s="36" t="s">
        <v>72</v>
      </c>
      <c r="C1196" s="37" t="s">
        <v>263</v>
      </c>
      <c r="D1196" s="37" t="s">
        <v>264</v>
      </c>
      <c r="E1196" s="38">
        <v>6880622</v>
      </c>
    </row>
    <row r="1197" spans="1:5" x14ac:dyDescent="0.2">
      <c r="A1197" s="35">
        <v>2021</v>
      </c>
      <c r="B1197" s="36" t="s">
        <v>72</v>
      </c>
      <c r="C1197" s="37" t="s">
        <v>263</v>
      </c>
      <c r="D1197" s="37" t="s">
        <v>254</v>
      </c>
      <c r="E1197" s="38">
        <v>55130</v>
      </c>
    </row>
    <row r="1198" spans="1:5" x14ac:dyDescent="0.2">
      <c r="A1198" s="35">
        <v>2021</v>
      </c>
      <c r="B1198" s="36" t="s">
        <v>72</v>
      </c>
      <c r="C1198" s="37" t="s">
        <v>263</v>
      </c>
      <c r="D1198" s="37" t="s">
        <v>255</v>
      </c>
      <c r="E1198" s="38">
        <v>7818</v>
      </c>
    </row>
    <row r="1199" spans="1:5" x14ac:dyDescent="0.2">
      <c r="A1199" s="35">
        <v>2021</v>
      </c>
      <c r="B1199" s="36" t="s">
        <v>72</v>
      </c>
      <c r="C1199" s="37" t="s">
        <v>263</v>
      </c>
      <c r="D1199" s="37" t="s">
        <v>256</v>
      </c>
      <c r="E1199" s="38">
        <v>77157</v>
      </c>
    </row>
    <row r="1200" spans="1:5" x14ac:dyDescent="0.2">
      <c r="A1200" s="35">
        <v>2021</v>
      </c>
      <c r="B1200" s="36" t="s">
        <v>72</v>
      </c>
      <c r="C1200" s="37" t="s">
        <v>263</v>
      </c>
      <c r="D1200" s="37" t="s">
        <v>257</v>
      </c>
      <c r="E1200" s="38">
        <v>90209</v>
      </c>
    </row>
    <row r="1201" spans="1:5" x14ac:dyDescent="0.2">
      <c r="A1201" s="35">
        <v>2021</v>
      </c>
      <c r="B1201" s="36" t="s">
        <v>78</v>
      </c>
      <c r="C1201" s="37" t="s">
        <v>249</v>
      </c>
      <c r="D1201" s="37" t="s">
        <v>230</v>
      </c>
      <c r="E1201" s="38">
        <v>17193254</v>
      </c>
    </row>
    <row r="1202" spans="1:5" x14ac:dyDescent="0.2">
      <c r="A1202" s="35">
        <v>2021</v>
      </c>
      <c r="B1202" s="36" t="s">
        <v>78</v>
      </c>
      <c r="C1202" s="37" t="s">
        <v>249</v>
      </c>
      <c r="D1202" s="37" t="s">
        <v>250</v>
      </c>
      <c r="E1202" s="38">
        <v>284163</v>
      </c>
    </row>
    <row r="1203" spans="1:5" x14ac:dyDescent="0.2">
      <c r="A1203" s="35">
        <v>2021</v>
      </c>
      <c r="B1203" s="36" t="s">
        <v>78</v>
      </c>
      <c r="C1203" s="37" t="s">
        <v>249</v>
      </c>
      <c r="D1203" s="37" t="s">
        <v>251</v>
      </c>
      <c r="E1203" s="38">
        <v>1025006</v>
      </c>
    </row>
    <row r="1204" spans="1:5" x14ac:dyDescent="0.2">
      <c r="A1204" s="35">
        <v>2021</v>
      </c>
      <c r="B1204" s="36" t="s">
        <v>78</v>
      </c>
      <c r="C1204" s="37" t="s">
        <v>249</v>
      </c>
      <c r="D1204" s="37" t="s">
        <v>252</v>
      </c>
      <c r="E1204" s="38">
        <v>4466076</v>
      </c>
    </row>
    <row r="1205" spans="1:5" x14ac:dyDescent="0.2">
      <c r="A1205" s="35">
        <v>2021</v>
      </c>
      <c r="B1205" s="36" t="s">
        <v>78</v>
      </c>
      <c r="C1205" s="37" t="s">
        <v>249</v>
      </c>
      <c r="D1205" s="37" t="s">
        <v>264</v>
      </c>
      <c r="E1205" s="38">
        <v>9856117</v>
      </c>
    </row>
    <row r="1206" spans="1:5" x14ac:dyDescent="0.2">
      <c r="A1206" s="35">
        <v>2021</v>
      </c>
      <c r="B1206" s="36" t="s">
        <v>78</v>
      </c>
      <c r="C1206" s="37" t="s">
        <v>249</v>
      </c>
      <c r="D1206" s="37" t="s">
        <v>253</v>
      </c>
      <c r="E1206" s="38">
        <v>55317</v>
      </c>
    </row>
    <row r="1207" spans="1:5" x14ac:dyDescent="0.2">
      <c r="A1207" s="35">
        <v>2021</v>
      </c>
      <c r="B1207" s="36" t="s">
        <v>78</v>
      </c>
      <c r="C1207" s="37" t="s">
        <v>249</v>
      </c>
      <c r="D1207" s="37" t="s">
        <v>254</v>
      </c>
      <c r="E1207" s="38">
        <v>69971</v>
      </c>
    </row>
    <row r="1208" spans="1:5" x14ac:dyDescent="0.2">
      <c r="A1208" s="35">
        <v>2021</v>
      </c>
      <c r="B1208" s="36" t="s">
        <v>78</v>
      </c>
      <c r="C1208" s="37" t="s">
        <v>249</v>
      </c>
      <c r="D1208" s="37" t="s">
        <v>255</v>
      </c>
      <c r="E1208" s="38">
        <v>3685</v>
      </c>
    </row>
    <row r="1209" spans="1:5" x14ac:dyDescent="0.2">
      <c r="A1209" s="35">
        <v>2021</v>
      </c>
      <c r="B1209" s="36" t="s">
        <v>78</v>
      </c>
      <c r="C1209" s="37" t="s">
        <v>249</v>
      </c>
      <c r="D1209" s="37" t="s">
        <v>256</v>
      </c>
      <c r="E1209" s="38">
        <v>140089</v>
      </c>
    </row>
    <row r="1210" spans="1:5" x14ac:dyDescent="0.2">
      <c r="A1210" s="35">
        <v>2021</v>
      </c>
      <c r="B1210" s="36" t="s">
        <v>78</v>
      </c>
      <c r="C1210" s="37" t="s">
        <v>249</v>
      </c>
      <c r="D1210" s="37" t="s">
        <v>257</v>
      </c>
      <c r="E1210" s="38">
        <v>504230</v>
      </c>
    </row>
    <row r="1211" spans="1:5" x14ac:dyDescent="0.2">
      <c r="A1211" s="35">
        <v>2021</v>
      </c>
      <c r="B1211" s="36" t="s">
        <v>78</v>
      </c>
      <c r="C1211" s="37" t="s">
        <v>249</v>
      </c>
      <c r="D1211" s="37" t="s">
        <v>258</v>
      </c>
      <c r="E1211" s="38">
        <v>788600</v>
      </c>
    </row>
    <row r="1212" spans="1:5" x14ac:dyDescent="0.2">
      <c r="A1212" s="35">
        <v>2021</v>
      </c>
      <c r="B1212" s="36" t="s">
        <v>78</v>
      </c>
      <c r="C1212" s="37" t="s">
        <v>259</v>
      </c>
      <c r="D1212" s="37" t="s">
        <v>230</v>
      </c>
      <c r="E1212" s="38">
        <v>29005</v>
      </c>
    </row>
    <row r="1213" spans="1:5" x14ac:dyDescent="0.2">
      <c r="A1213" s="35">
        <v>2021</v>
      </c>
      <c r="B1213" s="36" t="s">
        <v>78</v>
      </c>
      <c r="C1213" s="37" t="s">
        <v>259</v>
      </c>
      <c r="D1213" s="37" t="s">
        <v>252</v>
      </c>
      <c r="E1213" s="38">
        <v>29005</v>
      </c>
    </row>
    <row r="1214" spans="1:5" x14ac:dyDescent="0.2">
      <c r="A1214" s="35">
        <v>2021</v>
      </c>
      <c r="B1214" s="36" t="s">
        <v>78</v>
      </c>
      <c r="C1214" s="37" t="s">
        <v>259</v>
      </c>
      <c r="D1214" s="37" t="s">
        <v>254</v>
      </c>
      <c r="E1214" s="38">
        <v>0</v>
      </c>
    </row>
    <row r="1215" spans="1:5" x14ac:dyDescent="0.2">
      <c r="A1215" s="35">
        <v>2021</v>
      </c>
      <c r="B1215" s="36" t="s">
        <v>78</v>
      </c>
      <c r="C1215" s="37" t="s">
        <v>260</v>
      </c>
      <c r="D1215" s="37" t="s">
        <v>230</v>
      </c>
      <c r="E1215" s="38">
        <v>64794</v>
      </c>
    </row>
    <row r="1216" spans="1:5" x14ac:dyDescent="0.2">
      <c r="A1216" s="35">
        <v>2021</v>
      </c>
      <c r="B1216" s="36" t="s">
        <v>78</v>
      </c>
      <c r="C1216" s="37" t="s">
        <v>260</v>
      </c>
      <c r="D1216" s="37" t="s">
        <v>252</v>
      </c>
      <c r="E1216" s="38">
        <v>11858</v>
      </c>
    </row>
    <row r="1217" spans="1:5" x14ac:dyDescent="0.2">
      <c r="A1217" s="35">
        <v>2021</v>
      </c>
      <c r="B1217" s="36" t="s">
        <v>78</v>
      </c>
      <c r="C1217" s="37" t="s">
        <v>260</v>
      </c>
      <c r="D1217" s="37" t="s">
        <v>254</v>
      </c>
      <c r="E1217" s="38">
        <v>11347</v>
      </c>
    </row>
    <row r="1218" spans="1:5" x14ac:dyDescent="0.2">
      <c r="A1218" s="35">
        <v>2021</v>
      </c>
      <c r="B1218" s="36" t="s">
        <v>78</v>
      </c>
      <c r="C1218" s="37" t="s">
        <v>260</v>
      </c>
      <c r="D1218" s="37" t="s">
        <v>256</v>
      </c>
      <c r="E1218" s="38">
        <v>41588</v>
      </c>
    </row>
    <row r="1219" spans="1:5" x14ac:dyDescent="0.2">
      <c r="A1219" s="35">
        <v>2021</v>
      </c>
      <c r="B1219" s="36" t="s">
        <v>78</v>
      </c>
      <c r="C1219" s="37" t="s">
        <v>262</v>
      </c>
      <c r="D1219" s="37" t="s">
        <v>230</v>
      </c>
      <c r="E1219" s="38">
        <v>17087822</v>
      </c>
    </row>
    <row r="1220" spans="1:5" x14ac:dyDescent="0.2">
      <c r="A1220" s="35">
        <v>2021</v>
      </c>
      <c r="B1220" s="36" t="s">
        <v>78</v>
      </c>
      <c r="C1220" s="37" t="s">
        <v>262</v>
      </c>
      <c r="D1220" s="37" t="s">
        <v>250</v>
      </c>
      <c r="E1220" s="38">
        <v>284163</v>
      </c>
    </row>
    <row r="1221" spans="1:5" x14ac:dyDescent="0.2">
      <c r="A1221" s="35">
        <v>2021</v>
      </c>
      <c r="B1221" s="36" t="s">
        <v>78</v>
      </c>
      <c r="C1221" s="37" t="s">
        <v>262</v>
      </c>
      <c r="D1221" s="37" t="s">
        <v>251</v>
      </c>
      <c r="E1221" s="38">
        <v>1013373</v>
      </c>
    </row>
    <row r="1222" spans="1:5" x14ac:dyDescent="0.2">
      <c r="A1222" s="35">
        <v>2021</v>
      </c>
      <c r="B1222" s="36" t="s">
        <v>78</v>
      </c>
      <c r="C1222" s="37" t="s">
        <v>262</v>
      </c>
      <c r="D1222" s="37" t="s">
        <v>252</v>
      </c>
      <c r="E1222" s="38">
        <v>4425213</v>
      </c>
    </row>
    <row r="1223" spans="1:5" x14ac:dyDescent="0.2">
      <c r="A1223" s="35">
        <v>2021</v>
      </c>
      <c r="B1223" s="36" t="s">
        <v>78</v>
      </c>
      <c r="C1223" s="37" t="s">
        <v>262</v>
      </c>
      <c r="D1223" s="37" t="s">
        <v>264</v>
      </c>
      <c r="E1223" s="38">
        <v>9856117</v>
      </c>
    </row>
    <row r="1224" spans="1:5" x14ac:dyDescent="0.2">
      <c r="A1224" s="35">
        <v>2021</v>
      </c>
      <c r="B1224" s="36" t="s">
        <v>78</v>
      </c>
      <c r="C1224" s="37" t="s">
        <v>262</v>
      </c>
      <c r="D1224" s="37" t="s">
        <v>253</v>
      </c>
      <c r="E1224" s="38">
        <v>55317</v>
      </c>
    </row>
    <row r="1225" spans="1:5" x14ac:dyDescent="0.2">
      <c r="A1225" s="35">
        <v>2021</v>
      </c>
      <c r="B1225" s="36" t="s">
        <v>78</v>
      </c>
      <c r="C1225" s="37" t="s">
        <v>262</v>
      </c>
      <c r="D1225" s="37" t="s">
        <v>254</v>
      </c>
      <c r="E1225" s="38">
        <v>58624</v>
      </c>
    </row>
    <row r="1226" spans="1:5" x14ac:dyDescent="0.2">
      <c r="A1226" s="35">
        <v>2021</v>
      </c>
      <c r="B1226" s="36" t="s">
        <v>78</v>
      </c>
      <c r="C1226" s="37" t="s">
        <v>262</v>
      </c>
      <c r="D1226" s="37" t="s">
        <v>255</v>
      </c>
      <c r="E1226" s="38">
        <v>3685</v>
      </c>
    </row>
    <row r="1227" spans="1:5" x14ac:dyDescent="0.2">
      <c r="A1227" s="35">
        <v>2021</v>
      </c>
      <c r="B1227" s="36" t="s">
        <v>78</v>
      </c>
      <c r="C1227" s="37" t="s">
        <v>262</v>
      </c>
      <c r="D1227" s="37" t="s">
        <v>256</v>
      </c>
      <c r="E1227" s="38">
        <v>98500</v>
      </c>
    </row>
    <row r="1228" spans="1:5" x14ac:dyDescent="0.2">
      <c r="A1228" s="35">
        <v>2021</v>
      </c>
      <c r="B1228" s="36" t="s">
        <v>78</v>
      </c>
      <c r="C1228" s="37" t="s">
        <v>262</v>
      </c>
      <c r="D1228" s="37" t="s">
        <v>257</v>
      </c>
      <c r="E1228" s="38">
        <v>504230</v>
      </c>
    </row>
    <row r="1229" spans="1:5" x14ac:dyDescent="0.2">
      <c r="A1229" s="35">
        <v>2021</v>
      </c>
      <c r="B1229" s="36" t="s">
        <v>78</v>
      </c>
      <c r="C1229" s="37" t="s">
        <v>262</v>
      </c>
      <c r="D1229" s="37" t="s">
        <v>258</v>
      </c>
      <c r="E1229" s="38">
        <v>788600</v>
      </c>
    </row>
    <row r="1230" spans="1:5" x14ac:dyDescent="0.2">
      <c r="A1230" s="35">
        <v>2021</v>
      </c>
      <c r="B1230" s="36" t="s">
        <v>78</v>
      </c>
      <c r="C1230" s="37" t="s">
        <v>263</v>
      </c>
      <c r="D1230" s="37" t="s">
        <v>230</v>
      </c>
      <c r="E1230" s="38">
        <v>11633</v>
      </c>
    </row>
    <row r="1231" spans="1:5" x14ac:dyDescent="0.2">
      <c r="A1231" s="35">
        <v>2021</v>
      </c>
      <c r="B1231" s="36" t="s">
        <v>78</v>
      </c>
      <c r="C1231" s="37" t="s">
        <v>263</v>
      </c>
      <c r="D1231" s="37" t="s">
        <v>251</v>
      </c>
      <c r="E1231" s="38">
        <v>11633</v>
      </c>
    </row>
    <row r="1232" spans="1:5" x14ac:dyDescent="0.2">
      <c r="A1232" s="35">
        <v>2021</v>
      </c>
      <c r="B1232" s="36" t="s">
        <v>80</v>
      </c>
      <c r="C1232" s="37" t="s">
        <v>249</v>
      </c>
      <c r="D1232" s="37" t="s">
        <v>230</v>
      </c>
      <c r="E1232" s="38">
        <v>61433792</v>
      </c>
    </row>
    <row r="1233" spans="1:5" x14ac:dyDescent="0.2">
      <c r="A1233" s="35">
        <v>2021</v>
      </c>
      <c r="B1233" s="36" t="s">
        <v>80</v>
      </c>
      <c r="C1233" s="37" t="s">
        <v>249</v>
      </c>
      <c r="D1233" s="37" t="s">
        <v>250</v>
      </c>
      <c r="E1233" s="38">
        <v>1026294</v>
      </c>
    </row>
    <row r="1234" spans="1:5" x14ac:dyDescent="0.2">
      <c r="A1234" s="35">
        <v>2021</v>
      </c>
      <c r="B1234" s="36" t="s">
        <v>80</v>
      </c>
      <c r="C1234" s="37" t="s">
        <v>249</v>
      </c>
      <c r="D1234" s="37" t="s">
        <v>266</v>
      </c>
      <c r="E1234" s="38">
        <v>-120077</v>
      </c>
    </row>
    <row r="1235" spans="1:5" x14ac:dyDescent="0.2">
      <c r="A1235" s="35">
        <v>2021</v>
      </c>
      <c r="B1235" s="36" t="s">
        <v>80</v>
      </c>
      <c r="C1235" s="37" t="s">
        <v>249</v>
      </c>
      <c r="D1235" s="37" t="s">
        <v>251</v>
      </c>
      <c r="E1235" s="38">
        <v>18224</v>
      </c>
    </row>
    <row r="1236" spans="1:5" x14ac:dyDescent="0.2">
      <c r="A1236" s="35">
        <v>2021</v>
      </c>
      <c r="B1236" s="36" t="s">
        <v>80</v>
      </c>
      <c r="C1236" s="37" t="s">
        <v>249</v>
      </c>
      <c r="D1236" s="37" t="s">
        <v>252</v>
      </c>
      <c r="E1236" s="38">
        <v>29542815</v>
      </c>
    </row>
    <row r="1237" spans="1:5" x14ac:dyDescent="0.2">
      <c r="A1237" s="35">
        <v>2021</v>
      </c>
      <c r="B1237" s="36" t="s">
        <v>80</v>
      </c>
      <c r="C1237" s="37" t="s">
        <v>249</v>
      </c>
      <c r="D1237" s="37" t="s">
        <v>264</v>
      </c>
      <c r="E1237" s="38">
        <v>28142099</v>
      </c>
    </row>
    <row r="1238" spans="1:5" x14ac:dyDescent="0.2">
      <c r="A1238" s="35">
        <v>2021</v>
      </c>
      <c r="B1238" s="36" t="s">
        <v>80</v>
      </c>
      <c r="C1238" s="37" t="s">
        <v>249</v>
      </c>
      <c r="D1238" s="37" t="s">
        <v>265</v>
      </c>
      <c r="E1238" s="38">
        <v>91971</v>
      </c>
    </row>
    <row r="1239" spans="1:5" x14ac:dyDescent="0.2">
      <c r="A1239" s="35">
        <v>2021</v>
      </c>
      <c r="B1239" s="36" t="s">
        <v>80</v>
      </c>
      <c r="C1239" s="37" t="s">
        <v>249</v>
      </c>
      <c r="D1239" s="37" t="s">
        <v>253</v>
      </c>
      <c r="E1239" s="38">
        <v>590139</v>
      </c>
    </row>
    <row r="1240" spans="1:5" x14ac:dyDescent="0.2">
      <c r="A1240" s="35">
        <v>2021</v>
      </c>
      <c r="B1240" s="36" t="s">
        <v>80</v>
      </c>
      <c r="C1240" s="37" t="s">
        <v>249</v>
      </c>
      <c r="D1240" s="37" t="s">
        <v>254</v>
      </c>
      <c r="E1240" s="38">
        <v>36984</v>
      </c>
    </row>
    <row r="1241" spans="1:5" x14ac:dyDescent="0.2">
      <c r="A1241" s="35">
        <v>2021</v>
      </c>
      <c r="B1241" s="36" t="s">
        <v>80</v>
      </c>
      <c r="C1241" s="37" t="s">
        <v>249</v>
      </c>
      <c r="D1241" s="37" t="s">
        <v>255</v>
      </c>
      <c r="E1241" s="38">
        <v>1377849</v>
      </c>
    </row>
    <row r="1242" spans="1:5" x14ac:dyDescent="0.2">
      <c r="A1242" s="35">
        <v>2021</v>
      </c>
      <c r="B1242" s="36" t="s">
        <v>80</v>
      </c>
      <c r="C1242" s="37" t="s">
        <v>249</v>
      </c>
      <c r="D1242" s="37" t="s">
        <v>256</v>
      </c>
      <c r="E1242" s="38">
        <v>707765</v>
      </c>
    </row>
    <row r="1243" spans="1:5" x14ac:dyDescent="0.2">
      <c r="A1243" s="35">
        <v>2021</v>
      </c>
      <c r="B1243" s="36" t="s">
        <v>80</v>
      </c>
      <c r="C1243" s="37" t="s">
        <v>249</v>
      </c>
      <c r="D1243" s="37" t="s">
        <v>257</v>
      </c>
      <c r="E1243" s="38">
        <v>19729</v>
      </c>
    </row>
    <row r="1244" spans="1:5" x14ac:dyDescent="0.2">
      <c r="A1244" s="35">
        <v>2021</v>
      </c>
      <c r="B1244" s="36" t="s">
        <v>80</v>
      </c>
      <c r="C1244" s="37" t="s">
        <v>259</v>
      </c>
      <c r="D1244" s="37" t="s">
        <v>230</v>
      </c>
      <c r="E1244" s="38">
        <v>468268</v>
      </c>
    </row>
    <row r="1245" spans="1:5" x14ac:dyDescent="0.2">
      <c r="A1245" s="35">
        <v>2021</v>
      </c>
      <c r="B1245" s="36" t="s">
        <v>80</v>
      </c>
      <c r="C1245" s="37" t="s">
        <v>259</v>
      </c>
      <c r="D1245" s="37" t="s">
        <v>252</v>
      </c>
      <c r="E1245" s="38">
        <v>344278</v>
      </c>
    </row>
    <row r="1246" spans="1:5" x14ac:dyDescent="0.2">
      <c r="A1246" s="35">
        <v>2021</v>
      </c>
      <c r="B1246" s="36" t="s">
        <v>80</v>
      </c>
      <c r="C1246" s="37" t="s">
        <v>259</v>
      </c>
      <c r="D1246" s="37" t="s">
        <v>265</v>
      </c>
      <c r="E1246" s="38">
        <v>91971</v>
      </c>
    </row>
    <row r="1247" spans="1:5" x14ac:dyDescent="0.2">
      <c r="A1247" s="35">
        <v>2021</v>
      </c>
      <c r="B1247" s="36" t="s">
        <v>80</v>
      </c>
      <c r="C1247" s="37" t="s">
        <v>259</v>
      </c>
      <c r="D1247" s="37" t="s">
        <v>253</v>
      </c>
      <c r="E1247" s="38">
        <v>24815</v>
      </c>
    </row>
    <row r="1248" spans="1:5" x14ac:dyDescent="0.2">
      <c r="A1248" s="35">
        <v>2021</v>
      </c>
      <c r="B1248" s="36" t="s">
        <v>80</v>
      </c>
      <c r="C1248" s="37" t="s">
        <v>259</v>
      </c>
      <c r="D1248" s="37" t="s">
        <v>254</v>
      </c>
      <c r="E1248" s="38">
        <v>240</v>
      </c>
    </row>
    <row r="1249" spans="1:5" x14ac:dyDescent="0.2">
      <c r="A1249" s="35">
        <v>2021</v>
      </c>
      <c r="B1249" s="36" t="s">
        <v>80</v>
      </c>
      <c r="C1249" s="37" t="s">
        <v>259</v>
      </c>
      <c r="D1249" s="37" t="s">
        <v>255</v>
      </c>
      <c r="E1249" s="38">
        <v>6964</v>
      </c>
    </row>
    <row r="1250" spans="1:5" x14ac:dyDescent="0.2">
      <c r="A1250" s="35">
        <v>2021</v>
      </c>
      <c r="B1250" s="36" t="s">
        <v>80</v>
      </c>
      <c r="C1250" s="37" t="s">
        <v>260</v>
      </c>
      <c r="D1250" s="37" t="s">
        <v>230</v>
      </c>
      <c r="E1250" s="38">
        <v>626848</v>
      </c>
    </row>
    <row r="1251" spans="1:5" x14ac:dyDescent="0.2">
      <c r="A1251" s="35">
        <v>2021</v>
      </c>
      <c r="B1251" s="36" t="s">
        <v>80</v>
      </c>
      <c r="C1251" s="37" t="s">
        <v>260</v>
      </c>
      <c r="D1251" s="37" t="s">
        <v>252</v>
      </c>
      <c r="E1251" s="38">
        <v>176960</v>
      </c>
    </row>
    <row r="1252" spans="1:5" x14ac:dyDescent="0.2">
      <c r="A1252" s="35">
        <v>2021</v>
      </c>
      <c r="B1252" s="36" t="s">
        <v>80</v>
      </c>
      <c r="C1252" s="37" t="s">
        <v>260</v>
      </c>
      <c r="D1252" s="37" t="s">
        <v>253</v>
      </c>
      <c r="E1252" s="38">
        <v>171387</v>
      </c>
    </row>
    <row r="1253" spans="1:5" x14ac:dyDescent="0.2">
      <c r="A1253" s="35">
        <v>2021</v>
      </c>
      <c r="B1253" s="36" t="s">
        <v>80</v>
      </c>
      <c r="C1253" s="37" t="s">
        <v>260</v>
      </c>
      <c r="D1253" s="37" t="s">
        <v>254</v>
      </c>
      <c r="E1253" s="38">
        <v>953</v>
      </c>
    </row>
    <row r="1254" spans="1:5" x14ac:dyDescent="0.2">
      <c r="A1254" s="35">
        <v>2021</v>
      </c>
      <c r="B1254" s="36" t="s">
        <v>80</v>
      </c>
      <c r="C1254" s="37" t="s">
        <v>260</v>
      </c>
      <c r="D1254" s="37" t="s">
        <v>255</v>
      </c>
      <c r="E1254" s="38">
        <v>128049</v>
      </c>
    </row>
    <row r="1255" spans="1:5" x14ac:dyDescent="0.2">
      <c r="A1255" s="35">
        <v>2021</v>
      </c>
      <c r="B1255" s="36" t="s">
        <v>80</v>
      </c>
      <c r="C1255" s="37" t="s">
        <v>260</v>
      </c>
      <c r="D1255" s="37" t="s">
        <v>256</v>
      </c>
      <c r="E1255" s="38">
        <v>149500</v>
      </c>
    </row>
    <row r="1256" spans="1:5" x14ac:dyDescent="0.2">
      <c r="A1256" s="35">
        <v>2021</v>
      </c>
      <c r="B1256" s="36" t="s">
        <v>80</v>
      </c>
      <c r="C1256" s="37" t="s">
        <v>261</v>
      </c>
      <c r="D1256" s="37" t="s">
        <v>230</v>
      </c>
      <c r="E1256" s="38">
        <v>6942105</v>
      </c>
    </row>
    <row r="1257" spans="1:5" x14ac:dyDescent="0.2">
      <c r="A1257" s="35">
        <v>2021</v>
      </c>
      <c r="B1257" s="36" t="s">
        <v>80</v>
      </c>
      <c r="C1257" s="37" t="s">
        <v>261</v>
      </c>
      <c r="D1257" s="37" t="s">
        <v>250</v>
      </c>
      <c r="E1257" s="38">
        <v>1026294</v>
      </c>
    </row>
    <row r="1258" spans="1:5" x14ac:dyDescent="0.2">
      <c r="A1258" s="35">
        <v>2021</v>
      </c>
      <c r="B1258" s="36" t="s">
        <v>80</v>
      </c>
      <c r="C1258" s="37" t="s">
        <v>261</v>
      </c>
      <c r="D1258" s="37" t="s">
        <v>252</v>
      </c>
      <c r="E1258" s="38">
        <v>5796317</v>
      </c>
    </row>
    <row r="1259" spans="1:5" x14ac:dyDescent="0.2">
      <c r="A1259" s="35">
        <v>2021</v>
      </c>
      <c r="B1259" s="36" t="s">
        <v>80</v>
      </c>
      <c r="C1259" s="37" t="s">
        <v>261</v>
      </c>
      <c r="D1259" s="37" t="s">
        <v>254</v>
      </c>
      <c r="E1259" s="38">
        <v>31690</v>
      </c>
    </row>
    <row r="1260" spans="1:5" x14ac:dyDescent="0.2">
      <c r="A1260" s="35">
        <v>2021</v>
      </c>
      <c r="B1260" s="36" t="s">
        <v>80</v>
      </c>
      <c r="C1260" s="37" t="s">
        <v>261</v>
      </c>
      <c r="D1260" s="37" t="s">
        <v>256</v>
      </c>
      <c r="E1260" s="38">
        <v>87804</v>
      </c>
    </row>
    <row r="1261" spans="1:5" x14ac:dyDescent="0.2">
      <c r="A1261" s="35">
        <v>2021</v>
      </c>
      <c r="B1261" s="36" t="s">
        <v>80</v>
      </c>
      <c r="C1261" s="37" t="s">
        <v>262</v>
      </c>
      <c r="D1261" s="37" t="s">
        <v>230</v>
      </c>
      <c r="E1261" s="38">
        <v>53184396</v>
      </c>
    </row>
    <row r="1262" spans="1:5" x14ac:dyDescent="0.2">
      <c r="A1262" s="35">
        <v>2021</v>
      </c>
      <c r="B1262" s="36" t="s">
        <v>80</v>
      </c>
      <c r="C1262" s="37" t="s">
        <v>262</v>
      </c>
      <c r="D1262" s="37" t="s">
        <v>250</v>
      </c>
      <c r="E1262" s="38">
        <v>0</v>
      </c>
    </row>
    <row r="1263" spans="1:5" x14ac:dyDescent="0.2">
      <c r="A1263" s="35">
        <v>2021</v>
      </c>
      <c r="B1263" s="36" t="s">
        <v>80</v>
      </c>
      <c r="C1263" s="37" t="s">
        <v>262</v>
      </c>
      <c r="D1263" s="37" t="s">
        <v>266</v>
      </c>
      <c r="E1263" s="38">
        <v>-120077</v>
      </c>
    </row>
    <row r="1264" spans="1:5" x14ac:dyDescent="0.2">
      <c r="A1264" s="35">
        <v>2021</v>
      </c>
      <c r="B1264" s="36" t="s">
        <v>80</v>
      </c>
      <c r="C1264" s="37" t="s">
        <v>262</v>
      </c>
      <c r="D1264" s="37" t="s">
        <v>251</v>
      </c>
      <c r="E1264" s="38">
        <v>18224</v>
      </c>
    </row>
    <row r="1265" spans="1:5" x14ac:dyDescent="0.2">
      <c r="A1265" s="35">
        <v>2021</v>
      </c>
      <c r="B1265" s="36" t="s">
        <v>80</v>
      </c>
      <c r="C1265" s="37" t="s">
        <v>262</v>
      </c>
      <c r="D1265" s="37" t="s">
        <v>252</v>
      </c>
      <c r="E1265" s="38">
        <v>23127938</v>
      </c>
    </row>
    <row r="1266" spans="1:5" x14ac:dyDescent="0.2">
      <c r="A1266" s="35">
        <v>2021</v>
      </c>
      <c r="B1266" s="36" t="s">
        <v>80</v>
      </c>
      <c r="C1266" s="37" t="s">
        <v>262</v>
      </c>
      <c r="D1266" s="37" t="s">
        <v>264</v>
      </c>
      <c r="E1266" s="38">
        <v>28142099</v>
      </c>
    </row>
    <row r="1267" spans="1:5" x14ac:dyDescent="0.2">
      <c r="A1267" s="35">
        <v>2021</v>
      </c>
      <c r="B1267" s="36" t="s">
        <v>80</v>
      </c>
      <c r="C1267" s="37" t="s">
        <v>262</v>
      </c>
      <c r="D1267" s="37" t="s">
        <v>253</v>
      </c>
      <c r="E1267" s="38">
        <v>393937</v>
      </c>
    </row>
    <row r="1268" spans="1:5" x14ac:dyDescent="0.2">
      <c r="A1268" s="35">
        <v>2021</v>
      </c>
      <c r="B1268" s="36" t="s">
        <v>80</v>
      </c>
      <c r="C1268" s="37" t="s">
        <v>262</v>
      </c>
      <c r="D1268" s="37" t="s">
        <v>254</v>
      </c>
      <c r="E1268" s="38">
        <v>3883</v>
      </c>
    </row>
    <row r="1269" spans="1:5" x14ac:dyDescent="0.2">
      <c r="A1269" s="35">
        <v>2021</v>
      </c>
      <c r="B1269" s="36" t="s">
        <v>80</v>
      </c>
      <c r="C1269" s="37" t="s">
        <v>262</v>
      </c>
      <c r="D1269" s="37" t="s">
        <v>255</v>
      </c>
      <c r="E1269" s="38">
        <v>1128202</v>
      </c>
    </row>
    <row r="1270" spans="1:5" x14ac:dyDescent="0.2">
      <c r="A1270" s="35">
        <v>2021</v>
      </c>
      <c r="B1270" s="36" t="s">
        <v>80</v>
      </c>
      <c r="C1270" s="37" t="s">
        <v>262</v>
      </c>
      <c r="D1270" s="37" t="s">
        <v>256</v>
      </c>
      <c r="E1270" s="38">
        <v>470461</v>
      </c>
    </row>
    <row r="1271" spans="1:5" x14ac:dyDescent="0.2">
      <c r="A1271" s="35">
        <v>2021</v>
      </c>
      <c r="B1271" s="36" t="s">
        <v>80</v>
      </c>
      <c r="C1271" s="37" t="s">
        <v>262</v>
      </c>
      <c r="D1271" s="37" t="s">
        <v>257</v>
      </c>
      <c r="E1271" s="38">
        <v>19729</v>
      </c>
    </row>
    <row r="1272" spans="1:5" x14ac:dyDescent="0.2">
      <c r="A1272" s="35">
        <v>2021</v>
      </c>
      <c r="B1272" s="36" t="s">
        <v>80</v>
      </c>
      <c r="C1272" s="37" t="s">
        <v>263</v>
      </c>
      <c r="D1272" s="37" t="s">
        <v>230</v>
      </c>
      <c r="E1272" s="38">
        <v>212175</v>
      </c>
    </row>
    <row r="1273" spans="1:5" x14ac:dyDescent="0.2">
      <c r="A1273" s="35">
        <v>2021</v>
      </c>
      <c r="B1273" s="36" t="s">
        <v>80</v>
      </c>
      <c r="C1273" s="37" t="s">
        <v>263</v>
      </c>
      <c r="D1273" s="37" t="s">
        <v>250</v>
      </c>
      <c r="E1273" s="38">
        <v>0</v>
      </c>
    </row>
    <row r="1274" spans="1:5" x14ac:dyDescent="0.2">
      <c r="A1274" s="35">
        <v>2021</v>
      </c>
      <c r="B1274" s="36" t="s">
        <v>80</v>
      </c>
      <c r="C1274" s="37" t="s">
        <v>263</v>
      </c>
      <c r="D1274" s="37" t="s">
        <v>252</v>
      </c>
      <c r="E1274" s="38">
        <v>97322</v>
      </c>
    </row>
    <row r="1275" spans="1:5" x14ac:dyDescent="0.2">
      <c r="A1275" s="35">
        <v>2021</v>
      </c>
      <c r="B1275" s="36" t="s">
        <v>80</v>
      </c>
      <c r="C1275" s="37" t="s">
        <v>263</v>
      </c>
      <c r="D1275" s="37" t="s">
        <v>253</v>
      </c>
      <c r="E1275" s="38">
        <v>0</v>
      </c>
    </row>
    <row r="1276" spans="1:5" x14ac:dyDescent="0.2">
      <c r="A1276" s="35">
        <v>2021</v>
      </c>
      <c r="B1276" s="36" t="s">
        <v>80</v>
      </c>
      <c r="C1276" s="37" t="s">
        <v>263</v>
      </c>
      <c r="D1276" s="37" t="s">
        <v>254</v>
      </c>
      <c r="E1276" s="38">
        <v>218</v>
      </c>
    </row>
    <row r="1277" spans="1:5" x14ac:dyDescent="0.2">
      <c r="A1277" s="35">
        <v>2021</v>
      </c>
      <c r="B1277" s="36" t="s">
        <v>80</v>
      </c>
      <c r="C1277" s="37" t="s">
        <v>263</v>
      </c>
      <c r="D1277" s="37" t="s">
        <v>255</v>
      </c>
      <c r="E1277" s="38">
        <v>114635</v>
      </c>
    </row>
    <row r="1278" spans="1:5" x14ac:dyDescent="0.2">
      <c r="A1278" s="35">
        <v>2021</v>
      </c>
      <c r="B1278" s="36" t="s">
        <v>83</v>
      </c>
      <c r="C1278" s="37" t="s">
        <v>249</v>
      </c>
      <c r="D1278" s="37" t="s">
        <v>230</v>
      </c>
      <c r="E1278" s="38">
        <v>35192365</v>
      </c>
    </row>
    <row r="1279" spans="1:5" x14ac:dyDescent="0.2">
      <c r="A1279" s="35">
        <v>2021</v>
      </c>
      <c r="B1279" s="36" t="s">
        <v>83</v>
      </c>
      <c r="C1279" s="37" t="s">
        <v>249</v>
      </c>
      <c r="D1279" s="37" t="s">
        <v>250</v>
      </c>
      <c r="E1279" s="38">
        <v>12536319</v>
      </c>
    </row>
    <row r="1280" spans="1:5" x14ac:dyDescent="0.2">
      <c r="A1280" s="35">
        <v>2021</v>
      </c>
      <c r="B1280" s="36" t="s">
        <v>83</v>
      </c>
      <c r="C1280" s="37" t="s">
        <v>249</v>
      </c>
      <c r="D1280" s="37" t="s">
        <v>267</v>
      </c>
      <c r="E1280" s="38">
        <v>50934</v>
      </c>
    </row>
    <row r="1281" spans="1:5" x14ac:dyDescent="0.2">
      <c r="A1281" s="35">
        <v>2021</v>
      </c>
      <c r="B1281" s="36" t="s">
        <v>83</v>
      </c>
      <c r="C1281" s="37" t="s">
        <v>249</v>
      </c>
      <c r="D1281" s="37" t="s">
        <v>251</v>
      </c>
      <c r="E1281" s="38">
        <v>122862</v>
      </c>
    </row>
    <row r="1282" spans="1:5" x14ac:dyDescent="0.2">
      <c r="A1282" s="35">
        <v>2021</v>
      </c>
      <c r="B1282" s="36" t="s">
        <v>83</v>
      </c>
      <c r="C1282" s="37" t="s">
        <v>249</v>
      </c>
      <c r="D1282" s="37" t="s">
        <v>252</v>
      </c>
      <c r="E1282" s="38">
        <v>10093190</v>
      </c>
    </row>
    <row r="1283" spans="1:5" x14ac:dyDescent="0.2">
      <c r="A1283" s="35">
        <v>2021</v>
      </c>
      <c r="B1283" s="36" t="s">
        <v>83</v>
      </c>
      <c r="C1283" s="37" t="s">
        <v>249</v>
      </c>
      <c r="D1283" s="37" t="s">
        <v>253</v>
      </c>
      <c r="E1283" s="38">
        <v>-346</v>
      </c>
    </row>
    <row r="1284" spans="1:5" x14ac:dyDescent="0.2">
      <c r="A1284" s="35">
        <v>2021</v>
      </c>
      <c r="B1284" s="36" t="s">
        <v>83</v>
      </c>
      <c r="C1284" s="37" t="s">
        <v>249</v>
      </c>
      <c r="D1284" s="37" t="s">
        <v>254</v>
      </c>
      <c r="E1284" s="38">
        <v>33178</v>
      </c>
    </row>
    <row r="1285" spans="1:5" x14ac:dyDescent="0.2">
      <c r="A1285" s="35">
        <v>2021</v>
      </c>
      <c r="B1285" s="36" t="s">
        <v>83</v>
      </c>
      <c r="C1285" s="37" t="s">
        <v>249</v>
      </c>
      <c r="D1285" s="37" t="s">
        <v>255</v>
      </c>
      <c r="E1285" s="38">
        <v>1749810</v>
      </c>
    </row>
    <row r="1286" spans="1:5" x14ac:dyDescent="0.2">
      <c r="A1286" s="35">
        <v>2021</v>
      </c>
      <c r="B1286" s="36" t="s">
        <v>83</v>
      </c>
      <c r="C1286" s="37" t="s">
        <v>249</v>
      </c>
      <c r="D1286" s="37" t="s">
        <v>256</v>
      </c>
      <c r="E1286" s="38">
        <v>25683</v>
      </c>
    </row>
    <row r="1287" spans="1:5" x14ac:dyDescent="0.2">
      <c r="A1287" s="35">
        <v>2021</v>
      </c>
      <c r="B1287" s="36" t="s">
        <v>83</v>
      </c>
      <c r="C1287" s="37" t="s">
        <v>249</v>
      </c>
      <c r="D1287" s="37" t="s">
        <v>257</v>
      </c>
      <c r="E1287" s="38">
        <v>10580735</v>
      </c>
    </row>
    <row r="1288" spans="1:5" x14ac:dyDescent="0.2">
      <c r="A1288" s="35">
        <v>2021</v>
      </c>
      <c r="B1288" s="36" t="s">
        <v>83</v>
      </c>
      <c r="C1288" s="37" t="s">
        <v>259</v>
      </c>
      <c r="D1288" s="37" t="s">
        <v>230</v>
      </c>
      <c r="E1288" s="38">
        <v>47907</v>
      </c>
    </row>
    <row r="1289" spans="1:5" x14ac:dyDescent="0.2">
      <c r="A1289" s="35">
        <v>2021</v>
      </c>
      <c r="B1289" s="36" t="s">
        <v>83</v>
      </c>
      <c r="C1289" s="37" t="s">
        <v>259</v>
      </c>
      <c r="D1289" s="37" t="s">
        <v>252</v>
      </c>
      <c r="E1289" s="38">
        <v>47907</v>
      </c>
    </row>
    <row r="1290" spans="1:5" x14ac:dyDescent="0.2">
      <c r="A1290" s="35">
        <v>2021</v>
      </c>
      <c r="B1290" s="36" t="s">
        <v>83</v>
      </c>
      <c r="C1290" s="37" t="s">
        <v>259</v>
      </c>
      <c r="D1290" s="37" t="s">
        <v>254</v>
      </c>
      <c r="E1290" s="38">
        <v>0</v>
      </c>
    </row>
    <row r="1291" spans="1:5" x14ac:dyDescent="0.2">
      <c r="A1291" s="35">
        <v>2021</v>
      </c>
      <c r="B1291" s="36" t="s">
        <v>83</v>
      </c>
      <c r="C1291" s="37" t="s">
        <v>260</v>
      </c>
      <c r="D1291" s="37" t="s">
        <v>230</v>
      </c>
      <c r="E1291" s="38">
        <v>134472</v>
      </c>
    </row>
    <row r="1292" spans="1:5" x14ac:dyDescent="0.2">
      <c r="A1292" s="35">
        <v>2021</v>
      </c>
      <c r="B1292" s="36" t="s">
        <v>83</v>
      </c>
      <c r="C1292" s="37" t="s">
        <v>260</v>
      </c>
      <c r="D1292" s="37" t="s">
        <v>252</v>
      </c>
      <c r="E1292" s="38">
        <v>132554</v>
      </c>
    </row>
    <row r="1293" spans="1:5" x14ac:dyDescent="0.2">
      <c r="A1293" s="35">
        <v>2021</v>
      </c>
      <c r="B1293" s="36" t="s">
        <v>83</v>
      </c>
      <c r="C1293" s="37" t="s">
        <v>260</v>
      </c>
      <c r="D1293" s="37" t="s">
        <v>257</v>
      </c>
      <c r="E1293" s="38">
        <v>1918</v>
      </c>
    </row>
    <row r="1294" spans="1:5" x14ac:dyDescent="0.2">
      <c r="A1294" s="35">
        <v>2021</v>
      </c>
      <c r="B1294" s="36" t="s">
        <v>83</v>
      </c>
      <c r="C1294" s="37" t="s">
        <v>261</v>
      </c>
      <c r="D1294" s="37" t="s">
        <v>230</v>
      </c>
      <c r="E1294" s="38">
        <v>20251</v>
      </c>
    </row>
    <row r="1295" spans="1:5" x14ac:dyDescent="0.2">
      <c r="A1295" s="35">
        <v>2021</v>
      </c>
      <c r="B1295" s="36" t="s">
        <v>83</v>
      </c>
      <c r="C1295" s="37" t="s">
        <v>261</v>
      </c>
      <c r="D1295" s="37" t="s">
        <v>252</v>
      </c>
      <c r="E1295" s="38">
        <v>12250</v>
      </c>
    </row>
    <row r="1296" spans="1:5" x14ac:dyDescent="0.2">
      <c r="A1296" s="35">
        <v>2021</v>
      </c>
      <c r="B1296" s="36" t="s">
        <v>83</v>
      </c>
      <c r="C1296" s="37" t="s">
        <v>261</v>
      </c>
      <c r="D1296" s="37" t="s">
        <v>256</v>
      </c>
      <c r="E1296" s="38">
        <v>8001</v>
      </c>
    </row>
    <row r="1297" spans="1:5" x14ac:dyDescent="0.2">
      <c r="A1297" s="35">
        <v>2021</v>
      </c>
      <c r="B1297" s="36" t="s">
        <v>83</v>
      </c>
      <c r="C1297" s="37" t="s">
        <v>262</v>
      </c>
      <c r="D1297" s="37" t="s">
        <v>230</v>
      </c>
      <c r="E1297" s="38">
        <v>13130270</v>
      </c>
    </row>
    <row r="1298" spans="1:5" x14ac:dyDescent="0.2">
      <c r="A1298" s="35">
        <v>2021</v>
      </c>
      <c r="B1298" s="36" t="s">
        <v>83</v>
      </c>
      <c r="C1298" s="37" t="s">
        <v>262</v>
      </c>
      <c r="D1298" s="37" t="s">
        <v>267</v>
      </c>
      <c r="E1298" s="38">
        <v>50934</v>
      </c>
    </row>
    <row r="1299" spans="1:5" x14ac:dyDescent="0.2">
      <c r="A1299" s="35">
        <v>2021</v>
      </c>
      <c r="B1299" s="36" t="s">
        <v>83</v>
      </c>
      <c r="C1299" s="37" t="s">
        <v>262</v>
      </c>
      <c r="D1299" s="37" t="s">
        <v>252</v>
      </c>
      <c r="E1299" s="38">
        <v>3460456</v>
      </c>
    </row>
    <row r="1300" spans="1:5" x14ac:dyDescent="0.2">
      <c r="A1300" s="35">
        <v>2021</v>
      </c>
      <c r="B1300" s="36" t="s">
        <v>83</v>
      </c>
      <c r="C1300" s="37" t="s">
        <v>262</v>
      </c>
      <c r="D1300" s="37" t="s">
        <v>253</v>
      </c>
      <c r="E1300" s="38">
        <v>-105</v>
      </c>
    </row>
    <row r="1301" spans="1:5" x14ac:dyDescent="0.2">
      <c r="A1301" s="35">
        <v>2021</v>
      </c>
      <c r="B1301" s="36" t="s">
        <v>83</v>
      </c>
      <c r="C1301" s="37" t="s">
        <v>262</v>
      </c>
      <c r="D1301" s="37" t="s">
        <v>255</v>
      </c>
      <c r="E1301" s="38">
        <v>1360279</v>
      </c>
    </row>
    <row r="1302" spans="1:5" x14ac:dyDescent="0.2">
      <c r="A1302" s="35">
        <v>2021</v>
      </c>
      <c r="B1302" s="36" t="s">
        <v>83</v>
      </c>
      <c r="C1302" s="37" t="s">
        <v>262</v>
      </c>
      <c r="D1302" s="37" t="s">
        <v>256</v>
      </c>
      <c r="E1302" s="38">
        <v>17682</v>
      </c>
    </row>
    <row r="1303" spans="1:5" x14ac:dyDescent="0.2">
      <c r="A1303" s="35">
        <v>2021</v>
      </c>
      <c r="B1303" s="36" t="s">
        <v>83</v>
      </c>
      <c r="C1303" s="37" t="s">
        <v>262</v>
      </c>
      <c r="D1303" s="37" t="s">
        <v>257</v>
      </c>
      <c r="E1303" s="38">
        <v>8241024</v>
      </c>
    </row>
    <row r="1304" spans="1:5" x14ac:dyDescent="0.2">
      <c r="A1304" s="35">
        <v>2021</v>
      </c>
      <c r="B1304" s="36" t="s">
        <v>83</v>
      </c>
      <c r="C1304" s="37" t="s">
        <v>263</v>
      </c>
      <c r="D1304" s="37" t="s">
        <v>230</v>
      </c>
      <c r="E1304" s="38">
        <v>21859465</v>
      </c>
    </row>
    <row r="1305" spans="1:5" x14ac:dyDescent="0.2">
      <c r="A1305" s="35">
        <v>2021</v>
      </c>
      <c r="B1305" s="36" t="s">
        <v>83</v>
      </c>
      <c r="C1305" s="37" t="s">
        <v>263</v>
      </c>
      <c r="D1305" s="37" t="s">
        <v>250</v>
      </c>
      <c r="E1305" s="38">
        <v>12536319</v>
      </c>
    </row>
    <row r="1306" spans="1:5" x14ac:dyDescent="0.2">
      <c r="A1306" s="35">
        <v>2021</v>
      </c>
      <c r="B1306" s="36" t="s">
        <v>83</v>
      </c>
      <c r="C1306" s="37" t="s">
        <v>263</v>
      </c>
      <c r="D1306" s="37" t="s">
        <v>251</v>
      </c>
      <c r="E1306" s="38">
        <v>122862</v>
      </c>
    </row>
    <row r="1307" spans="1:5" x14ac:dyDescent="0.2">
      <c r="A1307" s="35">
        <v>2021</v>
      </c>
      <c r="B1307" s="36" t="s">
        <v>83</v>
      </c>
      <c r="C1307" s="37" t="s">
        <v>263</v>
      </c>
      <c r="D1307" s="37" t="s">
        <v>252</v>
      </c>
      <c r="E1307" s="38">
        <v>6440023</v>
      </c>
    </row>
    <row r="1308" spans="1:5" x14ac:dyDescent="0.2">
      <c r="A1308" s="35">
        <v>2021</v>
      </c>
      <c r="B1308" s="36" t="s">
        <v>83</v>
      </c>
      <c r="C1308" s="37" t="s">
        <v>263</v>
      </c>
      <c r="D1308" s="37" t="s">
        <v>253</v>
      </c>
      <c r="E1308" s="38">
        <v>-241</v>
      </c>
    </row>
    <row r="1309" spans="1:5" x14ac:dyDescent="0.2">
      <c r="A1309" s="35">
        <v>2021</v>
      </c>
      <c r="B1309" s="36" t="s">
        <v>83</v>
      </c>
      <c r="C1309" s="37" t="s">
        <v>263</v>
      </c>
      <c r="D1309" s="37" t="s">
        <v>254</v>
      </c>
      <c r="E1309" s="38">
        <v>33178</v>
      </c>
    </row>
    <row r="1310" spans="1:5" x14ac:dyDescent="0.2">
      <c r="A1310" s="35">
        <v>2021</v>
      </c>
      <c r="B1310" s="36" t="s">
        <v>83</v>
      </c>
      <c r="C1310" s="37" t="s">
        <v>263</v>
      </c>
      <c r="D1310" s="37" t="s">
        <v>255</v>
      </c>
      <c r="E1310" s="38">
        <v>389531</v>
      </c>
    </row>
    <row r="1311" spans="1:5" x14ac:dyDescent="0.2">
      <c r="A1311" s="35">
        <v>2021</v>
      </c>
      <c r="B1311" s="36" t="s">
        <v>83</v>
      </c>
      <c r="C1311" s="37" t="s">
        <v>263</v>
      </c>
      <c r="D1311" s="37" t="s">
        <v>257</v>
      </c>
      <c r="E1311" s="38">
        <v>2337793</v>
      </c>
    </row>
    <row r="1312" spans="1:5" x14ac:dyDescent="0.2">
      <c r="A1312" s="35">
        <v>2021</v>
      </c>
      <c r="B1312" s="36" t="s">
        <v>75</v>
      </c>
      <c r="C1312" s="37" t="s">
        <v>249</v>
      </c>
      <c r="D1312" s="37" t="s">
        <v>230</v>
      </c>
      <c r="E1312" s="38">
        <v>41754584</v>
      </c>
    </row>
    <row r="1313" spans="1:5" x14ac:dyDescent="0.2">
      <c r="A1313" s="35">
        <v>2021</v>
      </c>
      <c r="B1313" s="36" t="s">
        <v>75</v>
      </c>
      <c r="C1313" s="37" t="s">
        <v>249</v>
      </c>
      <c r="D1313" s="37" t="s">
        <v>250</v>
      </c>
      <c r="E1313" s="38">
        <v>2752473</v>
      </c>
    </row>
    <row r="1314" spans="1:5" x14ac:dyDescent="0.2">
      <c r="A1314" s="35">
        <v>2021</v>
      </c>
      <c r="B1314" s="36" t="s">
        <v>75</v>
      </c>
      <c r="C1314" s="37" t="s">
        <v>249</v>
      </c>
      <c r="D1314" s="37" t="s">
        <v>267</v>
      </c>
      <c r="E1314" s="38">
        <v>3917454</v>
      </c>
    </row>
    <row r="1315" spans="1:5" x14ac:dyDescent="0.2">
      <c r="A1315" s="35">
        <v>2021</v>
      </c>
      <c r="B1315" s="36" t="s">
        <v>75</v>
      </c>
      <c r="C1315" s="37" t="s">
        <v>249</v>
      </c>
      <c r="D1315" s="37" t="s">
        <v>251</v>
      </c>
      <c r="E1315" s="38">
        <v>1944288</v>
      </c>
    </row>
    <row r="1316" spans="1:5" x14ac:dyDescent="0.2">
      <c r="A1316" s="35">
        <v>2021</v>
      </c>
      <c r="B1316" s="36" t="s">
        <v>75</v>
      </c>
      <c r="C1316" s="37" t="s">
        <v>249</v>
      </c>
      <c r="D1316" s="37" t="s">
        <v>252</v>
      </c>
      <c r="E1316" s="38">
        <v>26129918</v>
      </c>
    </row>
    <row r="1317" spans="1:5" x14ac:dyDescent="0.2">
      <c r="A1317" s="35">
        <v>2021</v>
      </c>
      <c r="B1317" s="36" t="s">
        <v>75</v>
      </c>
      <c r="C1317" s="37" t="s">
        <v>249</v>
      </c>
      <c r="D1317" s="37" t="s">
        <v>265</v>
      </c>
      <c r="E1317" s="38">
        <v>0</v>
      </c>
    </row>
    <row r="1318" spans="1:5" x14ac:dyDescent="0.2">
      <c r="A1318" s="35">
        <v>2021</v>
      </c>
      <c r="B1318" s="36" t="s">
        <v>75</v>
      </c>
      <c r="C1318" s="37" t="s">
        <v>249</v>
      </c>
      <c r="D1318" s="37" t="s">
        <v>253</v>
      </c>
      <c r="E1318" s="38">
        <v>27358</v>
      </c>
    </row>
    <row r="1319" spans="1:5" x14ac:dyDescent="0.2">
      <c r="A1319" s="35">
        <v>2021</v>
      </c>
      <c r="B1319" s="36" t="s">
        <v>75</v>
      </c>
      <c r="C1319" s="37" t="s">
        <v>249</v>
      </c>
      <c r="D1319" s="37" t="s">
        <v>254</v>
      </c>
      <c r="E1319" s="38">
        <v>8014</v>
      </c>
    </row>
    <row r="1320" spans="1:5" x14ac:dyDescent="0.2">
      <c r="A1320" s="35">
        <v>2021</v>
      </c>
      <c r="B1320" s="36" t="s">
        <v>75</v>
      </c>
      <c r="C1320" s="37" t="s">
        <v>249</v>
      </c>
      <c r="D1320" s="37" t="s">
        <v>255</v>
      </c>
      <c r="E1320" s="38">
        <v>6585171</v>
      </c>
    </row>
    <row r="1321" spans="1:5" x14ac:dyDescent="0.2">
      <c r="A1321" s="35">
        <v>2021</v>
      </c>
      <c r="B1321" s="36" t="s">
        <v>75</v>
      </c>
      <c r="C1321" s="37" t="s">
        <v>249</v>
      </c>
      <c r="D1321" s="37" t="s">
        <v>256</v>
      </c>
      <c r="E1321" s="38">
        <v>49964</v>
      </c>
    </row>
    <row r="1322" spans="1:5" x14ac:dyDescent="0.2">
      <c r="A1322" s="35">
        <v>2021</v>
      </c>
      <c r="B1322" s="36" t="s">
        <v>75</v>
      </c>
      <c r="C1322" s="37" t="s">
        <v>249</v>
      </c>
      <c r="D1322" s="37" t="s">
        <v>257</v>
      </c>
      <c r="E1322" s="38">
        <v>339944</v>
      </c>
    </row>
    <row r="1323" spans="1:5" x14ac:dyDescent="0.2">
      <c r="A1323" s="35">
        <v>2021</v>
      </c>
      <c r="B1323" s="36" t="s">
        <v>75</v>
      </c>
      <c r="C1323" s="37" t="s">
        <v>259</v>
      </c>
      <c r="D1323" s="37" t="s">
        <v>230</v>
      </c>
      <c r="E1323" s="38">
        <v>338697</v>
      </c>
    </row>
    <row r="1324" spans="1:5" x14ac:dyDescent="0.2">
      <c r="A1324" s="35">
        <v>2021</v>
      </c>
      <c r="B1324" s="36" t="s">
        <v>75</v>
      </c>
      <c r="C1324" s="37" t="s">
        <v>259</v>
      </c>
      <c r="D1324" s="37" t="s">
        <v>252</v>
      </c>
      <c r="E1324" s="38">
        <v>335079</v>
      </c>
    </row>
    <row r="1325" spans="1:5" x14ac:dyDescent="0.2">
      <c r="A1325" s="35">
        <v>2021</v>
      </c>
      <c r="B1325" s="36" t="s">
        <v>75</v>
      </c>
      <c r="C1325" s="37" t="s">
        <v>259</v>
      </c>
      <c r="D1325" s="37" t="s">
        <v>255</v>
      </c>
      <c r="E1325" s="38">
        <v>3618</v>
      </c>
    </row>
    <row r="1326" spans="1:5" x14ac:dyDescent="0.2">
      <c r="A1326" s="35">
        <v>2021</v>
      </c>
      <c r="B1326" s="36" t="s">
        <v>75</v>
      </c>
      <c r="C1326" s="37" t="s">
        <v>260</v>
      </c>
      <c r="D1326" s="37" t="s">
        <v>230</v>
      </c>
      <c r="E1326" s="38">
        <v>614926</v>
      </c>
    </row>
    <row r="1327" spans="1:5" x14ac:dyDescent="0.2">
      <c r="A1327" s="35">
        <v>2021</v>
      </c>
      <c r="B1327" s="36" t="s">
        <v>75</v>
      </c>
      <c r="C1327" s="37" t="s">
        <v>260</v>
      </c>
      <c r="D1327" s="37" t="s">
        <v>267</v>
      </c>
      <c r="E1327" s="38">
        <v>501703</v>
      </c>
    </row>
    <row r="1328" spans="1:5" x14ac:dyDescent="0.2">
      <c r="A1328" s="35">
        <v>2021</v>
      </c>
      <c r="B1328" s="36" t="s">
        <v>75</v>
      </c>
      <c r="C1328" s="37" t="s">
        <v>260</v>
      </c>
      <c r="D1328" s="37" t="s">
        <v>252</v>
      </c>
      <c r="E1328" s="38">
        <v>61998</v>
      </c>
    </row>
    <row r="1329" spans="1:5" x14ac:dyDescent="0.2">
      <c r="A1329" s="35">
        <v>2021</v>
      </c>
      <c r="B1329" s="36" t="s">
        <v>75</v>
      </c>
      <c r="C1329" s="37" t="s">
        <v>260</v>
      </c>
      <c r="D1329" s="37" t="s">
        <v>255</v>
      </c>
      <c r="E1329" s="38">
        <v>51225</v>
      </c>
    </row>
    <row r="1330" spans="1:5" x14ac:dyDescent="0.2">
      <c r="A1330" s="35">
        <v>2021</v>
      </c>
      <c r="B1330" s="36" t="s">
        <v>75</v>
      </c>
      <c r="C1330" s="37" t="s">
        <v>261</v>
      </c>
      <c r="D1330" s="37" t="s">
        <v>230</v>
      </c>
      <c r="E1330" s="38">
        <v>2183913</v>
      </c>
    </row>
    <row r="1331" spans="1:5" x14ac:dyDescent="0.2">
      <c r="A1331" s="35">
        <v>2021</v>
      </c>
      <c r="B1331" s="36" t="s">
        <v>75</v>
      </c>
      <c r="C1331" s="37" t="s">
        <v>261</v>
      </c>
      <c r="D1331" s="37" t="s">
        <v>252</v>
      </c>
      <c r="E1331" s="38">
        <v>2183913</v>
      </c>
    </row>
    <row r="1332" spans="1:5" x14ac:dyDescent="0.2">
      <c r="A1332" s="35">
        <v>2021</v>
      </c>
      <c r="B1332" s="36" t="s">
        <v>75</v>
      </c>
      <c r="C1332" s="37" t="s">
        <v>261</v>
      </c>
      <c r="D1332" s="37" t="s">
        <v>265</v>
      </c>
      <c r="E1332" s="38">
        <v>0</v>
      </c>
    </row>
    <row r="1333" spans="1:5" x14ac:dyDescent="0.2">
      <c r="A1333" s="35">
        <v>2021</v>
      </c>
      <c r="B1333" s="36" t="s">
        <v>75</v>
      </c>
      <c r="C1333" s="37" t="s">
        <v>261</v>
      </c>
      <c r="D1333" s="37" t="s">
        <v>254</v>
      </c>
      <c r="E1333" s="38">
        <v>0</v>
      </c>
    </row>
    <row r="1334" spans="1:5" x14ac:dyDescent="0.2">
      <c r="A1334" s="35">
        <v>2021</v>
      </c>
      <c r="B1334" s="36" t="s">
        <v>75</v>
      </c>
      <c r="C1334" s="37" t="s">
        <v>262</v>
      </c>
      <c r="D1334" s="37" t="s">
        <v>230</v>
      </c>
      <c r="E1334" s="38">
        <v>11383459</v>
      </c>
    </row>
    <row r="1335" spans="1:5" x14ac:dyDescent="0.2">
      <c r="A1335" s="35">
        <v>2021</v>
      </c>
      <c r="B1335" s="36" t="s">
        <v>75</v>
      </c>
      <c r="C1335" s="37" t="s">
        <v>262</v>
      </c>
      <c r="D1335" s="37" t="s">
        <v>250</v>
      </c>
      <c r="E1335" s="38">
        <v>1190008</v>
      </c>
    </row>
    <row r="1336" spans="1:5" x14ac:dyDescent="0.2">
      <c r="A1336" s="35">
        <v>2021</v>
      </c>
      <c r="B1336" s="36" t="s">
        <v>75</v>
      </c>
      <c r="C1336" s="37" t="s">
        <v>262</v>
      </c>
      <c r="D1336" s="37" t="s">
        <v>267</v>
      </c>
      <c r="E1336" s="38">
        <v>3415751</v>
      </c>
    </row>
    <row r="1337" spans="1:5" x14ac:dyDescent="0.2">
      <c r="A1337" s="35">
        <v>2021</v>
      </c>
      <c r="B1337" s="36" t="s">
        <v>75</v>
      </c>
      <c r="C1337" s="37" t="s">
        <v>262</v>
      </c>
      <c r="D1337" s="37" t="s">
        <v>251</v>
      </c>
      <c r="E1337" s="38">
        <v>39143</v>
      </c>
    </row>
    <row r="1338" spans="1:5" x14ac:dyDescent="0.2">
      <c r="A1338" s="35">
        <v>2021</v>
      </c>
      <c r="B1338" s="36" t="s">
        <v>75</v>
      </c>
      <c r="C1338" s="37" t="s">
        <v>262</v>
      </c>
      <c r="D1338" s="37" t="s">
        <v>252</v>
      </c>
      <c r="E1338" s="38">
        <v>2024</v>
      </c>
    </row>
    <row r="1339" spans="1:5" x14ac:dyDescent="0.2">
      <c r="A1339" s="35">
        <v>2021</v>
      </c>
      <c r="B1339" s="36" t="s">
        <v>75</v>
      </c>
      <c r="C1339" s="37" t="s">
        <v>262</v>
      </c>
      <c r="D1339" s="37" t="s">
        <v>253</v>
      </c>
      <c r="E1339" s="38">
        <v>-761</v>
      </c>
    </row>
    <row r="1340" spans="1:5" x14ac:dyDescent="0.2">
      <c r="A1340" s="35">
        <v>2021</v>
      </c>
      <c r="B1340" s="36" t="s">
        <v>75</v>
      </c>
      <c r="C1340" s="37" t="s">
        <v>262</v>
      </c>
      <c r="D1340" s="37" t="s">
        <v>254</v>
      </c>
      <c r="E1340" s="38">
        <v>2333</v>
      </c>
    </row>
    <row r="1341" spans="1:5" x14ac:dyDescent="0.2">
      <c r="A1341" s="35">
        <v>2021</v>
      </c>
      <c r="B1341" s="36" t="s">
        <v>75</v>
      </c>
      <c r="C1341" s="37" t="s">
        <v>262</v>
      </c>
      <c r="D1341" s="37" t="s">
        <v>255</v>
      </c>
      <c r="E1341" s="38">
        <v>6345053</v>
      </c>
    </row>
    <row r="1342" spans="1:5" x14ac:dyDescent="0.2">
      <c r="A1342" s="35">
        <v>2021</v>
      </c>
      <c r="B1342" s="36" t="s">
        <v>75</v>
      </c>
      <c r="C1342" s="37" t="s">
        <v>262</v>
      </c>
      <c r="D1342" s="37" t="s">
        <v>256</v>
      </c>
      <c r="E1342" s="38">
        <v>49964</v>
      </c>
    </row>
    <row r="1343" spans="1:5" x14ac:dyDescent="0.2">
      <c r="A1343" s="35">
        <v>2021</v>
      </c>
      <c r="B1343" s="36" t="s">
        <v>75</v>
      </c>
      <c r="C1343" s="37" t="s">
        <v>262</v>
      </c>
      <c r="D1343" s="37" t="s">
        <v>257</v>
      </c>
      <c r="E1343" s="38">
        <v>339944</v>
      </c>
    </row>
    <row r="1344" spans="1:5" x14ac:dyDescent="0.2">
      <c r="A1344" s="35">
        <v>2021</v>
      </c>
      <c r="B1344" s="36" t="s">
        <v>75</v>
      </c>
      <c r="C1344" s="37" t="s">
        <v>263</v>
      </c>
      <c r="D1344" s="37" t="s">
        <v>230</v>
      </c>
      <c r="E1344" s="38">
        <v>27233589</v>
      </c>
    </row>
    <row r="1345" spans="1:5" x14ac:dyDescent="0.2">
      <c r="A1345" s="35">
        <v>2021</v>
      </c>
      <c r="B1345" s="36" t="s">
        <v>75</v>
      </c>
      <c r="C1345" s="37" t="s">
        <v>263</v>
      </c>
      <c r="D1345" s="37" t="s">
        <v>250</v>
      </c>
      <c r="E1345" s="38">
        <v>1562466</v>
      </c>
    </row>
    <row r="1346" spans="1:5" x14ac:dyDescent="0.2">
      <c r="A1346" s="35">
        <v>2021</v>
      </c>
      <c r="B1346" s="36" t="s">
        <v>75</v>
      </c>
      <c r="C1346" s="37" t="s">
        <v>263</v>
      </c>
      <c r="D1346" s="37" t="s">
        <v>251</v>
      </c>
      <c r="E1346" s="38">
        <v>1905145</v>
      </c>
    </row>
    <row r="1347" spans="1:5" x14ac:dyDescent="0.2">
      <c r="A1347" s="35">
        <v>2021</v>
      </c>
      <c r="B1347" s="36" t="s">
        <v>75</v>
      </c>
      <c r="C1347" s="37" t="s">
        <v>263</v>
      </c>
      <c r="D1347" s="37" t="s">
        <v>252</v>
      </c>
      <c r="E1347" s="38">
        <v>23546904</v>
      </c>
    </row>
    <row r="1348" spans="1:5" x14ac:dyDescent="0.2">
      <c r="A1348" s="35">
        <v>2021</v>
      </c>
      <c r="B1348" s="36" t="s">
        <v>75</v>
      </c>
      <c r="C1348" s="37" t="s">
        <v>263</v>
      </c>
      <c r="D1348" s="37" t="s">
        <v>253</v>
      </c>
      <c r="E1348" s="38">
        <v>28119</v>
      </c>
    </row>
    <row r="1349" spans="1:5" x14ac:dyDescent="0.2">
      <c r="A1349" s="35">
        <v>2021</v>
      </c>
      <c r="B1349" s="36" t="s">
        <v>75</v>
      </c>
      <c r="C1349" s="37" t="s">
        <v>263</v>
      </c>
      <c r="D1349" s="37" t="s">
        <v>254</v>
      </c>
      <c r="E1349" s="38">
        <v>5680</v>
      </c>
    </row>
    <row r="1350" spans="1:5" x14ac:dyDescent="0.2">
      <c r="A1350" s="35">
        <v>2021</v>
      </c>
      <c r="B1350" s="36" t="s">
        <v>75</v>
      </c>
      <c r="C1350" s="37" t="s">
        <v>263</v>
      </c>
      <c r="D1350" s="37" t="s">
        <v>255</v>
      </c>
      <c r="E1350" s="38">
        <v>185275</v>
      </c>
    </row>
    <row r="1351" spans="1:5" x14ac:dyDescent="0.2">
      <c r="A1351" s="35">
        <v>2021</v>
      </c>
      <c r="B1351" s="36" t="s">
        <v>86</v>
      </c>
      <c r="C1351" s="37" t="s">
        <v>249</v>
      </c>
      <c r="D1351" s="37" t="s">
        <v>230</v>
      </c>
      <c r="E1351" s="38">
        <v>124772248</v>
      </c>
    </row>
    <row r="1352" spans="1:5" x14ac:dyDescent="0.2">
      <c r="A1352" s="35">
        <v>2021</v>
      </c>
      <c r="B1352" s="36" t="s">
        <v>86</v>
      </c>
      <c r="C1352" s="37" t="s">
        <v>249</v>
      </c>
      <c r="D1352" s="37" t="s">
        <v>250</v>
      </c>
      <c r="E1352" s="38">
        <v>0</v>
      </c>
    </row>
    <row r="1353" spans="1:5" x14ac:dyDescent="0.2">
      <c r="A1353" s="35">
        <v>2021</v>
      </c>
      <c r="B1353" s="36" t="s">
        <v>86</v>
      </c>
      <c r="C1353" s="37" t="s">
        <v>249</v>
      </c>
      <c r="D1353" s="37" t="s">
        <v>266</v>
      </c>
      <c r="E1353" s="38">
        <v>-381535</v>
      </c>
    </row>
    <row r="1354" spans="1:5" x14ac:dyDescent="0.2">
      <c r="A1354" s="35">
        <v>2021</v>
      </c>
      <c r="B1354" s="36" t="s">
        <v>86</v>
      </c>
      <c r="C1354" s="37" t="s">
        <v>249</v>
      </c>
      <c r="D1354" s="37" t="s">
        <v>251</v>
      </c>
      <c r="E1354" s="38">
        <v>28765477</v>
      </c>
    </row>
    <row r="1355" spans="1:5" x14ac:dyDescent="0.2">
      <c r="A1355" s="35">
        <v>2021</v>
      </c>
      <c r="B1355" s="36" t="s">
        <v>86</v>
      </c>
      <c r="C1355" s="37" t="s">
        <v>249</v>
      </c>
      <c r="D1355" s="37" t="s">
        <v>252</v>
      </c>
      <c r="E1355" s="38">
        <v>56342707</v>
      </c>
    </row>
    <row r="1356" spans="1:5" x14ac:dyDescent="0.2">
      <c r="A1356" s="35">
        <v>2021</v>
      </c>
      <c r="B1356" s="36" t="s">
        <v>86</v>
      </c>
      <c r="C1356" s="37" t="s">
        <v>249</v>
      </c>
      <c r="D1356" s="37" t="s">
        <v>264</v>
      </c>
      <c r="E1356" s="38">
        <v>31176583</v>
      </c>
    </row>
    <row r="1357" spans="1:5" x14ac:dyDescent="0.2">
      <c r="A1357" s="35">
        <v>2021</v>
      </c>
      <c r="B1357" s="36" t="s">
        <v>86</v>
      </c>
      <c r="C1357" s="37" t="s">
        <v>249</v>
      </c>
      <c r="D1357" s="37" t="s">
        <v>265</v>
      </c>
      <c r="E1357" s="38">
        <v>0</v>
      </c>
    </row>
    <row r="1358" spans="1:5" x14ac:dyDescent="0.2">
      <c r="A1358" s="35">
        <v>2021</v>
      </c>
      <c r="B1358" s="36" t="s">
        <v>86</v>
      </c>
      <c r="C1358" s="37" t="s">
        <v>249</v>
      </c>
      <c r="D1358" s="37" t="s">
        <v>253</v>
      </c>
      <c r="E1358" s="38">
        <v>962650</v>
      </c>
    </row>
    <row r="1359" spans="1:5" x14ac:dyDescent="0.2">
      <c r="A1359" s="35">
        <v>2021</v>
      </c>
      <c r="B1359" s="36" t="s">
        <v>86</v>
      </c>
      <c r="C1359" s="37" t="s">
        <v>249</v>
      </c>
      <c r="D1359" s="37" t="s">
        <v>254</v>
      </c>
      <c r="E1359" s="38">
        <v>687762</v>
      </c>
    </row>
    <row r="1360" spans="1:5" x14ac:dyDescent="0.2">
      <c r="A1360" s="35">
        <v>2021</v>
      </c>
      <c r="B1360" s="36" t="s">
        <v>86</v>
      </c>
      <c r="C1360" s="37" t="s">
        <v>249</v>
      </c>
      <c r="D1360" s="37" t="s">
        <v>255</v>
      </c>
      <c r="E1360" s="38">
        <v>1158925</v>
      </c>
    </row>
    <row r="1361" spans="1:5" x14ac:dyDescent="0.2">
      <c r="A1361" s="35">
        <v>2021</v>
      </c>
      <c r="B1361" s="36" t="s">
        <v>86</v>
      </c>
      <c r="C1361" s="37" t="s">
        <v>249</v>
      </c>
      <c r="D1361" s="37" t="s">
        <v>256</v>
      </c>
      <c r="E1361" s="38">
        <v>1449889</v>
      </c>
    </row>
    <row r="1362" spans="1:5" x14ac:dyDescent="0.2">
      <c r="A1362" s="35">
        <v>2021</v>
      </c>
      <c r="B1362" s="36" t="s">
        <v>86</v>
      </c>
      <c r="C1362" s="37" t="s">
        <v>249</v>
      </c>
      <c r="D1362" s="37" t="s">
        <v>257</v>
      </c>
      <c r="E1362" s="38">
        <v>4156369</v>
      </c>
    </row>
    <row r="1363" spans="1:5" x14ac:dyDescent="0.2">
      <c r="A1363" s="35">
        <v>2021</v>
      </c>
      <c r="B1363" s="36" t="s">
        <v>86</v>
      </c>
      <c r="C1363" s="37" t="s">
        <v>249</v>
      </c>
      <c r="D1363" s="37" t="s">
        <v>258</v>
      </c>
      <c r="E1363" s="38">
        <v>453422</v>
      </c>
    </row>
    <row r="1364" spans="1:5" x14ac:dyDescent="0.2">
      <c r="A1364" s="35">
        <v>2021</v>
      </c>
      <c r="B1364" s="36" t="s">
        <v>86</v>
      </c>
      <c r="C1364" s="37" t="s">
        <v>259</v>
      </c>
      <c r="D1364" s="37" t="s">
        <v>230</v>
      </c>
      <c r="E1364" s="38">
        <v>804724</v>
      </c>
    </row>
    <row r="1365" spans="1:5" x14ac:dyDescent="0.2">
      <c r="A1365" s="35">
        <v>2021</v>
      </c>
      <c r="B1365" s="36" t="s">
        <v>86</v>
      </c>
      <c r="C1365" s="37" t="s">
        <v>259</v>
      </c>
      <c r="D1365" s="37" t="s">
        <v>250</v>
      </c>
      <c r="E1365" s="38">
        <v>0</v>
      </c>
    </row>
    <row r="1366" spans="1:5" x14ac:dyDescent="0.2">
      <c r="A1366" s="35">
        <v>2021</v>
      </c>
      <c r="B1366" s="36" t="s">
        <v>86</v>
      </c>
      <c r="C1366" s="37" t="s">
        <v>259</v>
      </c>
      <c r="D1366" s="37" t="s">
        <v>251</v>
      </c>
      <c r="E1366" s="38">
        <v>63561</v>
      </c>
    </row>
    <row r="1367" spans="1:5" x14ac:dyDescent="0.2">
      <c r="A1367" s="35">
        <v>2021</v>
      </c>
      <c r="B1367" s="36" t="s">
        <v>86</v>
      </c>
      <c r="C1367" s="37" t="s">
        <v>259</v>
      </c>
      <c r="D1367" s="37" t="s">
        <v>252</v>
      </c>
      <c r="E1367" s="38">
        <v>562893</v>
      </c>
    </row>
    <row r="1368" spans="1:5" x14ac:dyDescent="0.2">
      <c r="A1368" s="35">
        <v>2021</v>
      </c>
      <c r="B1368" s="36" t="s">
        <v>86</v>
      </c>
      <c r="C1368" s="37" t="s">
        <v>259</v>
      </c>
      <c r="D1368" s="37" t="s">
        <v>265</v>
      </c>
      <c r="E1368" s="38">
        <v>0</v>
      </c>
    </row>
    <row r="1369" spans="1:5" x14ac:dyDescent="0.2">
      <c r="A1369" s="35">
        <v>2021</v>
      </c>
      <c r="B1369" s="36" t="s">
        <v>86</v>
      </c>
      <c r="C1369" s="37" t="s">
        <v>259</v>
      </c>
      <c r="D1369" s="37" t="s">
        <v>253</v>
      </c>
      <c r="E1369" s="38">
        <v>0</v>
      </c>
    </row>
    <row r="1370" spans="1:5" x14ac:dyDescent="0.2">
      <c r="A1370" s="35">
        <v>2021</v>
      </c>
      <c r="B1370" s="36" t="s">
        <v>86</v>
      </c>
      <c r="C1370" s="37" t="s">
        <v>259</v>
      </c>
      <c r="D1370" s="37" t="s">
        <v>254</v>
      </c>
      <c r="E1370" s="38">
        <v>8085</v>
      </c>
    </row>
    <row r="1371" spans="1:5" x14ac:dyDescent="0.2">
      <c r="A1371" s="35">
        <v>2021</v>
      </c>
      <c r="B1371" s="36" t="s">
        <v>86</v>
      </c>
      <c r="C1371" s="37" t="s">
        <v>259</v>
      </c>
      <c r="D1371" s="37" t="s">
        <v>255</v>
      </c>
      <c r="E1371" s="38">
        <v>6412</v>
      </c>
    </row>
    <row r="1372" spans="1:5" x14ac:dyDescent="0.2">
      <c r="A1372" s="35">
        <v>2021</v>
      </c>
      <c r="B1372" s="36" t="s">
        <v>86</v>
      </c>
      <c r="C1372" s="37" t="s">
        <v>259</v>
      </c>
      <c r="D1372" s="37" t="s">
        <v>257</v>
      </c>
      <c r="E1372" s="38">
        <v>2207</v>
      </c>
    </row>
    <row r="1373" spans="1:5" x14ac:dyDescent="0.2">
      <c r="A1373" s="35">
        <v>2021</v>
      </c>
      <c r="B1373" s="36" t="s">
        <v>86</v>
      </c>
      <c r="C1373" s="37" t="s">
        <v>259</v>
      </c>
      <c r="D1373" s="37" t="s">
        <v>258</v>
      </c>
      <c r="E1373" s="38">
        <v>161566</v>
      </c>
    </row>
    <row r="1374" spans="1:5" x14ac:dyDescent="0.2">
      <c r="A1374" s="35">
        <v>2021</v>
      </c>
      <c r="B1374" s="36" t="s">
        <v>86</v>
      </c>
      <c r="C1374" s="37" t="s">
        <v>260</v>
      </c>
      <c r="D1374" s="37" t="s">
        <v>230</v>
      </c>
      <c r="E1374" s="38">
        <v>1058679</v>
      </c>
    </row>
    <row r="1375" spans="1:5" x14ac:dyDescent="0.2">
      <c r="A1375" s="35">
        <v>2021</v>
      </c>
      <c r="B1375" s="36" t="s">
        <v>86</v>
      </c>
      <c r="C1375" s="37" t="s">
        <v>260</v>
      </c>
      <c r="D1375" s="37" t="s">
        <v>250</v>
      </c>
      <c r="E1375" s="38">
        <v>0</v>
      </c>
    </row>
    <row r="1376" spans="1:5" x14ac:dyDescent="0.2">
      <c r="A1376" s="35">
        <v>2021</v>
      </c>
      <c r="B1376" s="36" t="s">
        <v>86</v>
      </c>
      <c r="C1376" s="37" t="s">
        <v>260</v>
      </c>
      <c r="D1376" s="37" t="s">
        <v>251</v>
      </c>
      <c r="E1376" s="38">
        <v>7950</v>
      </c>
    </row>
    <row r="1377" spans="1:5" x14ac:dyDescent="0.2">
      <c r="A1377" s="35">
        <v>2021</v>
      </c>
      <c r="B1377" s="36" t="s">
        <v>86</v>
      </c>
      <c r="C1377" s="37" t="s">
        <v>260</v>
      </c>
      <c r="D1377" s="37" t="s">
        <v>252</v>
      </c>
      <c r="E1377" s="38">
        <v>606500</v>
      </c>
    </row>
    <row r="1378" spans="1:5" x14ac:dyDescent="0.2">
      <c r="A1378" s="35">
        <v>2021</v>
      </c>
      <c r="B1378" s="36" t="s">
        <v>86</v>
      </c>
      <c r="C1378" s="37" t="s">
        <v>260</v>
      </c>
      <c r="D1378" s="37" t="s">
        <v>253</v>
      </c>
      <c r="E1378" s="38">
        <v>235038</v>
      </c>
    </row>
    <row r="1379" spans="1:5" x14ac:dyDescent="0.2">
      <c r="A1379" s="35">
        <v>2021</v>
      </c>
      <c r="B1379" s="36" t="s">
        <v>86</v>
      </c>
      <c r="C1379" s="37" t="s">
        <v>260</v>
      </c>
      <c r="D1379" s="37" t="s">
        <v>254</v>
      </c>
      <c r="E1379" s="38">
        <v>3611</v>
      </c>
    </row>
    <row r="1380" spans="1:5" x14ac:dyDescent="0.2">
      <c r="A1380" s="35">
        <v>2021</v>
      </c>
      <c r="B1380" s="36" t="s">
        <v>86</v>
      </c>
      <c r="C1380" s="37" t="s">
        <v>260</v>
      </c>
      <c r="D1380" s="37" t="s">
        <v>255</v>
      </c>
      <c r="E1380" s="38">
        <v>9971</v>
      </c>
    </row>
    <row r="1381" spans="1:5" x14ac:dyDescent="0.2">
      <c r="A1381" s="35">
        <v>2021</v>
      </c>
      <c r="B1381" s="36" t="s">
        <v>86</v>
      </c>
      <c r="C1381" s="37" t="s">
        <v>260</v>
      </c>
      <c r="D1381" s="37" t="s">
        <v>256</v>
      </c>
      <c r="E1381" s="38">
        <v>192644</v>
      </c>
    </row>
    <row r="1382" spans="1:5" x14ac:dyDescent="0.2">
      <c r="A1382" s="35">
        <v>2021</v>
      </c>
      <c r="B1382" s="36" t="s">
        <v>86</v>
      </c>
      <c r="C1382" s="37" t="s">
        <v>260</v>
      </c>
      <c r="D1382" s="37" t="s">
        <v>257</v>
      </c>
      <c r="E1382" s="38">
        <v>2965</v>
      </c>
    </row>
    <row r="1383" spans="1:5" x14ac:dyDescent="0.2">
      <c r="A1383" s="35">
        <v>2021</v>
      </c>
      <c r="B1383" s="36" t="s">
        <v>86</v>
      </c>
      <c r="C1383" s="37" t="s">
        <v>261</v>
      </c>
      <c r="D1383" s="37" t="s">
        <v>230</v>
      </c>
      <c r="E1383" s="38">
        <v>11552616</v>
      </c>
    </row>
    <row r="1384" spans="1:5" x14ac:dyDescent="0.2">
      <c r="A1384" s="35">
        <v>2021</v>
      </c>
      <c r="B1384" s="36" t="s">
        <v>86</v>
      </c>
      <c r="C1384" s="37" t="s">
        <v>261</v>
      </c>
      <c r="D1384" s="37" t="s">
        <v>252</v>
      </c>
      <c r="E1384" s="38">
        <v>11051897</v>
      </c>
    </row>
    <row r="1385" spans="1:5" x14ac:dyDescent="0.2">
      <c r="A1385" s="35">
        <v>2021</v>
      </c>
      <c r="B1385" s="36" t="s">
        <v>86</v>
      </c>
      <c r="C1385" s="37" t="s">
        <v>261</v>
      </c>
      <c r="D1385" s="37" t="s">
        <v>253</v>
      </c>
      <c r="E1385" s="38">
        <v>274390</v>
      </c>
    </row>
    <row r="1386" spans="1:5" x14ac:dyDescent="0.2">
      <c r="A1386" s="35">
        <v>2021</v>
      </c>
      <c r="B1386" s="36" t="s">
        <v>86</v>
      </c>
      <c r="C1386" s="37" t="s">
        <v>261</v>
      </c>
      <c r="D1386" s="37" t="s">
        <v>254</v>
      </c>
      <c r="E1386" s="38">
        <v>1829</v>
      </c>
    </row>
    <row r="1387" spans="1:5" x14ac:dyDescent="0.2">
      <c r="A1387" s="35">
        <v>2021</v>
      </c>
      <c r="B1387" s="36" t="s">
        <v>86</v>
      </c>
      <c r="C1387" s="37" t="s">
        <v>261</v>
      </c>
      <c r="D1387" s="37" t="s">
        <v>256</v>
      </c>
      <c r="E1387" s="38">
        <v>224500</v>
      </c>
    </row>
    <row r="1388" spans="1:5" x14ac:dyDescent="0.2">
      <c r="A1388" s="35">
        <v>2021</v>
      </c>
      <c r="B1388" s="36" t="s">
        <v>86</v>
      </c>
      <c r="C1388" s="37" t="s">
        <v>262</v>
      </c>
      <c r="D1388" s="37" t="s">
        <v>230</v>
      </c>
      <c r="E1388" s="38">
        <v>74581372</v>
      </c>
    </row>
    <row r="1389" spans="1:5" x14ac:dyDescent="0.2">
      <c r="A1389" s="35">
        <v>2021</v>
      </c>
      <c r="B1389" s="36" t="s">
        <v>86</v>
      </c>
      <c r="C1389" s="37" t="s">
        <v>262</v>
      </c>
      <c r="D1389" s="37" t="s">
        <v>250</v>
      </c>
      <c r="E1389" s="38">
        <v>0</v>
      </c>
    </row>
    <row r="1390" spans="1:5" x14ac:dyDescent="0.2">
      <c r="A1390" s="35">
        <v>2021</v>
      </c>
      <c r="B1390" s="36" t="s">
        <v>86</v>
      </c>
      <c r="C1390" s="37" t="s">
        <v>262</v>
      </c>
      <c r="D1390" s="37" t="s">
        <v>251</v>
      </c>
      <c r="E1390" s="38">
        <v>4400597</v>
      </c>
    </row>
    <row r="1391" spans="1:5" x14ac:dyDescent="0.2">
      <c r="A1391" s="35">
        <v>2021</v>
      </c>
      <c r="B1391" s="36" t="s">
        <v>86</v>
      </c>
      <c r="C1391" s="37" t="s">
        <v>262</v>
      </c>
      <c r="D1391" s="37" t="s">
        <v>252</v>
      </c>
      <c r="E1391" s="38">
        <v>31810078</v>
      </c>
    </row>
    <row r="1392" spans="1:5" x14ac:dyDescent="0.2">
      <c r="A1392" s="35">
        <v>2021</v>
      </c>
      <c r="B1392" s="36" t="s">
        <v>86</v>
      </c>
      <c r="C1392" s="37" t="s">
        <v>262</v>
      </c>
      <c r="D1392" s="37" t="s">
        <v>264</v>
      </c>
      <c r="E1392" s="38">
        <v>31176583</v>
      </c>
    </row>
    <row r="1393" spans="1:5" x14ac:dyDescent="0.2">
      <c r="A1393" s="35">
        <v>2021</v>
      </c>
      <c r="B1393" s="36" t="s">
        <v>86</v>
      </c>
      <c r="C1393" s="37" t="s">
        <v>262</v>
      </c>
      <c r="D1393" s="37" t="s">
        <v>253</v>
      </c>
      <c r="E1393" s="38">
        <v>453328</v>
      </c>
    </row>
    <row r="1394" spans="1:5" x14ac:dyDescent="0.2">
      <c r="A1394" s="35">
        <v>2021</v>
      </c>
      <c r="B1394" s="36" t="s">
        <v>86</v>
      </c>
      <c r="C1394" s="37" t="s">
        <v>262</v>
      </c>
      <c r="D1394" s="37" t="s">
        <v>254</v>
      </c>
      <c r="E1394" s="38">
        <v>122446</v>
      </c>
    </row>
    <row r="1395" spans="1:5" x14ac:dyDescent="0.2">
      <c r="A1395" s="35">
        <v>2021</v>
      </c>
      <c r="B1395" s="36" t="s">
        <v>86</v>
      </c>
      <c r="C1395" s="37" t="s">
        <v>262</v>
      </c>
      <c r="D1395" s="37" t="s">
        <v>255</v>
      </c>
      <c r="E1395" s="38">
        <v>1142542</v>
      </c>
    </row>
    <row r="1396" spans="1:5" x14ac:dyDescent="0.2">
      <c r="A1396" s="35">
        <v>2021</v>
      </c>
      <c r="B1396" s="36" t="s">
        <v>86</v>
      </c>
      <c r="C1396" s="37" t="s">
        <v>262</v>
      </c>
      <c r="D1396" s="37" t="s">
        <v>256</v>
      </c>
      <c r="E1396" s="38">
        <v>1032745</v>
      </c>
    </row>
    <row r="1397" spans="1:5" x14ac:dyDescent="0.2">
      <c r="A1397" s="35">
        <v>2021</v>
      </c>
      <c r="B1397" s="36" t="s">
        <v>86</v>
      </c>
      <c r="C1397" s="37" t="s">
        <v>262</v>
      </c>
      <c r="D1397" s="37" t="s">
        <v>257</v>
      </c>
      <c r="E1397" s="38">
        <v>4151197</v>
      </c>
    </row>
    <row r="1398" spans="1:5" x14ac:dyDescent="0.2">
      <c r="A1398" s="35">
        <v>2021</v>
      </c>
      <c r="B1398" s="36" t="s">
        <v>86</v>
      </c>
      <c r="C1398" s="37" t="s">
        <v>262</v>
      </c>
      <c r="D1398" s="37" t="s">
        <v>258</v>
      </c>
      <c r="E1398" s="38">
        <v>291857</v>
      </c>
    </row>
    <row r="1399" spans="1:5" x14ac:dyDescent="0.2">
      <c r="A1399" s="35">
        <v>2021</v>
      </c>
      <c r="B1399" s="36" t="s">
        <v>86</v>
      </c>
      <c r="C1399" s="37" t="s">
        <v>263</v>
      </c>
      <c r="D1399" s="37" t="s">
        <v>230</v>
      </c>
      <c r="E1399" s="38">
        <v>36774858</v>
      </c>
    </row>
    <row r="1400" spans="1:5" x14ac:dyDescent="0.2">
      <c r="A1400" s="35">
        <v>2021</v>
      </c>
      <c r="B1400" s="36" t="s">
        <v>86</v>
      </c>
      <c r="C1400" s="37" t="s">
        <v>263</v>
      </c>
      <c r="D1400" s="37" t="s">
        <v>250</v>
      </c>
      <c r="E1400" s="38">
        <v>0</v>
      </c>
    </row>
    <row r="1401" spans="1:5" x14ac:dyDescent="0.2">
      <c r="A1401" s="35">
        <v>2021</v>
      </c>
      <c r="B1401" s="36" t="s">
        <v>86</v>
      </c>
      <c r="C1401" s="37" t="s">
        <v>263</v>
      </c>
      <c r="D1401" s="37" t="s">
        <v>266</v>
      </c>
      <c r="E1401" s="38">
        <v>-381535</v>
      </c>
    </row>
    <row r="1402" spans="1:5" x14ac:dyDescent="0.2">
      <c r="A1402" s="35">
        <v>2021</v>
      </c>
      <c r="B1402" s="36" t="s">
        <v>86</v>
      </c>
      <c r="C1402" s="37" t="s">
        <v>263</v>
      </c>
      <c r="D1402" s="37" t="s">
        <v>251</v>
      </c>
      <c r="E1402" s="38">
        <v>24293369</v>
      </c>
    </row>
    <row r="1403" spans="1:5" x14ac:dyDescent="0.2">
      <c r="A1403" s="35">
        <v>2021</v>
      </c>
      <c r="B1403" s="36" t="s">
        <v>86</v>
      </c>
      <c r="C1403" s="37" t="s">
        <v>263</v>
      </c>
      <c r="D1403" s="37" t="s">
        <v>252</v>
      </c>
      <c r="E1403" s="38">
        <v>12311339</v>
      </c>
    </row>
    <row r="1404" spans="1:5" x14ac:dyDescent="0.2">
      <c r="A1404" s="35">
        <v>2021</v>
      </c>
      <c r="B1404" s="36" t="s">
        <v>86</v>
      </c>
      <c r="C1404" s="37" t="s">
        <v>263</v>
      </c>
      <c r="D1404" s="37" t="s">
        <v>253</v>
      </c>
      <c r="E1404" s="38">
        <v>-107</v>
      </c>
    </row>
    <row r="1405" spans="1:5" x14ac:dyDescent="0.2">
      <c r="A1405" s="35">
        <v>2021</v>
      </c>
      <c r="B1405" s="36" t="s">
        <v>86</v>
      </c>
      <c r="C1405" s="37" t="s">
        <v>263</v>
      </c>
      <c r="D1405" s="37" t="s">
        <v>254</v>
      </c>
      <c r="E1405" s="38">
        <v>551792</v>
      </c>
    </row>
    <row r="1406" spans="1:5" x14ac:dyDescent="0.2">
      <c r="A1406" s="35">
        <v>2021</v>
      </c>
      <c r="B1406" s="36" t="s">
        <v>94</v>
      </c>
      <c r="C1406" s="37" t="s">
        <v>249</v>
      </c>
      <c r="D1406" s="37" t="s">
        <v>230</v>
      </c>
      <c r="E1406" s="38">
        <v>125947507</v>
      </c>
    </row>
    <row r="1407" spans="1:5" x14ac:dyDescent="0.2">
      <c r="A1407" s="35">
        <v>2021</v>
      </c>
      <c r="B1407" s="36" t="s">
        <v>94</v>
      </c>
      <c r="C1407" s="37" t="s">
        <v>249</v>
      </c>
      <c r="D1407" s="37" t="s">
        <v>250</v>
      </c>
      <c r="E1407" s="38">
        <v>45662048</v>
      </c>
    </row>
    <row r="1408" spans="1:5" x14ac:dyDescent="0.2">
      <c r="A1408" s="35">
        <v>2021</v>
      </c>
      <c r="B1408" s="36" t="s">
        <v>94</v>
      </c>
      <c r="C1408" s="37" t="s">
        <v>249</v>
      </c>
      <c r="D1408" s="37" t="s">
        <v>251</v>
      </c>
      <c r="E1408" s="38">
        <v>578290</v>
      </c>
    </row>
    <row r="1409" spans="1:5" x14ac:dyDescent="0.2">
      <c r="A1409" s="35">
        <v>2021</v>
      </c>
      <c r="B1409" s="36" t="s">
        <v>94</v>
      </c>
      <c r="C1409" s="37" t="s">
        <v>249</v>
      </c>
      <c r="D1409" s="37" t="s">
        <v>252</v>
      </c>
      <c r="E1409" s="38">
        <v>56380782</v>
      </c>
    </row>
    <row r="1410" spans="1:5" x14ac:dyDescent="0.2">
      <c r="A1410" s="35">
        <v>2021</v>
      </c>
      <c r="B1410" s="36" t="s">
        <v>94</v>
      </c>
      <c r="C1410" s="37" t="s">
        <v>249</v>
      </c>
      <c r="D1410" s="37" t="s">
        <v>264</v>
      </c>
      <c r="E1410" s="38">
        <v>17483009</v>
      </c>
    </row>
    <row r="1411" spans="1:5" x14ac:dyDescent="0.2">
      <c r="A1411" s="35">
        <v>2021</v>
      </c>
      <c r="B1411" s="36" t="s">
        <v>94</v>
      </c>
      <c r="C1411" s="37" t="s">
        <v>249</v>
      </c>
      <c r="D1411" s="37" t="s">
        <v>265</v>
      </c>
      <c r="E1411" s="38">
        <v>812827</v>
      </c>
    </row>
    <row r="1412" spans="1:5" x14ac:dyDescent="0.2">
      <c r="A1412" s="35">
        <v>2021</v>
      </c>
      <c r="B1412" s="36" t="s">
        <v>94</v>
      </c>
      <c r="C1412" s="37" t="s">
        <v>249</v>
      </c>
      <c r="D1412" s="37" t="s">
        <v>253</v>
      </c>
      <c r="E1412" s="38">
        <v>3240</v>
      </c>
    </row>
    <row r="1413" spans="1:5" x14ac:dyDescent="0.2">
      <c r="A1413" s="35">
        <v>2021</v>
      </c>
      <c r="B1413" s="36" t="s">
        <v>94</v>
      </c>
      <c r="C1413" s="37" t="s">
        <v>249</v>
      </c>
      <c r="D1413" s="37" t="s">
        <v>254</v>
      </c>
      <c r="E1413" s="38">
        <v>1125073</v>
      </c>
    </row>
    <row r="1414" spans="1:5" x14ac:dyDescent="0.2">
      <c r="A1414" s="35">
        <v>2021</v>
      </c>
      <c r="B1414" s="36" t="s">
        <v>94</v>
      </c>
      <c r="C1414" s="37" t="s">
        <v>249</v>
      </c>
      <c r="D1414" s="37" t="s">
        <v>255</v>
      </c>
      <c r="E1414" s="38">
        <v>672660</v>
      </c>
    </row>
    <row r="1415" spans="1:5" x14ac:dyDescent="0.2">
      <c r="A1415" s="35">
        <v>2021</v>
      </c>
      <c r="B1415" s="36" t="s">
        <v>94</v>
      </c>
      <c r="C1415" s="37" t="s">
        <v>249</v>
      </c>
      <c r="D1415" s="37" t="s">
        <v>256</v>
      </c>
      <c r="E1415" s="38">
        <v>406508</v>
      </c>
    </row>
    <row r="1416" spans="1:5" x14ac:dyDescent="0.2">
      <c r="A1416" s="35">
        <v>2021</v>
      </c>
      <c r="B1416" s="36" t="s">
        <v>94</v>
      </c>
      <c r="C1416" s="37" t="s">
        <v>249</v>
      </c>
      <c r="D1416" s="37" t="s">
        <v>257</v>
      </c>
      <c r="E1416" s="38">
        <v>2586756</v>
      </c>
    </row>
    <row r="1417" spans="1:5" x14ac:dyDescent="0.2">
      <c r="A1417" s="35">
        <v>2021</v>
      </c>
      <c r="B1417" s="36" t="s">
        <v>94</v>
      </c>
      <c r="C1417" s="37" t="s">
        <v>249</v>
      </c>
      <c r="D1417" s="37" t="s">
        <v>258</v>
      </c>
      <c r="E1417" s="38">
        <v>236314</v>
      </c>
    </row>
    <row r="1418" spans="1:5" x14ac:dyDescent="0.2">
      <c r="A1418" s="35">
        <v>2021</v>
      </c>
      <c r="B1418" s="36" t="s">
        <v>94</v>
      </c>
      <c r="C1418" s="37" t="s">
        <v>259</v>
      </c>
      <c r="D1418" s="37" t="s">
        <v>230</v>
      </c>
      <c r="E1418" s="38">
        <v>724223</v>
      </c>
    </row>
    <row r="1419" spans="1:5" x14ac:dyDescent="0.2">
      <c r="A1419" s="35">
        <v>2021</v>
      </c>
      <c r="B1419" s="36" t="s">
        <v>94</v>
      </c>
      <c r="C1419" s="37" t="s">
        <v>259</v>
      </c>
      <c r="D1419" s="37" t="s">
        <v>250</v>
      </c>
      <c r="E1419" s="38">
        <v>0</v>
      </c>
    </row>
    <row r="1420" spans="1:5" x14ac:dyDescent="0.2">
      <c r="A1420" s="35">
        <v>2021</v>
      </c>
      <c r="B1420" s="36" t="s">
        <v>94</v>
      </c>
      <c r="C1420" s="37" t="s">
        <v>259</v>
      </c>
      <c r="D1420" s="37" t="s">
        <v>252</v>
      </c>
      <c r="E1420" s="38">
        <v>262961</v>
      </c>
    </row>
    <row r="1421" spans="1:5" x14ac:dyDescent="0.2">
      <c r="A1421" s="35">
        <v>2021</v>
      </c>
      <c r="B1421" s="36" t="s">
        <v>94</v>
      </c>
      <c r="C1421" s="37" t="s">
        <v>259</v>
      </c>
      <c r="D1421" s="37" t="s">
        <v>265</v>
      </c>
      <c r="E1421" s="38">
        <v>140938</v>
      </c>
    </row>
    <row r="1422" spans="1:5" x14ac:dyDescent="0.2">
      <c r="A1422" s="35">
        <v>2021</v>
      </c>
      <c r="B1422" s="36" t="s">
        <v>94</v>
      </c>
      <c r="C1422" s="37" t="s">
        <v>259</v>
      </c>
      <c r="D1422" s="37" t="s">
        <v>253</v>
      </c>
      <c r="E1422" s="38">
        <v>8131</v>
      </c>
    </row>
    <row r="1423" spans="1:5" x14ac:dyDescent="0.2">
      <c r="A1423" s="35">
        <v>2021</v>
      </c>
      <c r="B1423" s="36" t="s">
        <v>94</v>
      </c>
      <c r="C1423" s="37" t="s">
        <v>259</v>
      </c>
      <c r="D1423" s="37" t="s">
        <v>254</v>
      </c>
      <c r="E1423" s="38">
        <v>1834</v>
      </c>
    </row>
    <row r="1424" spans="1:5" x14ac:dyDescent="0.2">
      <c r="A1424" s="35">
        <v>2021</v>
      </c>
      <c r="B1424" s="36" t="s">
        <v>94</v>
      </c>
      <c r="C1424" s="37" t="s">
        <v>259</v>
      </c>
      <c r="D1424" s="37" t="s">
        <v>255</v>
      </c>
      <c r="E1424" s="38">
        <v>1764</v>
      </c>
    </row>
    <row r="1425" spans="1:5" x14ac:dyDescent="0.2">
      <c r="A1425" s="35">
        <v>2021</v>
      </c>
      <c r="B1425" s="36" t="s">
        <v>94</v>
      </c>
      <c r="C1425" s="37" t="s">
        <v>259</v>
      </c>
      <c r="D1425" s="37" t="s">
        <v>256</v>
      </c>
      <c r="E1425" s="38">
        <v>2906</v>
      </c>
    </row>
    <row r="1426" spans="1:5" x14ac:dyDescent="0.2">
      <c r="A1426" s="35">
        <v>2021</v>
      </c>
      <c r="B1426" s="36" t="s">
        <v>94</v>
      </c>
      <c r="C1426" s="37" t="s">
        <v>259</v>
      </c>
      <c r="D1426" s="37" t="s">
        <v>257</v>
      </c>
      <c r="E1426" s="38">
        <v>87543</v>
      </c>
    </row>
    <row r="1427" spans="1:5" x14ac:dyDescent="0.2">
      <c r="A1427" s="35">
        <v>2021</v>
      </c>
      <c r="B1427" s="36" t="s">
        <v>94</v>
      </c>
      <c r="C1427" s="37" t="s">
        <v>259</v>
      </c>
      <c r="D1427" s="37" t="s">
        <v>258</v>
      </c>
      <c r="E1427" s="38">
        <v>218146</v>
      </c>
    </row>
    <row r="1428" spans="1:5" x14ac:dyDescent="0.2">
      <c r="A1428" s="35">
        <v>2021</v>
      </c>
      <c r="B1428" s="36" t="s">
        <v>94</v>
      </c>
      <c r="C1428" s="37" t="s">
        <v>260</v>
      </c>
      <c r="D1428" s="37" t="s">
        <v>230</v>
      </c>
      <c r="E1428" s="38">
        <v>252090</v>
      </c>
    </row>
    <row r="1429" spans="1:5" x14ac:dyDescent="0.2">
      <c r="A1429" s="35">
        <v>2021</v>
      </c>
      <c r="B1429" s="36" t="s">
        <v>94</v>
      </c>
      <c r="C1429" s="37" t="s">
        <v>260</v>
      </c>
      <c r="D1429" s="37" t="s">
        <v>250</v>
      </c>
      <c r="E1429" s="38">
        <v>0</v>
      </c>
    </row>
    <row r="1430" spans="1:5" x14ac:dyDescent="0.2">
      <c r="A1430" s="35">
        <v>2021</v>
      </c>
      <c r="B1430" s="36" t="s">
        <v>94</v>
      </c>
      <c r="C1430" s="37" t="s">
        <v>260</v>
      </c>
      <c r="D1430" s="37" t="s">
        <v>252</v>
      </c>
      <c r="E1430" s="38">
        <v>234914</v>
      </c>
    </row>
    <row r="1431" spans="1:5" x14ac:dyDescent="0.2">
      <c r="A1431" s="35">
        <v>2021</v>
      </c>
      <c r="B1431" s="36" t="s">
        <v>94</v>
      </c>
      <c r="C1431" s="37" t="s">
        <v>260</v>
      </c>
      <c r="D1431" s="37" t="s">
        <v>254</v>
      </c>
      <c r="E1431" s="38">
        <v>277</v>
      </c>
    </row>
    <row r="1432" spans="1:5" x14ac:dyDescent="0.2">
      <c r="A1432" s="35">
        <v>2021</v>
      </c>
      <c r="B1432" s="36" t="s">
        <v>94</v>
      </c>
      <c r="C1432" s="37" t="s">
        <v>260</v>
      </c>
      <c r="D1432" s="37" t="s">
        <v>255</v>
      </c>
      <c r="E1432" s="38">
        <v>5750</v>
      </c>
    </row>
    <row r="1433" spans="1:5" x14ac:dyDescent="0.2">
      <c r="A1433" s="35">
        <v>2021</v>
      </c>
      <c r="B1433" s="36" t="s">
        <v>94</v>
      </c>
      <c r="C1433" s="37" t="s">
        <v>260</v>
      </c>
      <c r="D1433" s="37" t="s">
        <v>256</v>
      </c>
      <c r="E1433" s="38">
        <v>7940</v>
      </c>
    </row>
    <row r="1434" spans="1:5" x14ac:dyDescent="0.2">
      <c r="A1434" s="35">
        <v>2021</v>
      </c>
      <c r="B1434" s="36" t="s">
        <v>94</v>
      </c>
      <c r="C1434" s="37" t="s">
        <v>260</v>
      </c>
      <c r="D1434" s="37" t="s">
        <v>257</v>
      </c>
      <c r="E1434" s="38">
        <v>3208</v>
      </c>
    </row>
    <row r="1435" spans="1:5" x14ac:dyDescent="0.2">
      <c r="A1435" s="35">
        <v>2021</v>
      </c>
      <c r="B1435" s="36" t="s">
        <v>94</v>
      </c>
      <c r="C1435" s="37" t="s">
        <v>261</v>
      </c>
      <c r="D1435" s="37" t="s">
        <v>230</v>
      </c>
      <c r="E1435" s="38">
        <v>1859748</v>
      </c>
    </row>
    <row r="1436" spans="1:5" x14ac:dyDescent="0.2">
      <c r="A1436" s="35">
        <v>2021</v>
      </c>
      <c r="B1436" s="36" t="s">
        <v>94</v>
      </c>
      <c r="C1436" s="37" t="s">
        <v>261</v>
      </c>
      <c r="D1436" s="37" t="s">
        <v>250</v>
      </c>
      <c r="E1436" s="38">
        <v>0</v>
      </c>
    </row>
    <row r="1437" spans="1:5" x14ac:dyDescent="0.2">
      <c r="A1437" s="35">
        <v>2021</v>
      </c>
      <c r="B1437" s="36" t="s">
        <v>94</v>
      </c>
      <c r="C1437" s="37" t="s">
        <v>261</v>
      </c>
      <c r="D1437" s="37" t="s">
        <v>252</v>
      </c>
      <c r="E1437" s="38">
        <v>195482</v>
      </c>
    </row>
    <row r="1438" spans="1:5" x14ac:dyDescent="0.2">
      <c r="A1438" s="35">
        <v>2021</v>
      </c>
      <c r="B1438" s="36" t="s">
        <v>94</v>
      </c>
      <c r="C1438" s="37" t="s">
        <v>261</v>
      </c>
      <c r="D1438" s="37" t="s">
        <v>265</v>
      </c>
      <c r="E1438" s="38">
        <v>671889</v>
      </c>
    </row>
    <row r="1439" spans="1:5" x14ac:dyDescent="0.2">
      <c r="A1439" s="35">
        <v>2021</v>
      </c>
      <c r="B1439" s="36" t="s">
        <v>94</v>
      </c>
      <c r="C1439" s="37" t="s">
        <v>261</v>
      </c>
      <c r="D1439" s="37" t="s">
        <v>254</v>
      </c>
      <c r="E1439" s="38">
        <v>974210</v>
      </c>
    </row>
    <row r="1440" spans="1:5" x14ac:dyDescent="0.2">
      <c r="A1440" s="35">
        <v>2021</v>
      </c>
      <c r="B1440" s="36" t="s">
        <v>94</v>
      </c>
      <c r="C1440" s="37" t="s">
        <v>261</v>
      </c>
      <c r="D1440" s="37" t="s">
        <v>258</v>
      </c>
      <c r="E1440" s="38">
        <v>18167</v>
      </c>
    </row>
    <row r="1441" spans="1:5" x14ac:dyDescent="0.2">
      <c r="A1441" s="35">
        <v>2021</v>
      </c>
      <c r="B1441" s="36" t="s">
        <v>94</v>
      </c>
      <c r="C1441" s="37" t="s">
        <v>262</v>
      </c>
      <c r="D1441" s="37" t="s">
        <v>230</v>
      </c>
      <c r="E1441" s="38">
        <v>108793876</v>
      </c>
    </row>
    <row r="1442" spans="1:5" x14ac:dyDescent="0.2">
      <c r="A1442" s="35">
        <v>2021</v>
      </c>
      <c r="B1442" s="36" t="s">
        <v>94</v>
      </c>
      <c r="C1442" s="37" t="s">
        <v>262</v>
      </c>
      <c r="D1442" s="37" t="s">
        <v>250</v>
      </c>
      <c r="E1442" s="38">
        <v>40562868</v>
      </c>
    </row>
    <row r="1443" spans="1:5" x14ac:dyDescent="0.2">
      <c r="A1443" s="35">
        <v>2021</v>
      </c>
      <c r="B1443" s="36" t="s">
        <v>94</v>
      </c>
      <c r="C1443" s="37" t="s">
        <v>262</v>
      </c>
      <c r="D1443" s="37" t="s">
        <v>251</v>
      </c>
      <c r="E1443" s="38">
        <v>207829</v>
      </c>
    </row>
    <row r="1444" spans="1:5" x14ac:dyDescent="0.2">
      <c r="A1444" s="35">
        <v>2021</v>
      </c>
      <c r="B1444" s="36" t="s">
        <v>94</v>
      </c>
      <c r="C1444" s="37" t="s">
        <v>262</v>
      </c>
      <c r="D1444" s="37" t="s">
        <v>252</v>
      </c>
      <c r="E1444" s="38">
        <v>46873990</v>
      </c>
    </row>
    <row r="1445" spans="1:5" x14ac:dyDescent="0.2">
      <c r="A1445" s="35">
        <v>2021</v>
      </c>
      <c r="B1445" s="36" t="s">
        <v>94</v>
      </c>
      <c r="C1445" s="37" t="s">
        <v>262</v>
      </c>
      <c r="D1445" s="37" t="s">
        <v>264</v>
      </c>
      <c r="E1445" s="38">
        <v>17483009</v>
      </c>
    </row>
    <row r="1446" spans="1:5" x14ac:dyDescent="0.2">
      <c r="A1446" s="35">
        <v>2021</v>
      </c>
      <c r="B1446" s="36" t="s">
        <v>94</v>
      </c>
      <c r="C1446" s="37" t="s">
        <v>262</v>
      </c>
      <c r="D1446" s="37" t="s">
        <v>265</v>
      </c>
      <c r="E1446" s="38">
        <v>0</v>
      </c>
    </row>
    <row r="1447" spans="1:5" x14ac:dyDescent="0.2">
      <c r="A1447" s="35">
        <v>2021</v>
      </c>
      <c r="B1447" s="36" t="s">
        <v>94</v>
      </c>
      <c r="C1447" s="37" t="s">
        <v>262</v>
      </c>
      <c r="D1447" s="37" t="s">
        <v>253</v>
      </c>
      <c r="E1447" s="38">
        <v>-4191</v>
      </c>
    </row>
    <row r="1448" spans="1:5" x14ac:dyDescent="0.2">
      <c r="A1448" s="35">
        <v>2021</v>
      </c>
      <c r="B1448" s="36" t="s">
        <v>94</v>
      </c>
      <c r="C1448" s="37" t="s">
        <v>262</v>
      </c>
      <c r="D1448" s="37" t="s">
        <v>254</v>
      </c>
      <c r="E1448" s="38">
        <v>127888</v>
      </c>
    </row>
    <row r="1449" spans="1:5" x14ac:dyDescent="0.2">
      <c r="A1449" s="35">
        <v>2021</v>
      </c>
      <c r="B1449" s="36" t="s">
        <v>94</v>
      </c>
      <c r="C1449" s="37" t="s">
        <v>262</v>
      </c>
      <c r="D1449" s="37" t="s">
        <v>255</v>
      </c>
      <c r="E1449" s="38">
        <v>657573</v>
      </c>
    </row>
    <row r="1450" spans="1:5" x14ac:dyDescent="0.2">
      <c r="A1450" s="35">
        <v>2021</v>
      </c>
      <c r="B1450" s="36" t="s">
        <v>94</v>
      </c>
      <c r="C1450" s="37" t="s">
        <v>262</v>
      </c>
      <c r="D1450" s="37" t="s">
        <v>256</v>
      </c>
      <c r="E1450" s="38">
        <v>395662</v>
      </c>
    </row>
    <row r="1451" spans="1:5" x14ac:dyDescent="0.2">
      <c r="A1451" s="35">
        <v>2021</v>
      </c>
      <c r="B1451" s="36" t="s">
        <v>94</v>
      </c>
      <c r="C1451" s="37" t="s">
        <v>262</v>
      </c>
      <c r="D1451" s="37" t="s">
        <v>257</v>
      </c>
      <c r="E1451" s="38">
        <v>2489248</v>
      </c>
    </row>
    <row r="1452" spans="1:5" x14ac:dyDescent="0.2">
      <c r="A1452" s="35">
        <v>2021</v>
      </c>
      <c r="B1452" s="36" t="s">
        <v>94</v>
      </c>
      <c r="C1452" s="37" t="s">
        <v>263</v>
      </c>
      <c r="D1452" s="37" t="s">
        <v>230</v>
      </c>
      <c r="E1452" s="38">
        <v>14317570</v>
      </c>
    </row>
    <row r="1453" spans="1:5" x14ac:dyDescent="0.2">
      <c r="A1453" s="35">
        <v>2021</v>
      </c>
      <c r="B1453" s="36" t="s">
        <v>94</v>
      </c>
      <c r="C1453" s="37" t="s">
        <v>263</v>
      </c>
      <c r="D1453" s="37" t="s">
        <v>250</v>
      </c>
      <c r="E1453" s="38">
        <v>5099180</v>
      </c>
    </row>
    <row r="1454" spans="1:5" x14ac:dyDescent="0.2">
      <c r="A1454" s="35">
        <v>2021</v>
      </c>
      <c r="B1454" s="36" t="s">
        <v>94</v>
      </c>
      <c r="C1454" s="37" t="s">
        <v>263</v>
      </c>
      <c r="D1454" s="37" t="s">
        <v>251</v>
      </c>
      <c r="E1454" s="38">
        <v>370461</v>
      </c>
    </row>
    <row r="1455" spans="1:5" x14ac:dyDescent="0.2">
      <c r="A1455" s="35">
        <v>2021</v>
      </c>
      <c r="B1455" s="36" t="s">
        <v>94</v>
      </c>
      <c r="C1455" s="37" t="s">
        <v>263</v>
      </c>
      <c r="D1455" s="37" t="s">
        <v>252</v>
      </c>
      <c r="E1455" s="38">
        <v>8813436</v>
      </c>
    </row>
    <row r="1456" spans="1:5" x14ac:dyDescent="0.2">
      <c r="A1456" s="35">
        <v>2021</v>
      </c>
      <c r="B1456" s="36" t="s">
        <v>94</v>
      </c>
      <c r="C1456" s="37" t="s">
        <v>263</v>
      </c>
      <c r="D1456" s="37" t="s">
        <v>253</v>
      </c>
      <c r="E1456" s="38">
        <v>-700</v>
      </c>
    </row>
    <row r="1457" spans="1:5" x14ac:dyDescent="0.2">
      <c r="A1457" s="35">
        <v>2021</v>
      </c>
      <c r="B1457" s="36" t="s">
        <v>94</v>
      </c>
      <c r="C1457" s="37" t="s">
        <v>263</v>
      </c>
      <c r="D1457" s="37" t="s">
        <v>254</v>
      </c>
      <c r="E1457" s="38">
        <v>20864</v>
      </c>
    </row>
    <row r="1458" spans="1:5" x14ac:dyDescent="0.2">
      <c r="A1458" s="35">
        <v>2021</v>
      </c>
      <c r="B1458" s="36" t="s">
        <v>94</v>
      </c>
      <c r="C1458" s="37" t="s">
        <v>263</v>
      </c>
      <c r="D1458" s="37" t="s">
        <v>255</v>
      </c>
      <c r="E1458" s="38">
        <v>7572</v>
      </c>
    </row>
    <row r="1459" spans="1:5" x14ac:dyDescent="0.2">
      <c r="A1459" s="35">
        <v>2021</v>
      </c>
      <c r="B1459" s="36" t="s">
        <v>94</v>
      </c>
      <c r="C1459" s="37" t="s">
        <v>263</v>
      </c>
      <c r="D1459" s="37" t="s">
        <v>256</v>
      </c>
      <c r="E1459" s="38">
        <v>0</v>
      </c>
    </row>
    <row r="1460" spans="1:5" x14ac:dyDescent="0.2">
      <c r="A1460" s="35">
        <v>2021</v>
      </c>
      <c r="B1460" s="36" t="s">
        <v>94</v>
      </c>
      <c r="C1460" s="37" t="s">
        <v>263</v>
      </c>
      <c r="D1460" s="37" t="s">
        <v>257</v>
      </c>
      <c r="E1460" s="38">
        <v>6757</v>
      </c>
    </row>
    <row r="1461" spans="1:5" x14ac:dyDescent="0.2">
      <c r="A1461" s="35">
        <v>2021</v>
      </c>
      <c r="B1461" s="36" t="s">
        <v>96</v>
      </c>
      <c r="C1461" s="37" t="s">
        <v>249</v>
      </c>
      <c r="D1461" s="37" t="s">
        <v>230</v>
      </c>
      <c r="E1461" s="38">
        <v>80754586</v>
      </c>
    </row>
    <row r="1462" spans="1:5" x14ac:dyDescent="0.2">
      <c r="A1462" s="35">
        <v>2021</v>
      </c>
      <c r="B1462" s="36" t="s">
        <v>96</v>
      </c>
      <c r="C1462" s="37" t="s">
        <v>249</v>
      </c>
      <c r="D1462" s="37" t="s">
        <v>250</v>
      </c>
      <c r="E1462" s="38">
        <v>11246007</v>
      </c>
    </row>
    <row r="1463" spans="1:5" x14ac:dyDescent="0.2">
      <c r="A1463" s="35">
        <v>2021</v>
      </c>
      <c r="B1463" s="36" t="s">
        <v>96</v>
      </c>
      <c r="C1463" s="37" t="s">
        <v>249</v>
      </c>
      <c r="D1463" s="37" t="s">
        <v>266</v>
      </c>
      <c r="E1463" s="38">
        <v>-86940</v>
      </c>
    </row>
    <row r="1464" spans="1:5" x14ac:dyDescent="0.2">
      <c r="A1464" s="35">
        <v>2021</v>
      </c>
      <c r="B1464" s="36" t="s">
        <v>96</v>
      </c>
      <c r="C1464" s="37" t="s">
        <v>249</v>
      </c>
      <c r="D1464" s="37" t="s">
        <v>251</v>
      </c>
      <c r="E1464" s="38">
        <v>2766175</v>
      </c>
    </row>
    <row r="1465" spans="1:5" x14ac:dyDescent="0.2">
      <c r="A1465" s="35">
        <v>2021</v>
      </c>
      <c r="B1465" s="36" t="s">
        <v>96</v>
      </c>
      <c r="C1465" s="37" t="s">
        <v>249</v>
      </c>
      <c r="D1465" s="37" t="s">
        <v>252</v>
      </c>
      <c r="E1465" s="38">
        <v>33857238</v>
      </c>
    </row>
    <row r="1466" spans="1:5" x14ac:dyDescent="0.2">
      <c r="A1466" s="35">
        <v>2021</v>
      </c>
      <c r="B1466" s="36" t="s">
        <v>96</v>
      </c>
      <c r="C1466" s="37" t="s">
        <v>249</v>
      </c>
      <c r="D1466" s="37" t="s">
        <v>253</v>
      </c>
      <c r="E1466" s="38">
        <v>1711</v>
      </c>
    </row>
    <row r="1467" spans="1:5" x14ac:dyDescent="0.2">
      <c r="A1467" s="35">
        <v>2021</v>
      </c>
      <c r="B1467" s="36" t="s">
        <v>96</v>
      </c>
      <c r="C1467" s="37" t="s">
        <v>249</v>
      </c>
      <c r="D1467" s="37" t="s">
        <v>254</v>
      </c>
      <c r="E1467" s="38">
        <v>35178</v>
      </c>
    </row>
    <row r="1468" spans="1:5" x14ac:dyDescent="0.2">
      <c r="A1468" s="35">
        <v>2021</v>
      </c>
      <c r="B1468" s="36" t="s">
        <v>96</v>
      </c>
      <c r="C1468" s="37" t="s">
        <v>249</v>
      </c>
      <c r="D1468" s="37" t="s">
        <v>255</v>
      </c>
      <c r="E1468" s="38">
        <v>76618</v>
      </c>
    </row>
    <row r="1469" spans="1:5" x14ac:dyDescent="0.2">
      <c r="A1469" s="35">
        <v>2021</v>
      </c>
      <c r="B1469" s="36" t="s">
        <v>96</v>
      </c>
      <c r="C1469" s="37" t="s">
        <v>249</v>
      </c>
      <c r="D1469" s="37" t="s">
        <v>256</v>
      </c>
      <c r="E1469" s="38">
        <v>86523</v>
      </c>
    </row>
    <row r="1470" spans="1:5" x14ac:dyDescent="0.2">
      <c r="A1470" s="35">
        <v>2021</v>
      </c>
      <c r="B1470" s="36" t="s">
        <v>96</v>
      </c>
      <c r="C1470" s="37" t="s">
        <v>249</v>
      </c>
      <c r="D1470" s="37" t="s">
        <v>257</v>
      </c>
      <c r="E1470" s="38">
        <v>32540312</v>
      </c>
    </row>
    <row r="1471" spans="1:5" x14ac:dyDescent="0.2">
      <c r="A1471" s="35">
        <v>2021</v>
      </c>
      <c r="B1471" s="36" t="s">
        <v>96</v>
      </c>
      <c r="C1471" s="37" t="s">
        <v>249</v>
      </c>
      <c r="D1471" s="37" t="s">
        <v>258</v>
      </c>
      <c r="E1471" s="38">
        <v>231765</v>
      </c>
    </row>
    <row r="1472" spans="1:5" x14ac:dyDescent="0.2">
      <c r="A1472" s="35">
        <v>2021</v>
      </c>
      <c r="B1472" s="36" t="s">
        <v>96</v>
      </c>
      <c r="C1472" s="37" t="s">
        <v>259</v>
      </c>
      <c r="D1472" s="37" t="s">
        <v>230</v>
      </c>
      <c r="E1472" s="38">
        <v>839102</v>
      </c>
    </row>
    <row r="1473" spans="1:5" x14ac:dyDescent="0.2">
      <c r="A1473" s="35">
        <v>2021</v>
      </c>
      <c r="B1473" s="36" t="s">
        <v>96</v>
      </c>
      <c r="C1473" s="37" t="s">
        <v>259</v>
      </c>
      <c r="D1473" s="37" t="s">
        <v>250</v>
      </c>
      <c r="E1473" s="38">
        <v>41181</v>
      </c>
    </row>
    <row r="1474" spans="1:5" x14ac:dyDescent="0.2">
      <c r="A1474" s="35">
        <v>2021</v>
      </c>
      <c r="B1474" s="36" t="s">
        <v>96</v>
      </c>
      <c r="C1474" s="37" t="s">
        <v>259</v>
      </c>
      <c r="D1474" s="37" t="s">
        <v>252</v>
      </c>
      <c r="E1474" s="38">
        <v>496190</v>
      </c>
    </row>
    <row r="1475" spans="1:5" x14ac:dyDescent="0.2">
      <c r="A1475" s="35">
        <v>2021</v>
      </c>
      <c r="B1475" s="36" t="s">
        <v>96</v>
      </c>
      <c r="C1475" s="37" t="s">
        <v>259</v>
      </c>
      <c r="D1475" s="37" t="s">
        <v>253</v>
      </c>
      <c r="E1475" s="38">
        <v>1711</v>
      </c>
    </row>
    <row r="1476" spans="1:5" x14ac:dyDescent="0.2">
      <c r="A1476" s="35">
        <v>2021</v>
      </c>
      <c r="B1476" s="36" t="s">
        <v>96</v>
      </c>
      <c r="C1476" s="37" t="s">
        <v>259</v>
      </c>
      <c r="D1476" s="37" t="s">
        <v>254</v>
      </c>
      <c r="E1476" s="38">
        <v>681</v>
      </c>
    </row>
    <row r="1477" spans="1:5" x14ac:dyDescent="0.2">
      <c r="A1477" s="35">
        <v>2021</v>
      </c>
      <c r="B1477" s="36" t="s">
        <v>96</v>
      </c>
      <c r="C1477" s="37" t="s">
        <v>259</v>
      </c>
      <c r="D1477" s="37" t="s">
        <v>256</v>
      </c>
      <c r="E1477" s="38">
        <v>67574</v>
      </c>
    </row>
    <row r="1478" spans="1:5" x14ac:dyDescent="0.2">
      <c r="A1478" s="35">
        <v>2021</v>
      </c>
      <c r="B1478" s="36" t="s">
        <v>96</v>
      </c>
      <c r="C1478" s="37" t="s">
        <v>259</v>
      </c>
      <c r="D1478" s="37" t="s">
        <v>258</v>
      </c>
      <c r="E1478" s="38">
        <v>231765</v>
      </c>
    </row>
    <row r="1479" spans="1:5" x14ac:dyDescent="0.2">
      <c r="A1479" s="35">
        <v>2021</v>
      </c>
      <c r="B1479" s="36" t="s">
        <v>96</v>
      </c>
      <c r="C1479" s="37" t="s">
        <v>260</v>
      </c>
      <c r="D1479" s="37" t="s">
        <v>230</v>
      </c>
      <c r="E1479" s="38">
        <v>0</v>
      </c>
    </row>
    <row r="1480" spans="1:5" x14ac:dyDescent="0.2">
      <c r="A1480" s="35">
        <v>2021</v>
      </c>
      <c r="B1480" s="36" t="s">
        <v>96</v>
      </c>
      <c r="C1480" s="37" t="s">
        <v>260</v>
      </c>
      <c r="D1480" s="37" t="s">
        <v>252</v>
      </c>
      <c r="E1480" s="38">
        <v>0</v>
      </c>
    </row>
    <row r="1481" spans="1:5" x14ac:dyDescent="0.2">
      <c r="A1481" s="35">
        <v>2021</v>
      </c>
      <c r="B1481" s="36" t="s">
        <v>96</v>
      </c>
      <c r="C1481" s="37" t="s">
        <v>260</v>
      </c>
      <c r="D1481" s="37" t="s">
        <v>254</v>
      </c>
      <c r="E1481" s="38">
        <v>0</v>
      </c>
    </row>
    <row r="1482" spans="1:5" x14ac:dyDescent="0.2">
      <c r="A1482" s="35">
        <v>2021</v>
      </c>
      <c r="B1482" s="36" t="s">
        <v>96</v>
      </c>
      <c r="C1482" s="37" t="s">
        <v>262</v>
      </c>
      <c r="D1482" s="37" t="s">
        <v>230</v>
      </c>
      <c r="E1482" s="38">
        <v>42313768</v>
      </c>
    </row>
    <row r="1483" spans="1:5" x14ac:dyDescent="0.2">
      <c r="A1483" s="35">
        <v>2021</v>
      </c>
      <c r="B1483" s="36" t="s">
        <v>96</v>
      </c>
      <c r="C1483" s="37" t="s">
        <v>262</v>
      </c>
      <c r="D1483" s="37" t="s">
        <v>252</v>
      </c>
      <c r="E1483" s="38">
        <v>11435756</v>
      </c>
    </row>
    <row r="1484" spans="1:5" x14ac:dyDescent="0.2">
      <c r="A1484" s="35">
        <v>2021</v>
      </c>
      <c r="B1484" s="36" t="s">
        <v>96</v>
      </c>
      <c r="C1484" s="37" t="s">
        <v>262</v>
      </c>
      <c r="D1484" s="37" t="s">
        <v>253</v>
      </c>
      <c r="E1484" s="38">
        <v>0</v>
      </c>
    </row>
    <row r="1485" spans="1:5" x14ac:dyDescent="0.2">
      <c r="A1485" s="35">
        <v>2021</v>
      </c>
      <c r="B1485" s="36" t="s">
        <v>96</v>
      </c>
      <c r="C1485" s="37" t="s">
        <v>262</v>
      </c>
      <c r="D1485" s="37" t="s">
        <v>255</v>
      </c>
      <c r="E1485" s="38">
        <v>3823</v>
      </c>
    </row>
    <row r="1486" spans="1:5" x14ac:dyDescent="0.2">
      <c r="A1486" s="35">
        <v>2021</v>
      </c>
      <c r="B1486" s="36" t="s">
        <v>96</v>
      </c>
      <c r="C1486" s="37" t="s">
        <v>262</v>
      </c>
      <c r="D1486" s="37" t="s">
        <v>256</v>
      </c>
      <c r="E1486" s="38">
        <v>18949</v>
      </c>
    </row>
    <row r="1487" spans="1:5" x14ac:dyDescent="0.2">
      <c r="A1487" s="35">
        <v>2021</v>
      </c>
      <c r="B1487" s="36" t="s">
        <v>96</v>
      </c>
      <c r="C1487" s="37" t="s">
        <v>262</v>
      </c>
      <c r="D1487" s="37" t="s">
        <v>257</v>
      </c>
      <c r="E1487" s="38">
        <v>30855240</v>
      </c>
    </row>
    <row r="1488" spans="1:5" x14ac:dyDescent="0.2">
      <c r="A1488" s="35">
        <v>2021</v>
      </c>
      <c r="B1488" s="36" t="s">
        <v>96</v>
      </c>
      <c r="C1488" s="37" t="s">
        <v>263</v>
      </c>
      <c r="D1488" s="37" t="s">
        <v>230</v>
      </c>
      <c r="E1488" s="38">
        <v>37601716</v>
      </c>
    </row>
    <row r="1489" spans="1:5" x14ac:dyDescent="0.2">
      <c r="A1489" s="35">
        <v>2021</v>
      </c>
      <c r="B1489" s="36" t="s">
        <v>96</v>
      </c>
      <c r="C1489" s="37" t="s">
        <v>263</v>
      </c>
      <c r="D1489" s="37" t="s">
        <v>250</v>
      </c>
      <c r="E1489" s="38">
        <v>11204825</v>
      </c>
    </row>
    <row r="1490" spans="1:5" x14ac:dyDescent="0.2">
      <c r="A1490" s="35">
        <v>2021</v>
      </c>
      <c r="B1490" s="36" t="s">
        <v>96</v>
      </c>
      <c r="C1490" s="37" t="s">
        <v>263</v>
      </c>
      <c r="D1490" s="37" t="s">
        <v>266</v>
      </c>
      <c r="E1490" s="38">
        <v>-86940</v>
      </c>
    </row>
    <row r="1491" spans="1:5" x14ac:dyDescent="0.2">
      <c r="A1491" s="35">
        <v>2021</v>
      </c>
      <c r="B1491" s="36" t="s">
        <v>96</v>
      </c>
      <c r="C1491" s="37" t="s">
        <v>263</v>
      </c>
      <c r="D1491" s="37" t="s">
        <v>251</v>
      </c>
      <c r="E1491" s="38">
        <v>2766175</v>
      </c>
    </row>
    <row r="1492" spans="1:5" x14ac:dyDescent="0.2">
      <c r="A1492" s="35">
        <v>2021</v>
      </c>
      <c r="B1492" s="36" t="s">
        <v>96</v>
      </c>
      <c r="C1492" s="37" t="s">
        <v>263</v>
      </c>
      <c r="D1492" s="37" t="s">
        <v>252</v>
      </c>
      <c r="E1492" s="38">
        <v>21925292</v>
      </c>
    </row>
    <row r="1493" spans="1:5" x14ac:dyDescent="0.2">
      <c r="A1493" s="35">
        <v>2021</v>
      </c>
      <c r="B1493" s="36" t="s">
        <v>96</v>
      </c>
      <c r="C1493" s="37" t="s">
        <v>263</v>
      </c>
      <c r="D1493" s="37" t="s">
        <v>253</v>
      </c>
      <c r="E1493" s="38">
        <v>0</v>
      </c>
    </row>
    <row r="1494" spans="1:5" x14ac:dyDescent="0.2">
      <c r="A1494" s="35">
        <v>2021</v>
      </c>
      <c r="B1494" s="36" t="s">
        <v>96</v>
      </c>
      <c r="C1494" s="37" t="s">
        <v>263</v>
      </c>
      <c r="D1494" s="37" t="s">
        <v>254</v>
      </c>
      <c r="E1494" s="38">
        <v>34497</v>
      </c>
    </row>
    <row r="1495" spans="1:5" x14ac:dyDescent="0.2">
      <c r="A1495" s="35">
        <v>2021</v>
      </c>
      <c r="B1495" s="36" t="s">
        <v>96</v>
      </c>
      <c r="C1495" s="37" t="s">
        <v>263</v>
      </c>
      <c r="D1495" s="37" t="s">
        <v>255</v>
      </c>
      <c r="E1495" s="38">
        <v>72795</v>
      </c>
    </row>
    <row r="1496" spans="1:5" x14ac:dyDescent="0.2">
      <c r="A1496" s="35">
        <v>2021</v>
      </c>
      <c r="B1496" s="36" t="s">
        <v>96</v>
      </c>
      <c r="C1496" s="37" t="s">
        <v>263</v>
      </c>
      <c r="D1496" s="37" t="s">
        <v>257</v>
      </c>
      <c r="E1496" s="38">
        <v>1685072</v>
      </c>
    </row>
    <row r="1497" spans="1:5" x14ac:dyDescent="0.2">
      <c r="A1497" s="35">
        <v>2021</v>
      </c>
      <c r="B1497" s="36" t="s">
        <v>96</v>
      </c>
      <c r="C1497" s="37" t="s">
        <v>263</v>
      </c>
      <c r="D1497" s="37" t="s">
        <v>258</v>
      </c>
      <c r="E1497" s="38">
        <v>0</v>
      </c>
    </row>
    <row r="1498" spans="1:5" x14ac:dyDescent="0.2">
      <c r="A1498" s="35">
        <v>2021</v>
      </c>
      <c r="B1498" s="36" t="s">
        <v>98</v>
      </c>
      <c r="C1498" s="37" t="s">
        <v>249</v>
      </c>
      <c r="D1498" s="37" t="s">
        <v>230</v>
      </c>
      <c r="E1498" s="38">
        <v>61016874</v>
      </c>
    </row>
    <row r="1499" spans="1:5" x14ac:dyDescent="0.2">
      <c r="A1499" s="35">
        <v>2021</v>
      </c>
      <c r="B1499" s="36" t="s">
        <v>98</v>
      </c>
      <c r="C1499" s="37" t="s">
        <v>249</v>
      </c>
      <c r="D1499" s="37" t="s">
        <v>267</v>
      </c>
      <c r="E1499" s="38">
        <v>182841</v>
      </c>
    </row>
    <row r="1500" spans="1:5" x14ac:dyDescent="0.2">
      <c r="A1500" s="35">
        <v>2021</v>
      </c>
      <c r="B1500" s="36" t="s">
        <v>98</v>
      </c>
      <c r="C1500" s="37" t="s">
        <v>249</v>
      </c>
      <c r="D1500" s="37" t="s">
        <v>251</v>
      </c>
      <c r="E1500" s="38">
        <v>27659573</v>
      </c>
    </row>
    <row r="1501" spans="1:5" x14ac:dyDescent="0.2">
      <c r="A1501" s="35">
        <v>2021</v>
      </c>
      <c r="B1501" s="36" t="s">
        <v>98</v>
      </c>
      <c r="C1501" s="37" t="s">
        <v>249</v>
      </c>
      <c r="D1501" s="37" t="s">
        <v>252</v>
      </c>
      <c r="E1501" s="38">
        <v>21296627</v>
      </c>
    </row>
    <row r="1502" spans="1:5" x14ac:dyDescent="0.2">
      <c r="A1502" s="35">
        <v>2021</v>
      </c>
      <c r="B1502" s="36" t="s">
        <v>98</v>
      </c>
      <c r="C1502" s="37" t="s">
        <v>249</v>
      </c>
      <c r="D1502" s="37" t="s">
        <v>253</v>
      </c>
      <c r="E1502" s="38">
        <v>35467</v>
      </c>
    </row>
    <row r="1503" spans="1:5" x14ac:dyDescent="0.2">
      <c r="A1503" s="35">
        <v>2021</v>
      </c>
      <c r="B1503" s="36" t="s">
        <v>98</v>
      </c>
      <c r="C1503" s="37" t="s">
        <v>249</v>
      </c>
      <c r="D1503" s="37" t="s">
        <v>254</v>
      </c>
      <c r="E1503" s="38">
        <v>419</v>
      </c>
    </row>
    <row r="1504" spans="1:5" x14ac:dyDescent="0.2">
      <c r="A1504" s="35">
        <v>2021</v>
      </c>
      <c r="B1504" s="36" t="s">
        <v>98</v>
      </c>
      <c r="C1504" s="37" t="s">
        <v>249</v>
      </c>
      <c r="D1504" s="37" t="s">
        <v>255</v>
      </c>
      <c r="E1504" s="38">
        <v>1461062</v>
      </c>
    </row>
    <row r="1505" spans="1:5" x14ac:dyDescent="0.2">
      <c r="A1505" s="35">
        <v>2021</v>
      </c>
      <c r="B1505" s="36" t="s">
        <v>98</v>
      </c>
      <c r="C1505" s="37" t="s">
        <v>249</v>
      </c>
      <c r="D1505" s="37" t="s">
        <v>256</v>
      </c>
      <c r="E1505" s="38">
        <v>318976</v>
      </c>
    </row>
    <row r="1506" spans="1:5" x14ac:dyDescent="0.2">
      <c r="A1506" s="35">
        <v>2021</v>
      </c>
      <c r="B1506" s="36" t="s">
        <v>98</v>
      </c>
      <c r="C1506" s="37" t="s">
        <v>249</v>
      </c>
      <c r="D1506" s="37" t="s">
        <v>257</v>
      </c>
      <c r="E1506" s="38">
        <v>9375750</v>
      </c>
    </row>
    <row r="1507" spans="1:5" x14ac:dyDescent="0.2">
      <c r="A1507" s="35">
        <v>2021</v>
      </c>
      <c r="B1507" s="36" t="s">
        <v>98</v>
      </c>
      <c r="C1507" s="37" t="s">
        <v>249</v>
      </c>
      <c r="D1507" s="37" t="s">
        <v>258</v>
      </c>
      <c r="E1507" s="38">
        <v>686158</v>
      </c>
    </row>
    <row r="1508" spans="1:5" x14ac:dyDescent="0.2">
      <c r="A1508" s="35">
        <v>2021</v>
      </c>
      <c r="B1508" s="36" t="s">
        <v>98</v>
      </c>
      <c r="C1508" s="37" t="s">
        <v>259</v>
      </c>
      <c r="D1508" s="37" t="s">
        <v>230</v>
      </c>
      <c r="E1508" s="38">
        <v>582854</v>
      </c>
    </row>
    <row r="1509" spans="1:5" x14ac:dyDescent="0.2">
      <c r="A1509" s="35">
        <v>2021</v>
      </c>
      <c r="B1509" s="36" t="s">
        <v>98</v>
      </c>
      <c r="C1509" s="37" t="s">
        <v>259</v>
      </c>
      <c r="D1509" s="37" t="s">
        <v>252</v>
      </c>
      <c r="E1509" s="38">
        <v>69690</v>
      </c>
    </row>
    <row r="1510" spans="1:5" x14ac:dyDescent="0.2">
      <c r="A1510" s="35">
        <v>2021</v>
      </c>
      <c r="B1510" s="36" t="s">
        <v>98</v>
      </c>
      <c r="C1510" s="37" t="s">
        <v>259</v>
      </c>
      <c r="D1510" s="37" t="s">
        <v>254</v>
      </c>
      <c r="E1510" s="38">
        <v>0</v>
      </c>
    </row>
    <row r="1511" spans="1:5" x14ac:dyDescent="0.2">
      <c r="A1511" s="35">
        <v>2021</v>
      </c>
      <c r="B1511" s="36" t="s">
        <v>98</v>
      </c>
      <c r="C1511" s="37" t="s">
        <v>259</v>
      </c>
      <c r="D1511" s="37" t="s">
        <v>256</v>
      </c>
      <c r="E1511" s="38">
        <v>20305</v>
      </c>
    </row>
    <row r="1512" spans="1:5" x14ac:dyDescent="0.2">
      <c r="A1512" s="35">
        <v>2021</v>
      </c>
      <c r="B1512" s="36" t="s">
        <v>98</v>
      </c>
      <c r="C1512" s="37" t="s">
        <v>259</v>
      </c>
      <c r="D1512" s="37" t="s">
        <v>258</v>
      </c>
      <c r="E1512" s="38">
        <v>492858</v>
      </c>
    </row>
    <row r="1513" spans="1:5" x14ac:dyDescent="0.2">
      <c r="A1513" s="35">
        <v>2021</v>
      </c>
      <c r="B1513" s="36" t="s">
        <v>98</v>
      </c>
      <c r="C1513" s="37" t="s">
        <v>260</v>
      </c>
      <c r="D1513" s="37" t="s">
        <v>230</v>
      </c>
      <c r="E1513" s="38">
        <v>82282</v>
      </c>
    </row>
    <row r="1514" spans="1:5" x14ac:dyDescent="0.2">
      <c r="A1514" s="35">
        <v>2021</v>
      </c>
      <c r="B1514" s="36" t="s">
        <v>98</v>
      </c>
      <c r="C1514" s="37" t="s">
        <v>260</v>
      </c>
      <c r="D1514" s="37" t="s">
        <v>252</v>
      </c>
      <c r="E1514" s="38">
        <v>43368</v>
      </c>
    </row>
    <row r="1515" spans="1:5" x14ac:dyDescent="0.2">
      <c r="A1515" s="35">
        <v>2021</v>
      </c>
      <c r="B1515" s="36" t="s">
        <v>98</v>
      </c>
      <c r="C1515" s="37" t="s">
        <v>260</v>
      </c>
      <c r="D1515" s="37" t="s">
        <v>254</v>
      </c>
      <c r="E1515" s="38">
        <v>212</v>
      </c>
    </row>
    <row r="1516" spans="1:5" x14ac:dyDescent="0.2">
      <c r="A1516" s="35">
        <v>2021</v>
      </c>
      <c r="B1516" s="36" t="s">
        <v>98</v>
      </c>
      <c r="C1516" s="37" t="s">
        <v>260</v>
      </c>
      <c r="D1516" s="37" t="s">
        <v>256</v>
      </c>
      <c r="E1516" s="38">
        <v>38702</v>
      </c>
    </row>
    <row r="1517" spans="1:5" x14ac:dyDescent="0.2">
      <c r="A1517" s="35">
        <v>2021</v>
      </c>
      <c r="B1517" s="36" t="s">
        <v>98</v>
      </c>
      <c r="C1517" s="37" t="s">
        <v>261</v>
      </c>
      <c r="D1517" s="37" t="s">
        <v>230</v>
      </c>
      <c r="E1517" s="38">
        <v>5914730</v>
      </c>
    </row>
    <row r="1518" spans="1:5" x14ac:dyDescent="0.2">
      <c r="A1518" s="35">
        <v>2021</v>
      </c>
      <c r="B1518" s="36" t="s">
        <v>98</v>
      </c>
      <c r="C1518" s="37" t="s">
        <v>261</v>
      </c>
      <c r="D1518" s="37" t="s">
        <v>252</v>
      </c>
      <c r="E1518" s="38">
        <v>5914730</v>
      </c>
    </row>
    <row r="1519" spans="1:5" x14ac:dyDescent="0.2">
      <c r="A1519" s="35">
        <v>2021</v>
      </c>
      <c r="B1519" s="36" t="s">
        <v>98</v>
      </c>
      <c r="C1519" s="37" t="s">
        <v>261</v>
      </c>
      <c r="D1519" s="37" t="s">
        <v>256</v>
      </c>
      <c r="E1519" s="38">
        <v>0</v>
      </c>
    </row>
    <row r="1520" spans="1:5" x14ac:dyDescent="0.2">
      <c r="A1520" s="35">
        <v>2021</v>
      </c>
      <c r="B1520" s="36" t="s">
        <v>98</v>
      </c>
      <c r="C1520" s="37" t="s">
        <v>261</v>
      </c>
      <c r="D1520" s="37" t="s">
        <v>258</v>
      </c>
      <c r="E1520" s="38">
        <v>0</v>
      </c>
    </row>
    <row r="1521" spans="1:5" x14ac:dyDescent="0.2">
      <c r="A1521" s="35">
        <v>2021</v>
      </c>
      <c r="B1521" s="36" t="s">
        <v>98</v>
      </c>
      <c r="C1521" s="37" t="s">
        <v>262</v>
      </c>
      <c r="D1521" s="37" t="s">
        <v>230</v>
      </c>
      <c r="E1521" s="38">
        <v>14284069</v>
      </c>
    </row>
    <row r="1522" spans="1:5" x14ac:dyDescent="0.2">
      <c r="A1522" s="35">
        <v>2021</v>
      </c>
      <c r="B1522" s="36" t="s">
        <v>98</v>
      </c>
      <c r="C1522" s="37" t="s">
        <v>262</v>
      </c>
      <c r="D1522" s="37" t="s">
        <v>267</v>
      </c>
      <c r="E1522" s="38">
        <v>182841</v>
      </c>
    </row>
    <row r="1523" spans="1:5" x14ac:dyDescent="0.2">
      <c r="A1523" s="35">
        <v>2021</v>
      </c>
      <c r="B1523" s="36" t="s">
        <v>98</v>
      </c>
      <c r="C1523" s="37" t="s">
        <v>262</v>
      </c>
      <c r="D1523" s="37" t="s">
        <v>251</v>
      </c>
      <c r="E1523" s="38">
        <v>198502</v>
      </c>
    </row>
    <row r="1524" spans="1:5" x14ac:dyDescent="0.2">
      <c r="A1524" s="35">
        <v>2021</v>
      </c>
      <c r="B1524" s="36" t="s">
        <v>98</v>
      </c>
      <c r="C1524" s="37" t="s">
        <v>262</v>
      </c>
      <c r="D1524" s="37" t="s">
        <v>252</v>
      </c>
      <c r="E1524" s="38">
        <v>4393672</v>
      </c>
    </row>
    <row r="1525" spans="1:5" x14ac:dyDescent="0.2">
      <c r="A1525" s="35">
        <v>2021</v>
      </c>
      <c r="B1525" s="36" t="s">
        <v>98</v>
      </c>
      <c r="C1525" s="37" t="s">
        <v>262</v>
      </c>
      <c r="D1525" s="37" t="s">
        <v>253</v>
      </c>
      <c r="E1525" s="38">
        <v>35743</v>
      </c>
    </row>
    <row r="1526" spans="1:5" x14ac:dyDescent="0.2">
      <c r="A1526" s="35">
        <v>2021</v>
      </c>
      <c r="B1526" s="36" t="s">
        <v>98</v>
      </c>
      <c r="C1526" s="37" t="s">
        <v>262</v>
      </c>
      <c r="D1526" s="37" t="s">
        <v>255</v>
      </c>
      <c r="E1526" s="38">
        <v>1455919</v>
      </c>
    </row>
    <row r="1527" spans="1:5" x14ac:dyDescent="0.2">
      <c r="A1527" s="35">
        <v>2021</v>
      </c>
      <c r="B1527" s="36" t="s">
        <v>98</v>
      </c>
      <c r="C1527" s="37" t="s">
        <v>262</v>
      </c>
      <c r="D1527" s="37" t="s">
        <v>256</v>
      </c>
      <c r="E1527" s="38">
        <v>199837</v>
      </c>
    </row>
    <row r="1528" spans="1:5" x14ac:dyDescent="0.2">
      <c r="A1528" s="35">
        <v>2021</v>
      </c>
      <c r="B1528" s="36" t="s">
        <v>98</v>
      </c>
      <c r="C1528" s="37" t="s">
        <v>262</v>
      </c>
      <c r="D1528" s="37" t="s">
        <v>257</v>
      </c>
      <c r="E1528" s="38">
        <v>7624254</v>
      </c>
    </row>
    <row r="1529" spans="1:5" x14ac:dyDescent="0.2">
      <c r="A1529" s="35">
        <v>2021</v>
      </c>
      <c r="B1529" s="36" t="s">
        <v>98</v>
      </c>
      <c r="C1529" s="37" t="s">
        <v>262</v>
      </c>
      <c r="D1529" s="37" t="s">
        <v>258</v>
      </c>
      <c r="E1529" s="38">
        <v>193300</v>
      </c>
    </row>
    <row r="1530" spans="1:5" x14ac:dyDescent="0.2">
      <c r="A1530" s="35">
        <v>2021</v>
      </c>
      <c r="B1530" s="36" t="s">
        <v>98</v>
      </c>
      <c r="C1530" s="37" t="s">
        <v>263</v>
      </c>
      <c r="D1530" s="37" t="s">
        <v>230</v>
      </c>
      <c r="E1530" s="38">
        <v>40152940</v>
      </c>
    </row>
    <row r="1531" spans="1:5" x14ac:dyDescent="0.2">
      <c r="A1531" s="35">
        <v>2021</v>
      </c>
      <c r="B1531" s="36" t="s">
        <v>98</v>
      </c>
      <c r="C1531" s="37" t="s">
        <v>263</v>
      </c>
      <c r="D1531" s="37" t="s">
        <v>267</v>
      </c>
      <c r="E1531" s="38">
        <v>0</v>
      </c>
    </row>
    <row r="1532" spans="1:5" x14ac:dyDescent="0.2">
      <c r="A1532" s="35">
        <v>2021</v>
      </c>
      <c r="B1532" s="36" t="s">
        <v>98</v>
      </c>
      <c r="C1532" s="37" t="s">
        <v>263</v>
      </c>
      <c r="D1532" s="37" t="s">
        <v>251</v>
      </c>
      <c r="E1532" s="38">
        <v>27461071</v>
      </c>
    </row>
    <row r="1533" spans="1:5" x14ac:dyDescent="0.2">
      <c r="A1533" s="35">
        <v>2021</v>
      </c>
      <c r="B1533" s="36" t="s">
        <v>98</v>
      </c>
      <c r="C1533" s="37" t="s">
        <v>263</v>
      </c>
      <c r="D1533" s="37" t="s">
        <v>252</v>
      </c>
      <c r="E1533" s="38">
        <v>10875166</v>
      </c>
    </row>
    <row r="1534" spans="1:5" x14ac:dyDescent="0.2">
      <c r="A1534" s="35">
        <v>2021</v>
      </c>
      <c r="B1534" s="36" t="s">
        <v>98</v>
      </c>
      <c r="C1534" s="37" t="s">
        <v>263</v>
      </c>
      <c r="D1534" s="37" t="s">
        <v>253</v>
      </c>
      <c r="E1534" s="38">
        <v>-276</v>
      </c>
    </row>
    <row r="1535" spans="1:5" x14ac:dyDescent="0.2">
      <c r="A1535" s="35">
        <v>2021</v>
      </c>
      <c r="B1535" s="36" t="s">
        <v>98</v>
      </c>
      <c r="C1535" s="37" t="s">
        <v>263</v>
      </c>
      <c r="D1535" s="37" t="s">
        <v>254</v>
      </c>
      <c r="E1535" s="38">
        <v>208</v>
      </c>
    </row>
    <row r="1536" spans="1:5" x14ac:dyDescent="0.2">
      <c r="A1536" s="35">
        <v>2021</v>
      </c>
      <c r="B1536" s="36" t="s">
        <v>98</v>
      </c>
      <c r="C1536" s="37" t="s">
        <v>263</v>
      </c>
      <c r="D1536" s="37" t="s">
        <v>255</v>
      </c>
      <c r="E1536" s="38">
        <v>5143</v>
      </c>
    </row>
    <row r="1537" spans="1:5" x14ac:dyDescent="0.2">
      <c r="A1537" s="35">
        <v>2021</v>
      </c>
      <c r="B1537" s="36" t="s">
        <v>98</v>
      </c>
      <c r="C1537" s="37" t="s">
        <v>263</v>
      </c>
      <c r="D1537" s="37" t="s">
        <v>256</v>
      </c>
      <c r="E1537" s="38">
        <v>60132</v>
      </c>
    </row>
    <row r="1538" spans="1:5" x14ac:dyDescent="0.2">
      <c r="A1538" s="35">
        <v>2021</v>
      </c>
      <c r="B1538" s="36" t="s">
        <v>98</v>
      </c>
      <c r="C1538" s="37" t="s">
        <v>263</v>
      </c>
      <c r="D1538" s="37" t="s">
        <v>257</v>
      </c>
      <c r="E1538" s="38">
        <v>1751496</v>
      </c>
    </row>
    <row r="1539" spans="1:5" x14ac:dyDescent="0.2">
      <c r="A1539" s="35">
        <v>2021</v>
      </c>
      <c r="B1539" s="36" t="s">
        <v>101</v>
      </c>
      <c r="C1539" s="37" t="s">
        <v>249</v>
      </c>
      <c r="D1539" s="37" t="s">
        <v>230</v>
      </c>
      <c r="E1539" s="38">
        <v>241331434</v>
      </c>
    </row>
    <row r="1540" spans="1:5" x14ac:dyDescent="0.2">
      <c r="A1540" s="35">
        <v>2021</v>
      </c>
      <c r="B1540" s="36" t="s">
        <v>101</v>
      </c>
      <c r="C1540" s="37" t="s">
        <v>249</v>
      </c>
      <c r="D1540" s="37" t="s">
        <v>250</v>
      </c>
      <c r="E1540" s="38">
        <v>29297308</v>
      </c>
    </row>
    <row r="1541" spans="1:5" x14ac:dyDescent="0.2">
      <c r="A1541" s="35">
        <v>2021</v>
      </c>
      <c r="B1541" s="36" t="s">
        <v>101</v>
      </c>
      <c r="C1541" s="37" t="s">
        <v>249</v>
      </c>
      <c r="D1541" s="37" t="s">
        <v>266</v>
      </c>
      <c r="E1541" s="38">
        <v>-691512</v>
      </c>
    </row>
    <row r="1542" spans="1:5" x14ac:dyDescent="0.2">
      <c r="A1542" s="35">
        <v>2021</v>
      </c>
      <c r="B1542" s="36" t="s">
        <v>101</v>
      </c>
      <c r="C1542" s="37" t="s">
        <v>249</v>
      </c>
      <c r="D1542" s="37" t="s">
        <v>251</v>
      </c>
      <c r="E1542" s="38">
        <v>3134917</v>
      </c>
    </row>
    <row r="1543" spans="1:5" x14ac:dyDescent="0.2">
      <c r="A1543" s="35">
        <v>2021</v>
      </c>
      <c r="B1543" s="36" t="s">
        <v>101</v>
      </c>
      <c r="C1543" s="37" t="s">
        <v>249</v>
      </c>
      <c r="D1543" s="37" t="s">
        <v>252</v>
      </c>
      <c r="E1543" s="38">
        <v>126664878</v>
      </c>
    </row>
    <row r="1544" spans="1:5" x14ac:dyDescent="0.2">
      <c r="A1544" s="35">
        <v>2021</v>
      </c>
      <c r="B1544" s="36" t="s">
        <v>101</v>
      </c>
      <c r="C1544" s="37" t="s">
        <v>249</v>
      </c>
      <c r="D1544" s="37" t="s">
        <v>264</v>
      </c>
      <c r="E1544" s="38">
        <v>75902514</v>
      </c>
    </row>
    <row r="1545" spans="1:5" x14ac:dyDescent="0.2">
      <c r="A1545" s="35">
        <v>2021</v>
      </c>
      <c r="B1545" s="36" t="s">
        <v>101</v>
      </c>
      <c r="C1545" s="37" t="s">
        <v>249</v>
      </c>
      <c r="D1545" s="37" t="s">
        <v>265</v>
      </c>
      <c r="E1545" s="38">
        <v>550684</v>
      </c>
    </row>
    <row r="1546" spans="1:5" x14ac:dyDescent="0.2">
      <c r="A1546" s="35">
        <v>2021</v>
      </c>
      <c r="B1546" s="36" t="s">
        <v>101</v>
      </c>
      <c r="C1546" s="37" t="s">
        <v>249</v>
      </c>
      <c r="D1546" s="37" t="s">
        <v>253</v>
      </c>
      <c r="E1546" s="38">
        <v>904095</v>
      </c>
    </row>
    <row r="1547" spans="1:5" x14ac:dyDescent="0.2">
      <c r="A1547" s="35">
        <v>2021</v>
      </c>
      <c r="B1547" s="36" t="s">
        <v>101</v>
      </c>
      <c r="C1547" s="37" t="s">
        <v>249</v>
      </c>
      <c r="D1547" s="37" t="s">
        <v>254</v>
      </c>
      <c r="E1547" s="38">
        <v>124096</v>
      </c>
    </row>
    <row r="1548" spans="1:5" x14ac:dyDescent="0.2">
      <c r="A1548" s="35">
        <v>2021</v>
      </c>
      <c r="B1548" s="36" t="s">
        <v>101</v>
      </c>
      <c r="C1548" s="37" t="s">
        <v>249</v>
      </c>
      <c r="D1548" s="37" t="s">
        <v>255</v>
      </c>
      <c r="E1548" s="38">
        <v>223504</v>
      </c>
    </row>
    <row r="1549" spans="1:5" x14ac:dyDescent="0.2">
      <c r="A1549" s="35">
        <v>2021</v>
      </c>
      <c r="B1549" s="36" t="s">
        <v>101</v>
      </c>
      <c r="C1549" s="37" t="s">
        <v>249</v>
      </c>
      <c r="D1549" s="37" t="s">
        <v>256</v>
      </c>
      <c r="E1549" s="38">
        <v>1395935</v>
      </c>
    </row>
    <row r="1550" spans="1:5" x14ac:dyDescent="0.2">
      <c r="A1550" s="35">
        <v>2021</v>
      </c>
      <c r="B1550" s="36" t="s">
        <v>101</v>
      </c>
      <c r="C1550" s="37" t="s">
        <v>249</v>
      </c>
      <c r="D1550" s="37" t="s">
        <v>257</v>
      </c>
      <c r="E1550" s="38">
        <v>3455169</v>
      </c>
    </row>
    <row r="1551" spans="1:5" x14ac:dyDescent="0.2">
      <c r="A1551" s="35">
        <v>2021</v>
      </c>
      <c r="B1551" s="36" t="s">
        <v>101</v>
      </c>
      <c r="C1551" s="37" t="s">
        <v>249</v>
      </c>
      <c r="D1551" s="37" t="s">
        <v>258</v>
      </c>
      <c r="E1551" s="38">
        <v>369846</v>
      </c>
    </row>
    <row r="1552" spans="1:5" x14ac:dyDescent="0.2">
      <c r="A1552" s="35">
        <v>2021</v>
      </c>
      <c r="B1552" s="36" t="s">
        <v>101</v>
      </c>
      <c r="C1552" s="37" t="s">
        <v>259</v>
      </c>
      <c r="D1552" s="37" t="s">
        <v>230</v>
      </c>
      <c r="E1552" s="38">
        <v>2803174</v>
      </c>
    </row>
    <row r="1553" spans="1:5" x14ac:dyDescent="0.2">
      <c r="A1553" s="35">
        <v>2021</v>
      </c>
      <c r="B1553" s="36" t="s">
        <v>101</v>
      </c>
      <c r="C1553" s="37" t="s">
        <v>259</v>
      </c>
      <c r="D1553" s="37" t="s">
        <v>250</v>
      </c>
      <c r="E1553" s="38">
        <v>77937</v>
      </c>
    </row>
    <row r="1554" spans="1:5" x14ac:dyDescent="0.2">
      <c r="A1554" s="35">
        <v>2021</v>
      </c>
      <c r="B1554" s="36" t="s">
        <v>101</v>
      </c>
      <c r="C1554" s="37" t="s">
        <v>259</v>
      </c>
      <c r="D1554" s="37" t="s">
        <v>252</v>
      </c>
      <c r="E1554" s="38">
        <v>1751334</v>
      </c>
    </row>
    <row r="1555" spans="1:5" x14ac:dyDescent="0.2">
      <c r="A1555" s="35">
        <v>2021</v>
      </c>
      <c r="B1555" s="36" t="s">
        <v>101</v>
      </c>
      <c r="C1555" s="37" t="s">
        <v>259</v>
      </c>
      <c r="D1555" s="37" t="s">
        <v>265</v>
      </c>
      <c r="E1555" s="38">
        <v>549179</v>
      </c>
    </row>
    <row r="1556" spans="1:5" x14ac:dyDescent="0.2">
      <c r="A1556" s="35">
        <v>2021</v>
      </c>
      <c r="B1556" s="36" t="s">
        <v>101</v>
      </c>
      <c r="C1556" s="37" t="s">
        <v>259</v>
      </c>
      <c r="D1556" s="37" t="s">
        <v>254</v>
      </c>
      <c r="E1556" s="38">
        <v>4487</v>
      </c>
    </row>
    <row r="1557" spans="1:5" x14ac:dyDescent="0.2">
      <c r="A1557" s="35">
        <v>2021</v>
      </c>
      <c r="B1557" s="36" t="s">
        <v>101</v>
      </c>
      <c r="C1557" s="37" t="s">
        <v>259</v>
      </c>
      <c r="D1557" s="37" t="s">
        <v>255</v>
      </c>
      <c r="E1557" s="38">
        <v>7442</v>
      </c>
    </row>
    <row r="1558" spans="1:5" x14ac:dyDescent="0.2">
      <c r="A1558" s="35">
        <v>2021</v>
      </c>
      <c r="B1558" s="36" t="s">
        <v>101</v>
      </c>
      <c r="C1558" s="37" t="s">
        <v>259</v>
      </c>
      <c r="D1558" s="37" t="s">
        <v>256</v>
      </c>
      <c r="E1558" s="38">
        <v>43371</v>
      </c>
    </row>
    <row r="1559" spans="1:5" x14ac:dyDescent="0.2">
      <c r="A1559" s="35">
        <v>2021</v>
      </c>
      <c r="B1559" s="36" t="s">
        <v>101</v>
      </c>
      <c r="C1559" s="37" t="s">
        <v>259</v>
      </c>
      <c r="D1559" s="37" t="s">
        <v>258</v>
      </c>
      <c r="E1559" s="38">
        <v>369424</v>
      </c>
    </row>
    <row r="1560" spans="1:5" x14ac:dyDescent="0.2">
      <c r="A1560" s="35">
        <v>2021</v>
      </c>
      <c r="B1560" s="36" t="s">
        <v>101</v>
      </c>
      <c r="C1560" s="37" t="s">
        <v>260</v>
      </c>
      <c r="D1560" s="37" t="s">
        <v>230</v>
      </c>
      <c r="E1560" s="38">
        <v>379231</v>
      </c>
    </row>
    <row r="1561" spans="1:5" x14ac:dyDescent="0.2">
      <c r="A1561" s="35">
        <v>2021</v>
      </c>
      <c r="B1561" s="36" t="s">
        <v>101</v>
      </c>
      <c r="C1561" s="37" t="s">
        <v>260</v>
      </c>
      <c r="D1561" s="37" t="s">
        <v>250</v>
      </c>
      <c r="E1561" s="38">
        <v>0</v>
      </c>
    </row>
    <row r="1562" spans="1:5" x14ac:dyDescent="0.2">
      <c r="A1562" s="35">
        <v>2021</v>
      </c>
      <c r="B1562" s="36" t="s">
        <v>101</v>
      </c>
      <c r="C1562" s="37" t="s">
        <v>260</v>
      </c>
      <c r="D1562" s="37" t="s">
        <v>252</v>
      </c>
      <c r="E1562" s="38">
        <v>129938</v>
      </c>
    </row>
    <row r="1563" spans="1:5" x14ac:dyDescent="0.2">
      <c r="A1563" s="35">
        <v>2021</v>
      </c>
      <c r="B1563" s="36" t="s">
        <v>101</v>
      </c>
      <c r="C1563" s="37" t="s">
        <v>260</v>
      </c>
      <c r="D1563" s="37" t="s">
        <v>253</v>
      </c>
      <c r="E1563" s="38">
        <v>111285</v>
      </c>
    </row>
    <row r="1564" spans="1:5" x14ac:dyDescent="0.2">
      <c r="A1564" s="35">
        <v>2021</v>
      </c>
      <c r="B1564" s="36" t="s">
        <v>101</v>
      </c>
      <c r="C1564" s="37" t="s">
        <v>260</v>
      </c>
      <c r="D1564" s="37" t="s">
        <v>254</v>
      </c>
      <c r="E1564" s="38">
        <v>3155</v>
      </c>
    </row>
    <row r="1565" spans="1:5" x14ac:dyDescent="0.2">
      <c r="A1565" s="35">
        <v>2021</v>
      </c>
      <c r="B1565" s="36" t="s">
        <v>101</v>
      </c>
      <c r="C1565" s="37" t="s">
        <v>260</v>
      </c>
      <c r="D1565" s="37" t="s">
        <v>255</v>
      </c>
      <c r="E1565" s="38">
        <v>4284</v>
      </c>
    </row>
    <row r="1566" spans="1:5" x14ac:dyDescent="0.2">
      <c r="A1566" s="35">
        <v>2021</v>
      </c>
      <c r="B1566" s="36" t="s">
        <v>101</v>
      </c>
      <c r="C1566" s="37" t="s">
        <v>260</v>
      </c>
      <c r="D1566" s="37" t="s">
        <v>256</v>
      </c>
      <c r="E1566" s="38">
        <v>130569</v>
      </c>
    </row>
    <row r="1567" spans="1:5" x14ac:dyDescent="0.2">
      <c r="A1567" s="35">
        <v>2021</v>
      </c>
      <c r="B1567" s="36" t="s">
        <v>101</v>
      </c>
      <c r="C1567" s="37" t="s">
        <v>261</v>
      </c>
      <c r="D1567" s="37" t="s">
        <v>230</v>
      </c>
      <c r="E1567" s="38">
        <v>7619317</v>
      </c>
    </row>
    <row r="1568" spans="1:5" x14ac:dyDescent="0.2">
      <c r="A1568" s="35">
        <v>2021</v>
      </c>
      <c r="B1568" s="36" t="s">
        <v>101</v>
      </c>
      <c r="C1568" s="37" t="s">
        <v>261</v>
      </c>
      <c r="D1568" s="37" t="s">
        <v>250</v>
      </c>
      <c r="E1568" s="38">
        <v>1240795</v>
      </c>
    </row>
    <row r="1569" spans="1:5" x14ac:dyDescent="0.2">
      <c r="A1569" s="35">
        <v>2021</v>
      </c>
      <c r="B1569" s="36" t="s">
        <v>101</v>
      </c>
      <c r="C1569" s="37" t="s">
        <v>261</v>
      </c>
      <c r="D1569" s="37" t="s">
        <v>252</v>
      </c>
      <c r="E1569" s="38">
        <v>6244981</v>
      </c>
    </row>
    <row r="1570" spans="1:5" x14ac:dyDescent="0.2">
      <c r="A1570" s="35">
        <v>2021</v>
      </c>
      <c r="B1570" s="36" t="s">
        <v>101</v>
      </c>
      <c r="C1570" s="37" t="s">
        <v>261</v>
      </c>
      <c r="D1570" s="37" t="s">
        <v>265</v>
      </c>
      <c r="E1570" s="38">
        <v>1505</v>
      </c>
    </row>
    <row r="1571" spans="1:5" x14ac:dyDescent="0.2">
      <c r="A1571" s="35">
        <v>2021</v>
      </c>
      <c r="B1571" s="36" t="s">
        <v>101</v>
      </c>
      <c r="C1571" s="37" t="s">
        <v>261</v>
      </c>
      <c r="D1571" s="37" t="s">
        <v>253</v>
      </c>
      <c r="E1571" s="38">
        <v>60305</v>
      </c>
    </row>
    <row r="1572" spans="1:5" x14ac:dyDescent="0.2">
      <c r="A1572" s="35">
        <v>2021</v>
      </c>
      <c r="B1572" s="36" t="s">
        <v>101</v>
      </c>
      <c r="C1572" s="37" t="s">
        <v>261</v>
      </c>
      <c r="D1572" s="37" t="s">
        <v>254</v>
      </c>
      <c r="E1572" s="38">
        <v>4184</v>
      </c>
    </row>
    <row r="1573" spans="1:5" x14ac:dyDescent="0.2">
      <c r="A1573" s="35">
        <v>2021</v>
      </c>
      <c r="B1573" s="36" t="s">
        <v>101</v>
      </c>
      <c r="C1573" s="37" t="s">
        <v>261</v>
      </c>
      <c r="D1573" s="37" t="s">
        <v>256</v>
      </c>
      <c r="E1573" s="38">
        <v>67547</v>
      </c>
    </row>
    <row r="1574" spans="1:5" x14ac:dyDescent="0.2">
      <c r="A1574" s="35">
        <v>2021</v>
      </c>
      <c r="B1574" s="36" t="s">
        <v>101</v>
      </c>
      <c r="C1574" s="37" t="s">
        <v>262</v>
      </c>
      <c r="D1574" s="37" t="s">
        <v>230</v>
      </c>
      <c r="E1574" s="38">
        <v>230421119</v>
      </c>
    </row>
    <row r="1575" spans="1:5" x14ac:dyDescent="0.2">
      <c r="A1575" s="35">
        <v>2021</v>
      </c>
      <c r="B1575" s="36" t="s">
        <v>101</v>
      </c>
      <c r="C1575" s="37" t="s">
        <v>262</v>
      </c>
      <c r="D1575" s="37" t="s">
        <v>250</v>
      </c>
      <c r="E1575" s="38">
        <v>27978577</v>
      </c>
    </row>
    <row r="1576" spans="1:5" x14ac:dyDescent="0.2">
      <c r="A1576" s="35">
        <v>2021</v>
      </c>
      <c r="B1576" s="36" t="s">
        <v>101</v>
      </c>
      <c r="C1576" s="37" t="s">
        <v>262</v>
      </c>
      <c r="D1576" s="37" t="s">
        <v>266</v>
      </c>
      <c r="E1576" s="38">
        <v>-691512</v>
      </c>
    </row>
    <row r="1577" spans="1:5" x14ac:dyDescent="0.2">
      <c r="A1577" s="35">
        <v>2021</v>
      </c>
      <c r="B1577" s="36" t="s">
        <v>101</v>
      </c>
      <c r="C1577" s="37" t="s">
        <v>262</v>
      </c>
      <c r="D1577" s="37" t="s">
        <v>251</v>
      </c>
      <c r="E1577" s="38">
        <v>3040220</v>
      </c>
    </row>
    <row r="1578" spans="1:5" x14ac:dyDescent="0.2">
      <c r="A1578" s="35">
        <v>2021</v>
      </c>
      <c r="B1578" s="36" t="s">
        <v>101</v>
      </c>
      <c r="C1578" s="37" t="s">
        <v>262</v>
      </c>
      <c r="D1578" s="37" t="s">
        <v>252</v>
      </c>
      <c r="E1578" s="38">
        <v>118525066</v>
      </c>
    </row>
    <row r="1579" spans="1:5" x14ac:dyDescent="0.2">
      <c r="A1579" s="35">
        <v>2021</v>
      </c>
      <c r="B1579" s="36" t="s">
        <v>101</v>
      </c>
      <c r="C1579" s="37" t="s">
        <v>262</v>
      </c>
      <c r="D1579" s="37" t="s">
        <v>264</v>
      </c>
      <c r="E1579" s="38">
        <v>75902514</v>
      </c>
    </row>
    <row r="1580" spans="1:5" x14ac:dyDescent="0.2">
      <c r="A1580" s="35">
        <v>2021</v>
      </c>
      <c r="B1580" s="36" t="s">
        <v>101</v>
      </c>
      <c r="C1580" s="37" t="s">
        <v>262</v>
      </c>
      <c r="D1580" s="37" t="s">
        <v>265</v>
      </c>
      <c r="E1580" s="38">
        <v>0</v>
      </c>
    </row>
    <row r="1581" spans="1:5" x14ac:dyDescent="0.2">
      <c r="A1581" s="35">
        <v>2021</v>
      </c>
      <c r="B1581" s="36" t="s">
        <v>101</v>
      </c>
      <c r="C1581" s="37" t="s">
        <v>262</v>
      </c>
      <c r="D1581" s="37" t="s">
        <v>253</v>
      </c>
      <c r="E1581" s="38">
        <v>732505</v>
      </c>
    </row>
    <row r="1582" spans="1:5" x14ac:dyDescent="0.2">
      <c r="A1582" s="35">
        <v>2021</v>
      </c>
      <c r="B1582" s="36" t="s">
        <v>101</v>
      </c>
      <c r="C1582" s="37" t="s">
        <v>262</v>
      </c>
      <c r="D1582" s="37" t="s">
        <v>254</v>
      </c>
      <c r="E1582" s="38">
        <v>111933</v>
      </c>
    </row>
    <row r="1583" spans="1:5" x14ac:dyDescent="0.2">
      <c r="A1583" s="35">
        <v>2021</v>
      </c>
      <c r="B1583" s="36" t="s">
        <v>101</v>
      </c>
      <c r="C1583" s="37" t="s">
        <v>262</v>
      </c>
      <c r="D1583" s="37" t="s">
        <v>255</v>
      </c>
      <c r="E1583" s="38">
        <v>211778</v>
      </c>
    </row>
    <row r="1584" spans="1:5" x14ac:dyDescent="0.2">
      <c r="A1584" s="35">
        <v>2021</v>
      </c>
      <c r="B1584" s="36" t="s">
        <v>101</v>
      </c>
      <c r="C1584" s="37" t="s">
        <v>262</v>
      </c>
      <c r="D1584" s="37" t="s">
        <v>256</v>
      </c>
      <c r="E1584" s="38">
        <v>1154448</v>
      </c>
    </row>
    <row r="1585" spans="1:5" x14ac:dyDescent="0.2">
      <c r="A1585" s="35">
        <v>2021</v>
      </c>
      <c r="B1585" s="36" t="s">
        <v>101</v>
      </c>
      <c r="C1585" s="37" t="s">
        <v>262</v>
      </c>
      <c r="D1585" s="37" t="s">
        <v>257</v>
      </c>
      <c r="E1585" s="38">
        <v>3455169</v>
      </c>
    </row>
    <row r="1586" spans="1:5" x14ac:dyDescent="0.2">
      <c r="A1586" s="35">
        <v>2021</v>
      </c>
      <c r="B1586" s="36" t="s">
        <v>101</v>
      </c>
      <c r="C1586" s="37" t="s">
        <v>262</v>
      </c>
      <c r="D1586" s="37" t="s">
        <v>258</v>
      </c>
      <c r="E1586" s="38">
        <v>422</v>
      </c>
    </row>
    <row r="1587" spans="1:5" x14ac:dyDescent="0.2">
      <c r="A1587" s="35">
        <v>2021</v>
      </c>
      <c r="B1587" s="36" t="s">
        <v>101</v>
      </c>
      <c r="C1587" s="37" t="s">
        <v>263</v>
      </c>
      <c r="D1587" s="37" t="s">
        <v>230</v>
      </c>
      <c r="E1587" s="38">
        <v>108593</v>
      </c>
    </row>
    <row r="1588" spans="1:5" x14ac:dyDescent="0.2">
      <c r="A1588" s="35">
        <v>2021</v>
      </c>
      <c r="B1588" s="36" t="s">
        <v>101</v>
      </c>
      <c r="C1588" s="37" t="s">
        <v>263</v>
      </c>
      <c r="D1588" s="37" t="s">
        <v>250</v>
      </c>
      <c r="E1588" s="38">
        <v>0</v>
      </c>
    </row>
    <row r="1589" spans="1:5" x14ac:dyDescent="0.2">
      <c r="A1589" s="35">
        <v>2021</v>
      </c>
      <c r="B1589" s="36" t="s">
        <v>101</v>
      </c>
      <c r="C1589" s="37" t="s">
        <v>263</v>
      </c>
      <c r="D1589" s="37" t="s">
        <v>251</v>
      </c>
      <c r="E1589" s="38">
        <v>94697</v>
      </c>
    </row>
    <row r="1590" spans="1:5" x14ac:dyDescent="0.2">
      <c r="A1590" s="35">
        <v>2021</v>
      </c>
      <c r="B1590" s="36" t="s">
        <v>101</v>
      </c>
      <c r="C1590" s="37" t="s">
        <v>263</v>
      </c>
      <c r="D1590" s="37" t="s">
        <v>252</v>
      </c>
      <c r="E1590" s="38">
        <v>13559</v>
      </c>
    </row>
    <row r="1591" spans="1:5" x14ac:dyDescent="0.2">
      <c r="A1591" s="35">
        <v>2021</v>
      </c>
      <c r="B1591" s="36" t="s">
        <v>101</v>
      </c>
      <c r="C1591" s="37" t="s">
        <v>263</v>
      </c>
      <c r="D1591" s="37" t="s">
        <v>254</v>
      </c>
      <c r="E1591" s="38">
        <v>337</v>
      </c>
    </row>
    <row r="1592" spans="1:5" x14ac:dyDescent="0.2">
      <c r="A1592" s="35">
        <v>2021</v>
      </c>
      <c r="B1592" s="36" t="s">
        <v>104</v>
      </c>
      <c r="C1592" s="37" t="s">
        <v>249</v>
      </c>
      <c r="D1592" s="37" t="s">
        <v>230</v>
      </c>
      <c r="E1592" s="38">
        <v>9322650</v>
      </c>
    </row>
    <row r="1593" spans="1:5" x14ac:dyDescent="0.2">
      <c r="A1593" s="35">
        <v>2021</v>
      </c>
      <c r="B1593" s="36" t="s">
        <v>104</v>
      </c>
      <c r="C1593" s="37" t="s">
        <v>249</v>
      </c>
      <c r="D1593" s="37" t="s">
        <v>250</v>
      </c>
      <c r="E1593" s="38">
        <v>0</v>
      </c>
    </row>
    <row r="1594" spans="1:5" x14ac:dyDescent="0.2">
      <c r="A1594" s="35">
        <v>2021</v>
      </c>
      <c r="B1594" s="36" t="s">
        <v>104</v>
      </c>
      <c r="C1594" s="37" t="s">
        <v>249</v>
      </c>
      <c r="D1594" s="37" t="s">
        <v>251</v>
      </c>
      <c r="E1594" s="38">
        <v>4455</v>
      </c>
    </row>
    <row r="1595" spans="1:5" x14ac:dyDescent="0.2">
      <c r="A1595" s="35">
        <v>2021</v>
      </c>
      <c r="B1595" s="36" t="s">
        <v>104</v>
      </c>
      <c r="C1595" s="37" t="s">
        <v>249</v>
      </c>
      <c r="D1595" s="37" t="s">
        <v>252</v>
      </c>
      <c r="E1595" s="38">
        <v>8641187</v>
      </c>
    </row>
    <row r="1596" spans="1:5" x14ac:dyDescent="0.2">
      <c r="A1596" s="35">
        <v>2021</v>
      </c>
      <c r="B1596" s="36" t="s">
        <v>104</v>
      </c>
      <c r="C1596" s="37" t="s">
        <v>249</v>
      </c>
      <c r="D1596" s="37" t="s">
        <v>254</v>
      </c>
      <c r="E1596" s="38">
        <v>12563</v>
      </c>
    </row>
    <row r="1597" spans="1:5" x14ac:dyDescent="0.2">
      <c r="A1597" s="35">
        <v>2021</v>
      </c>
      <c r="B1597" s="36" t="s">
        <v>104</v>
      </c>
      <c r="C1597" s="37" t="s">
        <v>249</v>
      </c>
      <c r="D1597" s="37" t="s">
        <v>255</v>
      </c>
      <c r="E1597" s="38">
        <v>284010</v>
      </c>
    </row>
    <row r="1598" spans="1:5" x14ac:dyDescent="0.2">
      <c r="A1598" s="35">
        <v>2021</v>
      </c>
      <c r="B1598" s="36" t="s">
        <v>104</v>
      </c>
      <c r="C1598" s="37" t="s">
        <v>249</v>
      </c>
      <c r="D1598" s="37" t="s">
        <v>256</v>
      </c>
      <c r="E1598" s="38">
        <v>208274</v>
      </c>
    </row>
    <row r="1599" spans="1:5" x14ac:dyDescent="0.2">
      <c r="A1599" s="35">
        <v>2021</v>
      </c>
      <c r="B1599" s="36" t="s">
        <v>104</v>
      </c>
      <c r="C1599" s="37" t="s">
        <v>249</v>
      </c>
      <c r="D1599" s="37" t="s">
        <v>257</v>
      </c>
      <c r="E1599" s="38">
        <v>172160</v>
      </c>
    </row>
    <row r="1600" spans="1:5" x14ac:dyDescent="0.2">
      <c r="A1600" s="35">
        <v>2021</v>
      </c>
      <c r="B1600" s="36" t="s">
        <v>104</v>
      </c>
      <c r="C1600" s="37" t="s">
        <v>259</v>
      </c>
      <c r="D1600" s="37" t="s">
        <v>230</v>
      </c>
      <c r="E1600" s="38">
        <v>155370</v>
      </c>
    </row>
    <row r="1601" spans="1:5" x14ac:dyDescent="0.2">
      <c r="A1601" s="35">
        <v>2021</v>
      </c>
      <c r="B1601" s="36" t="s">
        <v>104</v>
      </c>
      <c r="C1601" s="37" t="s">
        <v>259</v>
      </c>
      <c r="D1601" s="37" t="s">
        <v>252</v>
      </c>
      <c r="E1601" s="38">
        <v>155050</v>
      </c>
    </row>
    <row r="1602" spans="1:5" x14ac:dyDescent="0.2">
      <c r="A1602" s="35">
        <v>2021</v>
      </c>
      <c r="B1602" s="36" t="s">
        <v>104</v>
      </c>
      <c r="C1602" s="37" t="s">
        <v>259</v>
      </c>
      <c r="D1602" s="37" t="s">
        <v>254</v>
      </c>
      <c r="E1602" s="38">
        <v>320</v>
      </c>
    </row>
    <row r="1603" spans="1:5" x14ac:dyDescent="0.2">
      <c r="A1603" s="35">
        <v>2021</v>
      </c>
      <c r="B1603" s="36" t="s">
        <v>104</v>
      </c>
      <c r="C1603" s="37" t="s">
        <v>260</v>
      </c>
      <c r="D1603" s="37" t="s">
        <v>230</v>
      </c>
      <c r="E1603" s="38">
        <v>55808</v>
      </c>
    </row>
    <row r="1604" spans="1:5" x14ac:dyDescent="0.2">
      <c r="A1604" s="35">
        <v>2021</v>
      </c>
      <c r="B1604" s="36" t="s">
        <v>104</v>
      </c>
      <c r="C1604" s="37" t="s">
        <v>260</v>
      </c>
      <c r="D1604" s="37" t="s">
        <v>252</v>
      </c>
      <c r="E1604" s="38">
        <v>46917</v>
      </c>
    </row>
    <row r="1605" spans="1:5" x14ac:dyDescent="0.2">
      <c r="A1605" s="35">
        <v>2021</v>
      </c>
      <c r="B1605" s="36" t="s">
        <v>104</v>
      </c>
      <c r="C1605" s="37" t="s">
        <v>260</v>
      </c>
      <c r="D1605" s="37" t="s">
        <v>254</v>
      </c>
      <c r="E1605" s="38">
        <v>1985</v>
      </c>
    </row>
    <row r="1606" spans="1:5" x14ac:dyDescent="0.2">
      <c r="A1606" s="35">
        <v>2021</v>
      </c>
      <c r="B1606" s="36" t="s">
        <v>104</v>
      </c>
      <c r="C1606" s="37" t="s">
        <v>260</v>
      </c>
      <c r="D1606" s="37" t="s">
        <v>257</v>
      </c>
      <c r="E1606" s="38">
        <v>6906</v>
      </c>
    </row>
    <row r="1607" spans="1:5" x14ac:dyDescent="0.2">
      <c r="A1607" s="35">
        <v>2021</v>
      </c>
      <c r="B1607" s="36" t="s">
        <v>104</v>
      </c>
      <c r="C1607" s="37" t="s">
        <v>262</v>
      </c>
      <c r="D1607" s="37" t="s">
        <v>230</v>
      </c>
      <c r="E1607" s="38">
        <v>9111470</v>
      </c>
    </row>
    <row r="1608" spans="1:5" x14ac:dyDescent="0.2">
      <c r="A1608" s="35">
        <v>2021</v>
      </c>
      <c r="B1608" s="36" t="s">
        <v>104</v>
      </c>
      <c r="C1608" s="37" t="s">
        <v>262</v>
      </c>
      <c r="D1608" s="37" t="s">
        <v>250</v>
      </c>
      <c r="E1608" s="38">
        <v>0</v>
      </c>
    </row>
    <row r="1609" spans="1:5" x14ac:dyDescent="0.2">
      <c r="A1609" s="35">
        <v>2021</v>
      </c>
      <c r="B1609" s="36" t="s">
        <v>104</v>
      </c>
      <c r="C1609" s="37" t="s">
        <v>262</v>
      </c>
      <c r="D1609" s="37" t="s">
        <v>251</v>
      </c>
      <c r="E1609" s="38">
        <v>4455</v>
      </c>
    </row>
    <row r="1610" spans="1:5" x14ac:dyDescent="0.2">
      <c r="A1610" s="35">
        <v>2021</v>
      </c>
      <c r="B1610" s="36" t="s">
        <v>104</v>
      </c>
      <c r="C1610" s="37" t="s">
        <v>262</v>
      </c>
      <c r="D1610" s="37" t="s">
        <v>252</v>
      </c>
      <c r="E1610" s="38">
        <v>8439221</v>
      </c>
    </row>
    <row r="1611" spans="1:5" x14ac:dyDescent="0.2">
      <c r="A1611" s="35">
        <v>2021</v>
      </c>
      <c r="B1611" s="36" t="s">
        <v>104</v>
      </c>
      <c r="C1611" s="37" t="s">
        <v>262</v>
      </c>
      <c r="D1611" s="37" t="s">
        <v>254</v>
      </c>
      <c r="E1611" s="38">
        <v>10255</v>
      </c>
    </row>
    <row r="1612" spans="1:5" x14ac:dyDescent="0.2">
      <c r="A1612" s="35">
        <v>2021</v>
      </c>
      <c r="B1612" s="36" t="s">
        <v>104</v>
      </c>
      <c r="C1612" s="37" t="s">
        <v>262</v>
      </c>
      <c r="D1612" s="37" t="s">
        <v>255</v>
      </c>
      <c r="E1612" s="38">
        <v>284010</v>
      </c>
    </row>
    <row r="1613" spans="1:5" x14ac:dyDescent="0.2">
      <c r="A1613" s="35">
        <v>2021</v>
      </c>
      <c r="B1613" s="36" t="s">
        <v>104</v>
      </c>
      <c r="C1613" s="37" t="s">
        <v>262</v>
      </c>
      <c r="D1613" s="37" t="s">
        <v>256</v>
      </c>
      <c r="E1613" s="38">
        <v>208274</v>
      </c>
    </row>
    <row r="1614" spans="1:5" x14ac:dyDescent="0.2">
      <c r="A1614" s="35">
        <v>2021</v>
      </c>
      <c r="B1614" s="36" t="s">
        <v>104</v>
      </c>
      <c r="C1614" s="37" t="s">
        <v>262</v>
      </c>
      <c r="D1614" s="37" t="s">
        <v>257</v>
      </c>
      <c r="E1614" s="38">
        <v>165254</v>
      </c>
    </row>
    <row r="1615" spans="1:5" x14ac:dyDescent="0.2">
      <c r="A1615" s="35">
        <v>2021</v>
      </c>
      <c r="B1615" s="36" t="s">
        <v>104</v>
      </c>
      <c r="C1615" s="37" t="s">
        <v>263</v>
      </c>
      <c r="D1615" s="37" t="s">
        <v>230</v>
      </c>
      <c r="E1615" s="38">
        <v>2</v>
      </c>
    </row>
    <row r="1616" spans="1:5" x14ac:dyDescent="0.2">
      <c r="A1616" s="35">
        <v>2021</v>
      </c>
      <c r="B1616" s="36" t="s">
        <v>104</v>
      </c>
      <c r="C1616" s="37" t="s">
        <v>263</v>
      </c>
      <c r="D1616" s="37" t="s">
        <v>254</v>
      </c>
      <c r="E1616" s="38">
        <v>2</v>
      </c>
    </row>
    <row r="1617" spans="1:5" x14ac:dyDescent="0.2">
      <c r="A1617" s="35">
        <v>2021</v>
      </c>
      <c r="B1617" s="36" t="s">
        <v>106</v>
      </c>
      <c r="C1617" s="37" t="s">
        <v>249</v>
      </c>
      <c r="D1617" s="37" t="s">
        <v>230</v>
      </c>
      <c r="E1617" s="38">
        <v>98390441</v>
      </c>
    </row>
    <row r="1618" spans="1:5" x14ac:dyDescent="0.2">
      <c r="A1618" s="35">
        <v>2021</v>
      </c>
      <c r="B1618" s="36" t="s">
        <v>106</v>
      </c>
      <c r="C1618" s="37" t="s">
        <v>249</v>
      </c>
      <c r="D1618" s="37" t="s">
        <v>250</v>
      </c>
      <c r="E1618" s="38">
        <v>15188401</v>
      </c>
    </row>
    <row r="1619" spans="1:5" x14ac:dyDescent="0.2">
      <c r="A1619" s="35">
        <v>2021</v>
      </c>
      <c r="B1619" s="36" t="s">
        <v>106</v>
      </c>
      <c r="C1619" s="37" t="s">
        <v>249</v>
      </c>
      <c r="D1619" s="37" t="s">
        <v>266</v>
      </c>
      <c r="E1619" s="38">
        <v>-768078</v>
      </c>
    </row>
    <row r="1620" spans="1:5" x14ac:dyDescent="0.2">
      <c r="A1620" s="35">
        <v>2021</v>
      </c>
      <c r="B1620" s="36" t="s">
        <v>106</v>
      </c>
      <c r="C1620" s="37" t="s">
        <v>249</v>
      </c>
      <c r="D1620" s="37" t="s">
        <v>251</v>
      </c>
      <c r="E1620" s="38">
        <v>2543758</v>
      </c>
    </row>
    <row r="1621" spans="1:5" x14ac:dyDescent="0.2">
      <c r="A1621" s="35">
        <v>2021</v>
      </c>
      <c r="B1621" s="36" t="s">
        <v>106</v>
      </c>
      <c r="C1621" s="37" t="s">
        <v>249</v>
      </c>
      <c r="D1621" s="37" t="s">
        <v>252</v>
      </c>
      <c r="E1621" s="38">
        <v>23242298</v>
      </c>
    </row>
    <row r="1622" spans="1:5" x14ac:dyDescent="0.2">
      <c r="A1622" s="35">
        <v>2021</v>
      </c>
      <c r="B1622" s="36" t="s">
        <v>106</v>
      </c>
      <c r="C1622" s="37" t="s">
        <v>249</v>
      </c>
      <c r="D1622" s="37" t="s">
        <v>264</v>
      </c>
      <c r="E1622" s="38">
        <v>53771428</v>
      </c>
    </row>
    <row r="1623" spans="1:5" x14ac:dyDescent="0.2">
      <c r="A1623" s="35">
        <v>2021</v>
      </c>
      <c r="B1623" s="36" t="s">
        <v>106</v>
      </c>
      <c r="C1623" s="37" t="s">
        <v>249</v>
      </c>
      <c r="D1623" s="37" t="s">
        <v>253</v>
      </c>
      <c r="E1623" s="38">
        <v>42135</v>
      </c>
    </row>
    <row r="1624" spans="1:5" x14ac:dyDescent="0.2">
      <c r="A1624" s="35">
        <v>2021</v>
      </c>
      <c r="B1624" s="36" t="s">
        <v>106</v>
      </c>
      <c r="C1624" s="37" t="s">
        <v>249</v>
      </c>
      <c r="D1624" s="37" t="s">
        <v>254</v>
      </c>
      <c r="E1624" s="38">
        <v>86175</v>
      </c>
    </row>
    <row r="1625" spans="1:5" x14ac:dyDescent="0.2">
      <c r="A1625" s="35">
        <v>2021</v>
      </c>
      <c r="B1625" s="36" t="s">
        <v>106</v>
      </c>
      <c r="C1625" s="37" t="s">
        <v>249</v>
      </c>
      <c r="D1625" s="37" t="s">
        <v>255</v>
      </c>
      <c r="E1625" s="38">
        <v>2279650</v>
      </c>
    </row>
    <row r="1626" spans="1:5" x14ac:dyDescent="0.2">
      <c r="A1626" s="35">
        <v>2021</v>
      </c>
      <c r="B1626" s="36" t="s">
        <v>106</v>
      </c>
      <c r="C1626" s="37" t="s">
        <v>249</v>
      </c>
      <c r="D1626" s="37" t="s">
        <v>256</v>
      </c>
      <c r="E1626" s="38">
        <v>106595</v>
      </c>
    </row>
    <row r="1627" spans="1:5" x14ac:dyDescent="0.2">
      <c r="A1627" s="35">
        <v>2021</v>
      </c>
      <c r="B1627" s="36" t="s">
        <v>106</v>
      </c>
      <c r="C1627" s="37" t="s">
        <v>249</v>
      </c>
      <c r="D1627" s="37" t="s">
        <v>258</v>
      </c>
      <c r="E1627" s="38">
        <v>1898079</v>
      </c>
    </row>
    <row r="1628" spans="1:5" x14ac:dyDescent="0.2">
      <c r="A1628" s="35">
        <v>2021</v>
      </c>
      <c r="B1628" s="36" t="s">
        <v>106</v>
      </c>
      <c r="C1628" s="37" t="s">
        <v>259</v>
      </c>
      <c r="D1628" s="37" t="s">
        <v>230</v>
      </c>
      <c r="E1628" s="38">
        <v>1586719</v>
      </c>
    </row>
    <row r="1629" spans="1:5" x14ac:dyDescent="0.2">
      <c r="A1629" s="35">
        <v>2021</v>
      </c>
      <c r="B1629" s="36" t="s">
        <v>106</v>
      </c>
      <c r="C1629" s="37" t="s">
        <v>259</v>
      </c>
      <c r="D1629" s="37" t="s">
        <v>250</v>
      </c>
      <c r="E1629" s="38">
        <v>25031</v>
      </c>
    </row>
    <row r="1630" spans="1:5" x14ac:dyDescent="0.2">
      <c r="A1630" s="35">
        <v>2021</v>
      </c>
      <c r="B1630" s="36" t="s">
        <v>106</v>
      </c>
      <c r="C1630" s="37" t="s">
        <v>259</v>
      </c>
      <c r="D1630" s="37" t="s">
        <v>252</v>
      </c>
      <c r="E1630" s="38">
        <v>161486</v>
      </c>
    </row>
    <row r="1631" spans="1:5" x14ac:dyDescent="0.2">
      <c r="A1631" s="35">
        <v>2021</v>
      </c>
      <c r="B1631" s="36" t="s">
        <v>106</v>
      </c>
      <c r="C1631" s="37" t="s">
        <v>259</v>
      </c>
      <c r="D1631" s="37" t="s">
        <v>253</v>
      </c>
      <c r="E1631" s="38">
        <v>33279</v>
      </c>
    </row>
    <row r="1632" spans="1:5" x14ac:dyDescent="0.2">
      <c r="A1632" s="35">
        <v>2021</v>
      </c>
      <c r="B1632" s="36" t="s">
        <v>106</v>
      </c>
      <c r="C1632" s="37" t="s">
        <v>259</v>
      </c>
      <c r="D1632" s="37" t="s">
        <v>254</v>
      </c>
      <c r="E1632" s="38">
        <v>8802</v>
      </c>
    </row>
    <row r="1633" spans="1:5" x14ac:dyDescent="0.2">
      <c r="A1633" s="35">
        <v>2021</v>
      </c>
      <c r="B1633" s="36" t="s">
        <v>106</v>
      </c>
      <c r="C1633" s="37" t="s">
        <v>259</v>
      </c>
      <c r="D1633" s="37" t="s">
        <v>255</v>
      </c>
      <c r="E1633" s="38">
        <v>3934</v>
      </c>
    </row>
    <row r="1634" spans="1:5" x14ac:dyDescent="0.2">
      <c r="A1634" s="35">
        <v>2021</v>
      </c>
      <c r="B1634" s="36" t="s">
        <v>106</v>
      </c>
      <c r="C1634" s="37" t="s">
        <v>259</v>
      </c>
      <c r="D1634" s="37" t="s">
        <v>256</v>
      </c>
      <c r="E1634" s="38">
        <v>36615</v>
      </c>
    </row>
    <row r="1635" spans="1:5" x14ac:dyDescent="0.2">
      <c r="A1635" s="35">
        <v>2021</v>
      </c>
      <c r="B1635" s="36" t="s">
        <v>106</v>
      </c>
      <c r="C1635" s="37" t="s">
        <v>259</v>
      </c>
      <c r="D1635" s="37" t="s">
        <v>258</v>
      </c>
      <c r="E1635" s="38">
        <v>1317572</v>
      </c>
    </row>
    <row r="1636" spans="1:5" x14ac:dyDescent="0.2">
      <c r="A1636" s="35">
        <v>2021</v>
      </c>
      <c r="B1636" s="36" t="s">
        <v>106</v>
      </c>
      <c r="C1636" s="37" t="s">
        <v>260</v>
      </c>
      <c r="D1636" s="37" t="s">
        <v>230</v>
      </c>
      <c r="E1636" s="38">
        <v>2208</v>
      </c>
    </row>
    <row r="1637" spans="1:5" x14ac:dyDescent="0.2">
      <c r="A1637" s="35">
        <v>2021</v>
      </c>
      <c r="B1637" s="36" t="s">
        <v>106</v>
      </c>
      <c r="C1637" s="37" t="s">
        <v>260</v>
      </c>
      <c r="D1637" s="37" t="s">
        <v>251</v>
      </c>
      <c r="E1637" s="38">
        <v>2082</v>
      </c>
    </row>
    <row r="1638" spans="1:5" x14ac:dyDescent="0.2">
      <c r="A1638" s="35">
        <v>2021</v>
      </c>
      <c r="B1638" s="36" t="s">
        <v>106</v>
      </c>
      <c r="C1638" s="37" t="s">
        <v>260</v>
      </c>
      <c r="D1638" s="37" t="s">
        <v>252</v>
      </c>
      <c r="E1638" s="38">
        <v>63</v>
      </c>
    </row>
    <row r="1639" spans="1:5" x14ac:dyDescent="0.2">
      <c r="A1639" s="35">
        <v>2021</v>
      </c>
      <c r="B1639" s="36" t="s">
        <v>106</v>
      </c>
      <c r="C1639" s="37" t="s">
        <v>260</v>
      </c>
      <c r="D1639" s="37" t="s">
        <v>254</v>
      </c>
      <c r="E1639" s="38">
        <v>63</v>
      </c>
    </row>
    <row r="1640" spans="1:5" x14ac:dyDescent="0.2">
      <c r="A1640" s="35">
        <v>2021</v>
      </c>
      <c r="B1640" s="36" t="s">
        <v>106</v>
      </c>
      <c r="C1640" s="37" t="s">
        <v>261</v>
      </c>
      <c r="D1640" s="37" t="s">
        <v>230</v>
      </c>
      <c r="E1640" s="38">
        <v>820193</v>
      </c>
    </row>
    <row r="1641" spans="1:5" x14ac:dyDescent="0.2">
      <c r="A1641" s="35">
        <v>2021</v>
      </c>
      <c r="B1641" s="36" t="s">
        <v>106</v>
      </c>
      <c r="C1641" s="37" t="s">
        <v>261</v>
      </c>
      <c r="D1641" s="37" t="s">
        <v>250</v>
      </c>
      <c r="E1641" s="38">
        <v>149861</v>
      </c>
    </row>
    <row r="1642" spans="1:5" x14ac:dyDescent="0.2">
      <c r="A1642" s="35">
        <v>2021</v>
      </c>
      <c r="B1642" s="36" t="s">
        <v>106</v>
      </c>
      <c r="C1642" s="37" t="s">
        <v>261</v>
      </c>
      <c r="D1642" s="37" t="s">
        <v>252</v>
      </c>
      <c r="E1642" s="38">
        <v>364191</v>
      </c>
    </row>
    <row r="1643" spans="1:5" x14ac:dyDescent="0.2">
      <c r="A1643" s="35">
        <v>2021</v>
      </c>
      <c r="B1643" s="36" t="s">
        <v>106</v>
      </c>
      <c r="C1643" s="37" t="s">
        <v>261</v>
      </c>
      <c r="D1643" s="37" t="s">
        <v>253</v>
      </c>
      <c r="E1643" s="38">
        <v>7596</v>
      </c>
    </row>
    <row r="1644" spans="1:5" x14ac:dyDescent="0.2">
      <c r="A1644" s="35">
        <v>2021</v>
      </c>
      <c r="B1644" s="36" t="s">
        <v>106</v>
      </c>
      <c r="C1644" s="37" t="s">
        <v>261</v>
      </c>
      <c r="D1644" s="37" t="s">
        <v>254</v>
      </c>
      <c r="E1644" s="38">
        <v>1849</v>
      </c>
    </row>
    <row r="1645" spans="1:5" x14ac:dyDescent="0.2">
      <c r="A1645" s="35">
        <v>2021</v>
      </c>
      <c r="B1645" s="36" t="s">
        <v>106</v>
      </c>
      <c r="C1645" s="37" t="s">
        <v>261</v>
      </c>
      <c r="D1645" s="37" t="s">
        <v>258</v>
      </c>
      <c r="E1645" s="38">
        <v>296696</v>
      </c>
    </row>
    <row r="1646" spans="1:5" x14ac:dyDescent="0.2">
      <c r="A1646" s="35">
        <v>2021</v>
      </c>
      <c r="B1646" s="36" t="s">
        <v>106</v>
      </c>
      <c r="C1646" s="37" t="s">
        <v>262</v>
      </c>
      <c r="D1646" s="37" t="s">
        <v>230</v>
      </c>
      <c r="E1646" s="38">
        <v>3007498</v>
      </c>
    </row>
    <row r="1647" spans="1:5" x14ac:dyDescent="0.2">
      <c r="A1647" s="35">
        <v>2021</v>
      </c>
      <c r="B1647" s="36" t="s">
        <v>106</v>
      </c>
      <c r="C1647" s="37" t="s">
        <v>262</v>
      </c>
      <c r="D1647" s="37" t="s">
        <v>251</v>
      </c>
      <c r="E1647" s="38">
        <v>82107</v>
      </c>
    </row>
    <row r="1648" spans="1:5" x14ac:dyDescent="0.2">
      <c r="A1648" s="35">
        <v>2021</v>
      </c>
      <c r="B1648" s="36" t="s">
        <v>106</v>
      </c>
      <c r="C1648" s="37" t="s">
        <v>262</v>
      </c>
      <c r="D1648" s="37" t="s">
        <v>252</v>
      </c>
      <c r="E1648" s="38">
        <v>358552</v>
      </c>
    </row>
    <row r="1649" spans="1:5" x14ac:dyDescent="0.2">
      <c r="A1649" s="35">
        <v>2021</v>
      </c>
      <c r="B1649" s="36" t="s">
        <v>106</v>
      </c>
      <c r="C1649" s="37" t="s">
        <v>262</v>
      </c>
      <c r="D1649" s="37" t="s">
        <v>253</v>
      </c>
      <c r="E1649" s="38">
        <v>1260</v>
      </c>
    </row>
    <row r="1650" spans="1:5" x14ac:dyDescent="0.2">
      <c r="A1650" s="35">
        <v>2021</v>
      </c>
      <c r="B1650" s="36" t="s">
        <v>106</v>
      </c>
      <c r="C1650" s="37" t="s">
        <v>262</v>
      </c>
      <c r="D1650" s="37" t="s">
        <v>254</v>
      </c>
      <c r="E1650" s="38">
        <v>1961</v>
      </c>
    </row>
    <row r="1651" spans="1:5" x14ac:dyDescent="0.2">
      <c r="A1651" s="35">
        <v>2021</v>
      </c>
      <c r="B1651" s="36" t="s">
        <v>106</v>
      </c>
      <c r="C1651" s="37" t="s">
        <v>262</v>
      </c>
      <c r="D1651" s="37" t="s">
        <v>255</v>
      </c>
      <c r="E1651" s="38">
        <v>2267404</v>
      </c>
    </row>
    <row r="1652" spans="1:5" x14ac:dyDescent="0.2">
      <c r="A1652" s="35">
        <v>2021</v>
      </c>
      <c r="B1652" s="36" t="s">
        <v>106</v>
      </c>
      <c r="C1652" s="37" t="s">
        <v>262</v>
      </c>
      <c r="D1652" s="37" t="s">
        <v>256</v>
      </c>
      <c r="E1652" s="38">
        <v>11584</v>
      </c>
    </row>
    <row r="1653" spans="1:5" x14ac:dyDescent="0.2">
      <c r="A1653" s="35">
        <v>2021</v>
      </c>
      <c r="B1653" s="36" t="s">
        <v>106</v>
      </c>
      <c r="C1653" s="37" t="s">
        <v>262</v>
      </c>
      <c r="D1653" s="37" t="s">
        <v>258</v>
      </c>
      <c r="E1653" s="38">
        <v>284630</v>
      </c>
    </row>
    <row r="1654" spans="1:5" x14ac:dyDescent="0.2">
      <c r="A1654" s="35">
        <v>2021</v>
      </c>
      <c r="B1654" s="36" t="s">
        <v>106</v>
      </c>
      <c r="C1654" s="37" t="s">
        <v>263</v>
      </c>
      <c r="D1654" s="37" t="s">
        <v>230</v>
      </c>
      <c r="E1654" s="38">
        <v>92973822</v>
      </c>
    </row>
    <row r="1655" spans="1:5" x14ac:dyDescent="0.2">
      <c r="A1655" s="35">
        <v>2021</v>
      </c>
      <c r="B1655" s="36" t="s">
        <v>106</v>
      </c>
      <c r="C1655" s="37" t="s">
        <v>263</v>
      </c>
      <c r="D1655" s="37" t="s">
        <v>250</v>
      </c>
      <c r="E1655" s="38">
        <v>15013508</v>
      </c>
    </row>
    <row r="1656" spans="1:5" x14ac:dyDescent="0.2">
      <c r="A1656" s="35">
        <v>2021</v>
      </c>
      <c r="B1656" s="36" t="s">
        <v>106</v>
      </c>
      <c r="C1656" s="37" t="s">
        <v>263</v>
      </c>
      <c r="D1656" s="37" t="s">
        <v>266</v>
      </c>
      <c r="E1656" s="38">
        <v>-768078</v>
      </c>
    </row>
    <row r="1657" spans="1:5" x14ac:dyDescent="0.2">
      <c r="A1657" s="35">
        <v>2021</v>
      </c>
      <c r="B1657" s="36" t="s">
        <v>106</v>
      </c>
      <c r="C1657" s="37" t="s">
        <v>263</v>
      </c>
      <c r="D1657" s="37" t="s">
        <v>251</v>
      </c>
      <c r="E1657" s="38">
        <v>2459569</v>
      </c>
    </row>
    <row r="1658" spans="1:5" x14ac:dyDescent="0.2">
      <c r="A1658" s="35">
        <v>2021</v>
      </c>
      <c r="B1658" s="36" t="s">
        <v>106</v>
      </c>
      <c r="C1658" s="37" t="s">
        <v>263</v>
      </c>
      <c r="D1658" s="37" t="s">
        <v>252</v>
      </c>
      <c r="E1658" s="38">
        <v>22358006</v>
      </c>
    </row>
    <row r="1659" spans="1:5" x14ac:dyDescent="0.2">
      <c r="A1659" s="35">
        <v>2021</v>
      </c>
      <c r="B1659" s="36" t="s">
        <v>106</v>
      </c>
      <c r="C1659" s="37" t="s">
        <v>263</v>
      </c>
      <c r="D1659" s="37" t="s">
        <v>264</v>
      </c>
      <c r="E1659" s="38">
        <v>53771428</v>
      </c>
    </row>
    <row r="1660" spans="1:5" x14ac:dyDescent="0.2">
      <c r="A1660" s="35">
        <v>2021</v>
      </c>
      <c r="B1660" s="36" t="s">
        <v>106</v>
      </c>
      <c r="C1660" s="37" t="s">
        <v>263</v>
      </c>
      <c r="D1660" s="37" t="s">
        <v>254</v>
      </c>
      <c r="E1660" s="38">
        <v>73500</v>
      </c>
    </row>
    <row r="1661" spans="1:5" x14ac:dyDescent="0.2">
      <c r="A1661" s="35">
        <v>2021</v>
      </c>
      <c r="B1661" s="36" t="s">
        <v>106</v>
      </c>
      <c r="C1661" s="37" t="s">
        <v>263</v>
      </c>
      <c r="D1661" s="37" t="s">
        <v>255</v>
      </c>
      <c r="E1661" s="38">
        <v>8312</v>
      </c>
    </row>
    <row r="1662" spans="1:5" x14ac:dyDescent="0.2">
      <c r="A1662" s="35">
        <v>2021</v>
      </c>
      <c r="B1662" s="36" t="s">
        <v>106</v>
      </c>
      <c r="C1662" s="37" t="s">
        <v>263</v>
      </c>
      <c r="D1662" s="37" t="s">
        <v>256</v>
      </c>
      <c r="E1662" s="38">
        <v>58396</v>
      </c>
    </row>
    <row r="1663" spans="1:5" x14ac:dyDescent="0.2">
      <c r="A1663" s="35">
        <v>2021</v>
      </c>
      <c r="B1663" s="36" t="s">
        <v>106</v>
      </c>
      <c r="C1663" s="37" t="s">
        <v>263</v>
      </c>
      <c r="D1663" s="37" t="s">
        <v>258</v>
      </c>
      <c r="E1663" s="38">
        <v>-819</v>
      </c>
    </row>
    <row r="1664" spans="1:5" x14ac:dyDescent="0.2">
      <c r="A1664" s="35">
        <v>2021</v>
      </c>
      <c r="B1664" s="36" t="s">
        <v>109</v>
      </c>
      <c r="C1664" s="37" t="s">
        <v>249</v>
      </c>
      <c r="D1664" s="37" t="s">
        <v>230</v>
      </c>
      <c r="E1664" s="38">
        <v>17322409</v>
      </c>
    </row>
    <row r="1665" spans="1:5" x14ac:dyDescent="0.2">
      <c r="A1665" s="35">
        <v>2021</v>
      </c>
      <c r="B1665" s="36" t="s">
        <v>109</v>
      </c>
      <c r="C1665" s="37" t="s">
        <v>249</v>
      </c>
      <c r="D1665" s="37" t="s">
        <v>250</v>
      </c>
      <c r="E1665" s="38">
        <v>1638390</v>
      </c>
    </row>
    <row r="1666" spans="1:5" x14ac:dyDescent="0.2">
      <c r="A1666" s="35">
        <v>2021</v>
      </c>
      <c r="B1666" s="36" t="s">
        <v>109</v>
      </c>
      <c r="C1666" s="37" t="s">
        <v>249</v>
      </c>
      <c r="D1666" s="37" t="s">
        <v>251</v>
      </c>
      <c r="E1666" s="38">
        <v>4982552</v>
      </c>
    </row>
    <row r="1667" spans="1:5" x14ac:dyDescent="0.2">
      <c r="A1667" s="35">
        <v>2021</v>
      </c>
      <c r="B1667" s="36" t="s">
        <v>109</v>
      </c>
      <c r="C1667" s="37" t="s">
        <v>249</v>
      </c>
      <c r="D1667" s="37" t="s">
        <v>252</v>
      </c>
      <c r="E1667" s="38">
        <v>1311854</v>
      </c>
    </row>
    <row r="1668" spans="1:5" x14ac:dyDescent="0.2">
      <c r="A1668" s="35">
        <v>2021</v>
      </c>
      <c r="B1668" s="36" t="s">
        <v>109</v>
      </c>
      <c r="C1668" s="37" t="s">
        <v>249</v>
      </c>
      <c r="D1668" s="37" t="s">
        <v>253</v>
      </c>
      <c r="E1668" s="38">
        <v>0</v>
      </c>
    </row>
    <row r="1669" spans="1:5" x14ac:dyDescent="0.2">
      <c r="A1669" s="35">
        <v>2021</v>
      </c>
      <c r="B1669" s="36" t="s">
        <v>109</v>
      </c>
      <c r="C1669" s="37" t="s">
        <v>249</v>
      </c>
      <c r="D1669" s="37" t="s">
        <v>254</v>
      </c>
      <c r="E1669" s="38">
        <v>38192</v>
      </c>
    </row>
    <row r="1670" spans="1:5" x14ac:dyDescent="0.2">
      <c r="A1670" s="35">
        <v>2021</v>
      </c>
      <c r="B1670" s="36" t="s">
        <v>109</v>
      </c>
      <c r="C1670" s="37" t="s">
        <v>249</v>
      </c>
      <c r="D1670" s="37" t="s">
        <v>255</v>
      </c>
      <c r="E1670" s="38">
        <v>2007</v>
      </c>
    </row>
    <row r="1671" spans="1:5" x14ac:dyDescent="0.2">
      <c r="A1671" s="35">
        <v>2021</v>
      </c>
      <c r="B1671" s="36" t="s">
        <v>109</v>
      </c>
      <c r="C1671" s="37" t="s">
        <v>249</v>
      </c>
      <c r="D1671" s="37" t="s">
        <v>256</v>
      </c>
      <c r="E1671" s="38">
        <v>1119</v>
      </c>
    </row>
    <row r="1672" spans="1:5" x14ac:dyDescent="0.2">
      <c r="A1672" s="35">
        <v>2021</v>
      </c>
      <c r="B1672" s="36" t="s">
        <v>109</v>
      </c>
      <c r="C1672" s="37" t="s">
        <v>249</v>
      </c>
      <c r="D1672" s="37" t="s">
        <v>257</v>
      </c>
      <c r="E1672" s="38">
        <v>9326617</v>
      </c>
    </row>
    <row r="1673" spans="1:5" x14ac:dyDescent="0.2">
      <c r="A1673" s="35">
        <v>2021</v>
      </c>
      <c r="B1673" s="36" t="s">
        <v>109</v>
      </c>
      <c r="C1673" s="37" t="s">
        <v>249</v>
      </c>
      <c r="D1673" s="37" t="s">
        <v>258</v>
      </c>
      <c r="E1673" s="38">
        <v>21677</v>
      </c>
    </row>
    <row r="1674" spans="1:5" x14ac:dyDescent="0.2">
      <c r="A1674" s="35">
        <v>2021</v>
      </c>
      <c r="B1674" s="36" t="s">
        <v>109</v>
      </c>
      <c r="C1674" s="37" t="s">
        <v>259</v>
      </c>
      <c r="D1674" s="37" t="s">
        <v>230</v>
      </c>
      <c r="E1674" s="38">
        <v>54410</v>
      </c>
    </row>
    <row r="1675" spans="1:5" x14ac:dyDescent="0.2">
      <c r="A1675" s="35">
        <v>2021</v>
      </c>
      <c r="B1675" s="36" t="s">
        <v>109</v>
      </c>
      <c r="C1675" s="37" t="s">
        <v>259</v>
      </c>
      <c r="D1675" s="37" t="s">
        <v>252</v>
      </c>
      <c r="E1675" s="38">
        <v>31614</v>
      </c>
    </row>
    <row r="1676" spans="1:5" x14ac:dyDescent="0.2">
      <c r="A1676" s="35">
        <v>2021</v>
      </c>
      <c r="B1676" s="36" t="s">
        <v>109</v>
      </c>
      <c r="C1676" s="37" t="s">
        <v>259</v>
      </c>
      <c r="D1676" s="37" t="s">
        <v>253</v>
      </c>
      <c r="E1676" s="38">
        <v>0</v>
      </c>
    </row>
    <row r="1677" spans="1:5" x14ac:dyDescent="0.2">
      <c r="A1677" s="35">
        <v>2021</v>
      </c>
      <c r="B1677" s="36" t="s">
        <v>109</v>
      </c>
      <c r="C1677" s="37" t="s">
        <v>259</v>
      </c>
      <c r="D1677" s="37" t="s">
        <v>256</v>
      </c>
      <c r="E1677" s="38">
        <v>1119</v>
      </c>
    </row>
    <row r="1678" spans="1:5" x14ac:dyDescent="0.2">
      <c r="A1678" s="35">
        <v>2021</v>
      </c>
      <c r="B1678" s="36" t="s">
        <v>109</v>
      </c>
      <c r="C1678" s="37" t="s">
        <v>259</v>
      </c>
      <c r="D1678" s="37" t="s">
        <v>258</v>
      </c>
      <c r="E1678" s="38">
        <v>21677</v>
      </c>
    </row>
    <row r="1679" spans="1:5" x14ac:dyDescent="0.2">
      <c r="A1679" s="35">
        <v>2021</v>
      </c>
      <c r="B1679" s="36" t="s">
        <v>109</v>
      </c>
      <c r="C1679" s="37" t="s">
        <v>260</v>
      </c>
      <c r="D1679" s="37" t="s">
        <v>230</v>
      </c>
      <c r="E1679" s="38">
        <v>6</v>
      </c>
    </row>
    <row r="1680" spans="1:5" x14ac:dyDescent="0.2">
      <c r="A1680" s="35">
        <v>2021</v>
      </c>
      <c r="B1680" s="36" t="s">
        <v>109</v>
      </c>
      <c r="C1680" s="37" t="s">
        <v>260</v>
      </c>
      <c r="D1680" s="37" t="s">
        <v>254</v>
      </c>
      <c r="E1680" s="38">
        <v>6</v>
      </c>
    </row>
    <row r="1681" spans="1:5" x14ac:dyDescent="0.2">
      <c r="A1681" s="35">
        <v>2021</v>
      </c>
      <c r="B1681" s="36" t="s">
        <v>109</v>
      </c>
      <c r="C1681" s="37" t="s">
        <v>262</v>
      </c>
      <c r="D1681" s="37" t="s">
        <v>230</v>
      </c>
      <c r="E1681" s="38">
        <v>7846050</v>
      </c>
    </row>
    <row r="1682" spans="1:5" x14ac:dyDescent="0.2">
      <c r="A1682" s="35">
        <v>2021</v>
      </c>
      <c r="B1682" s="36" t="s">
        <v>109</v>
      </c>
      <c r="C1682" s="37" t="s">
        <v>262</v>
      </c>
      <c r="D1682" s="37" t="s">
        <v>253</v>
      </c>
      <c r="E1682" s="38">
        <v>0</v>
      </c>
    </row>
    <row r="1683" spans="1:5" x14ac:dyDescent="0.2">
      <c r="A1683" s="35">
        <v>2021</v>
      </c>
      <c r="B1683" s="36" t="s">
        <v>109</v>
      </c>
      <c r="C1683" s="37" t="s">
        <v>262</v>
      </c>
      <c r="D1683" s="37" t="s">
        <v>254</v>
      </c>
      <c r="E1683" s="38">
        <v>25</v>
      </c>
    </row>
    <row r="1684" spans="1:5" x14ac:dyDescent="0.2">
      <c r="A1684" s="35">
        <v>2021</v>
      </c>
      <c r="B1684" s="36" t="s">
        <v>109</v>
      </c>
      <c r="C1684" s="37" t="s">
        <v>262</v>
      </c>
      <c r="D1684" s="37" t="s">
        <v>255</v>
      </c>
      <c r="E1684" s="38">
        <v>2007</v>
      </c>
    </row>
    <row r="1685" spans="1:5" x14ac:dyDescent="0.2">
      <c r="A1685" s="35">
        <v>2021</v>
      </c>
      <c r="B1685" s="36" t="s">
        <v>109</v>
      </c>
      <c r="C1685" s="37" t="s">
        <v>262</v>
      </c>
      <c r="D1685" s="37" t="s">
        <v>257</v>
      </c>
      <c r="E1685" s="38">
        <v>7844018</v>
      </c>
    </row>
    <row r="1686" spans="1:5" x14ac:dyDescent="0.2">
      <c r="A1686" s="35">
        <v>2021</v>
      </c>
      <c r="B1686" s="36" t="s">
        <v>109</v>
      </c>
      <c r="C1686" s="37" t="s">
        <v>263</v>
      </c>
      <c r="D1686" s="37" t="s">
        <v>230</v>
      </c>
      <c r="E1686" s="38">
        <v>9421943</v>
      </c>
    </row>
    <row r="1687" spans="1:5" x14ac:dyDescent="0.2">
      <c r="A1687" s="35">
        <v>2021</v>
      </c>
      <c r="B1687" s="36" t="s">
        <v>109</v>
      </c>
      <c r="C1687" s="37" t="s">
        <v>263</v>
      </c>
      <c r="D1687" s="37" t="s">
        <v>250</v>
      </c>
      <c r="E1687" s="38">
        <v>1638390</v>
      </c>
    </row>
    <row r="1688" spans="1:5" x14ac:dyDescent="0.2">
      <c r="A1688" s="35">
        <v>2021</v>
      </c>
      <c r="B1688" s="36" t="s">
        <v>109</v>
      </c>
      <c r="C1688" s="37" t="s">
        <v>263</v>
      </c>
      <c r="D1688" s="37" t="s">
        <v>251</v>
      </c>
      <c r="E1688" s="38">
        <v>4982552</v>
      </c>
    </row>
    <row r="1689" spans="1:5" x14ac:dyDescent="0.2">
      <c r="A1689" s="35">
        <v>2021</v>
      </c>
      <c r="B1689" s="36" t="s">
        <v>109</v>
      </c>
      <c r="C1689" s="37" t="s">
        <v>263</v>
      </c>
      <c r="D1689" s="37" t="s">
        <v>252</v>
      </c>
      <c r="E1689" s="38">
        <v>1280241</v>
      </c>
    </row>
    <row r="1690" spans="1:5" x14ac:dyDescent="0.2">
      <c r="A1690" s="35">
        <v>2021</v>
      </c>
      <c r="B1690" s="36" t="s">
        <v>109</v>
      </c>
      <c r="C1690" s="37" t="s">
        <v>263</v>
      </c>
      <c r="D1690" s="37" t="s">
        <v>254</v>
      </c>
      <c r="E1690" s="38">
        <v>38161</v>
      </c>
    </row>
    <row r="1691" spans="1:5" x14ac:dyDescent="0.2">
      <c r="A1691" s="35">
        <v>2021</v>
      </c>
      <c r="B1691" s="36" t="s">
        <v>109</v>
      </c>
      <c r="C1691" s="37" t="s">
        <v>263</v>
      </c>
      <c r="D1691" s="37" t="s">
        <v>256</v>
      </c>
      <c r="E1691" s="38">
        <v>0</v>
      </c>
    </row>
    <row r="1692" spans="1:5" x14ac:dyDescent="0.2">
      <c r="A1692" s="35">
        <v>2021</v>
      </c>
      <c r="B1692" s="36" t="s">
        <v>109</v>
      </c>
      <c r="C1692" s="37" t="s">
        <v>263</v>
      </c>
      <c r="D1692" s="37" t="s">
        <v>257</v>
      </c>
      <c r="E1692" s="38">
        <v>1482599</v>
      </c>
    </row>
    <row r="1693" spans="1:5" x14ac:dyDescent="0.2">
      <c r="A1693" s="35">
        <v>2021</v>
      </c>
      <c r="B1693" s="36" t="s">
        <v>112</v>
      </c>
      <c r="C1693" s="37" t="s">
        <v>249</v>
      </c>
      <c r="D1693" s="37" t="s">
        <v>230</v>
      </c>
      <c r="E1693" s="38">
        <v>79057209</v>
      </c>
    </row>
    <row r="1694" spans="1:5" x14ac:dyDescent="0.2">
      <c r="A1694" s="35">
        <v>2021</v>
      </c>
      <c r="B1694" s="36" t="s">
        <v>112</v>
      </c>
      <c r="C1694" s="37" t="s">
        <v>249</v>
      </c>
      <c r="D1694" s="37" t="s">
        <v>250</v>
      </c>
      <c r="E1694" s="38">
        <v>18259796</v>
      </c>
    </row>
    <row r="1695" spans="1:5" x14ac:dyDescent="0.2">
      <c r="A1695" s="35">
        <v>2021</v>
      </c>
      <c r="B1695" s="36" t="s">
        <v>112</v>
      </c>
      <c r="C1695" s="37" t="s">
        <v>249</v>
      </c>
      <c r="D1695" s="37" t="s">
        <v>266</v>
      </c>
      <c r="E1695" s="38">
        <v>-577291</v>
      </c>
    </row>
    <row r="1696" spans="1:5" x14ac:dyDescent="0.2">
      <c r="A1696" s="35">
        <v>2021</v>
      </c>
      <c r="B1696" s="36" t="s">
        <v>112</v>
      </c>
      <c r="C1696" s="37" t="s">
        <v>249</v>
      </c>
      <c r="D1696" s="37" t="s">
        <v>251</v>
      </c>
      <c r="E1696" s="38">
        <v>10871480</v>
      </c>
    </row>
    <row r="1697" spans="1:5" x14ac:dyDescent="0.2">
      <c r="A1697" s="35">
        <v>2021</v>
      </c>
      <c r="B1697" s="36" t="s">
        <v>112</v>
      </c>
      <c r="C1697" s="37" t="s">
        <v>249</v>
      </c>
      <c r="D1697" s="37" t="s">
        <v>252</v>
      </c>
      <c r="E1697" s="38">
        <v>13986006</v>
      </c>
    </row>
    <row r="1698" spans="1:5" x14ac:dyDescent="0.2">
      <c r="A1698" s="35">
        <v>2021</v>
      </c>
      <c r="B1698" s="36" t="s">
        <v>112</v>
      </c>
      <c r="C1698" s="37" t="s">
        <v>249</v>
      </c>
      <c r="D1698" s="37" t="s">
        <v>264</v>
      </c>
      <c r="E1698" s="38">
        <v>35330407</v>
      </c>
    </row>
    <row r="1699" spans="1:5" x14ac:dyDescent="0.2">
      <c r="A1699" s="35">
        <v>2021</v>
      </c>
      <c r="B1699" s="36" t="s">
        <v>112</v>
      </c>
      <c r="C1699" s="37" t="s">
        <v>249</v>
      </c>
      <c r="D1699" s="37" t="s">
        <v>265</v>
      </c>
      <c r="E1699" s="38">
        <v>10654</v>
      </c>
    </row>
    <row r="1700" spans="1:5" x14ac:dyDescent="0.2">
      <c r="A1700" s="35">
        <v>2021</v>
      </c>
      <c r="B1700" s="36" t="s">
        <v>112</v>
      </c>
      <c r="C1700" s="37" t="s">
        <v>249</v>
      </c>
      <c r="D1700" s="37" t="s">
        <v>253</v>
      </c>
      <c r="E1700" s="38">
        <v>6637</v>
      </c>
    </row>
    <row r="1701" spans="1:5" x14ac:dyDescent="0.2">
      <c r="A1701" s="35">
        <v>2021</v>
      </c>
      <c r="B1701" s="36" t="s">
        <v>112</v>
      </c>
      <c r="C1701" s="37" t="s">
        <v>249</v>
      </c>
      <c r="D1701" s="37" t="s">
        <v>254</v>
      </c>
      <c r="E1701" s="38">
        <v>103066</v>
      </c>
    </row>
    <row r="1702" spans="1:5" x14ac:dyDescent="0.2">
      <c r="A1702" s="35">
        <v>2021</v>
      </c>
      <c r="B1702" s="36" t="s">
        <v>112</v>
      </c>
      <c r="C1702" s="37" t="s">
        <v>249</v>
      </c>
      <c r="D1702" s="37" t="s">
        <v>255</v>
      </c>
      <c r="E1702" s="38">
        <v>338576</v>
      </c>
    </row>
    <row r="1703" spans="1:5" x14ac:dyDescent="0.2">
      <c r="A1703" s="35">
        <v>2021</v>
      </c>
      <c r="B1703" s="36" t="s">
        <v>112</v>
      </c>
      <c r="C1703" s="37" t="s">
        <v>249</v>
      </c>
      <c r="D1703" s="37" t="s">
        <v>256</v>
      </c>
      <c r="E1703" s="38">
        <v>82346</v>
      </c>
    </row>
    <row r="1704" spans="1:5" x14ac:dyDescent="0.2">
      <c r="A1704" s="35">
        <v>2021</v>
      </c>
      <c r="B1704" s="36" t="s">
        <v>112</v>
      </c>
      <c r="C1704" s="37" t="s">
        <v>249</v>
      </c>
      <c r="D1704" s="37" t="s">
        <v>257</v>
      </c>
      <c r="E1704" s="38">
        <v>28186</v>
      </c>
    </row>
    <row r="1705" spans="1:5" x14ac:dyDescent="0.2">
      <c r="A1705" s="35">
        <v>2021</v>
      </c>
      <c r="B1705" s="36" t="s">
        <v>112</v>
      </c>
      <c r="C1705" s="37" t="s">
        <v>249</v>
      </c>
      <c r="D1705" s="37" t="s">
        <v>258</v>
      </c>
      <c r="E1705" s="38">
        <v>617346</v>
      </c>
    </row>
    <row r="1706" spans="1:5" x14ac:dyDescent="0.2">
      <c r="A1706" s="35">
        <v>2021</v>
      </c>
      <c r="B1706" s="36" t="s">
        <v>112</v>
      </c>
      <c r="C1706" s="37" t="s">
        <v>259</v>
      </c>
      <c r="D1706" s="37" t="s">
        <v>230</v>
      </c>
      <c r="E1706" s="38">
        <v>2250729</v>
      </c>
    </row>
    <row r="1707" spans="1:5" x14ac:dyDescent="0.2">
      <c r="A1707" s="35">
        <v>2021</v>
      </c>
      <c r="B1707" s="36" t="s">
        <v>112</v>
      </c>
      <c r="C1707" s="37" t="s">
        <v>259</v>
      </c>
      <c r="D1707" s="37" t="s">
        <v>250</v>
      </c>
      <c r="E1707" s="38">
        <v>425015</v>
      </c>
    </row>
    <row r="1708" spans="1:5" x14ac:dyDescent="0.2">
      <c r="A1708" s="35">
        <v>2021</v>
      </c>
      <c r="B1708" s="36" t="s">
        <v>112</v>
      </c>
      <c r="C1708" s="37" t="s">
        <v>259</v>
      </c>
      <c r="D1708" s="37" t="s">
        <v>252</v>
      </c>
      <c r="E1708" s="38">
        <v>1172506</v>
      </c>
    </row>
    <row r="1709" spans="1:5" x14ac:dyDescent="0.2">
      <c r="A1709" s="35">
        <v>2021</v>
      </c>
      <c r="B1709" s="36" t="s">
        <v>112</v>
      </c>
      <c r="C1709" s="37" t="s">
        <v>259</v>
      </c>
      <c r="D1709" s="37" t="s">
        <v>265</v>
      </c>
      <c r="E1709" s="38">
        <v>10654</v>
      </c>
    </row>
    <row r="1710" spans="1:5" x14ac:dyDescent="0.2">
      <c r="A1710" s="35">
        <v>2021</v>
      </c>
      <c r="B1710" s="36" t="s">
        <v>112</v>
      </c>
      <c r="C1710" s="37" t="s">
        <v>259</v>
      </c>
      <c r="D1710" s="37" t="s">
        <v>253</v>
      </c>
      <c r="E1710" s="38">
        <v>6637</v>
      </c>
    </row>
    <row r="1711" spans="1:5" x14ac:dyDescent="0.2">
      <c r="A1711" s="35">
        <v>2021</v>
      </c>
      <c r="B1711" s="36" t="s">
        <v>112</v>
      </c>
      <c r="C1711" s="37" t="s">
        <v>259</v>
      </c>
      <c r="D1711" s="37" t="s">
        <v>254</v>
      </c>
      <c r="E1711" s="38">
        <v>1949</v>
      </c>
    </row>
    <row r="1712" spans="1:5" x14ac:dyDescent="0.2">
      <c r="A1712" s="35">
        <v>2021</v>
      </c>
      <c r="B1712" s="36" t="s">
        <v>112</v>
      </c>
      <c r="C1712" s="37" t="s">
        <v>259</v>
      </c>
      <c r="D1712" s="37" t="s">
        <v>255</v>
      </c>
      <c r="E1712" s="38">
        <v>5833</v>
      </c>
    </row>
    <row r="1713" spans="1:5" x14ac:dyDescent="0.2">
      <c r="A1713" s="35">
        <v>2021</v>
      </c>
      <c r="B1713" s="36" t="s">
        <v>112</v>
      </c>
      <c r="C1713" s="37" t="s">
        <v>259</v>
      </c>
      <c r="D1713" s="37" t="s">
        <v>256</v>
      </c>
      <c r="E1713" s="38">
        <v>10789</v>
      </c>
    </row>
    <row r="1714" spans="1:5" x14ac:dyDescent="0.2">
      <c r="A1714" s="35">
        <v>2021</v>
      </c>
      <c r="B1714" s="36" t="s">
        <v>112</v>
      </c>
      <c r="C1714" s="37" t="s">
        <v>259</v>
      </c>
      <c r="D1714" s="37" t="s">
        <v>258</v>
      </c>
      <c r="E1714" s="38">
        <v>617346</v>
      </c>
    </row>
    <row r="1715" spans="1:5" x14ac:dyDescent="0.2">
      <c r="A1715" s="35">
        <v>2021</v>
      </c>
      <c r="B1715" s="36" t="s">
        <v>112</v>
      </c>
      <c r="C1715" s="37" t="s">
        <v>260</v>
      </c>
      <c r="D1715" s="37" t="s">
        <v>230</v>
      </c>
      <c r="E1715" s="38">
        <v>200715</v>
      </c>
    </row>
    <row r="1716" spans="1:5" x14ac:dyDescent="0.2">
      <c r="A1716" s="35">
        <v>2021</v>
      </c>
      <c r="B1716" s="36" t="s">
        <v>112</v>
      </c>
      <c r="C1716" s="37" t="s">
        <v>260</v>
      </c>
      <c r="D1716" s="37" t="s">
        <v>250</v>
      </c>
      <c r="E1716" s="38">
        <v>0</v>
      </c>
    </row>
    <row r="1717" spans="1:5" x14ac:dyDescent="0.2">
      <c r="A1717" s="35">
        <v>2021</v>
      </c>
      <c r="B1717" s="36" t="s">
        <v>112</v>
      </c>
      <c r="C1717" s="37" t="s">
        <v>260</v>
      </c>
      <c r="D1717" s="37" t="s">
        <v>252</v>
      </c>
      <c r="E1717" s="38">
        <v>196432</v>
      </c>
    </row>
    <row r="1718" spans="1:5" x14ac:dyDescent="0.2">
      <c r="A1718" s="35">
        <v>2021</v>
      </c>
      <c r="B1718" s="36" t="s">
        <v>112</v>
      </c>
      <c r="C1718" s="37" t="s">
        <v>260</v>
      </c>
      <c r="D1718" s="37" t="s">
        <v>254</v>
      </c>
      <c r="E1718" s="38">
        <v>0</v>
      </c>
    </row>
    <row r="1719" spans="1:5" x14ac:dyDescent="0.2">
      <c r="A1719" s="35">
        <v>2021</v>
      </c>
      <c r="B1719" s="36" t="s">
        <v>112</v>
      </c>
      <c r="C1719" s="37" t="s">
        <v>260</v>
      </c>
      <c r="D1719" s="37" t="s">
        <v>255</v>
      </c>
      <c r="E1719" s="38">
        <v>4283</v>
      </c>
    </row>
    <row r="1720" spans="1:5" x14ac:dyDescent="0.2">
      <c r="A1720" s="35">
        <v>2021</v>
      </c>
      <c r="B1720" s="36" t="s">
        <v>112</v>
      </c>
      <c r="C1720" s="37" t="s">
        <v>262</v>
      </c>
      <c r="D1720" s="37" t="s">
        <v>230</v>
      </c>
      <c r="E1720" s="38">
        <v>1385250</v>
      </c>
    </row>
    <row r="1721" spans="1:5" x14ac:dyDescent="0.2">
      <c r="A1721" s="35">
        <v>2021</v>
      </c>
      <c r="B1721" s="36" t="s">
        <v>112</v>
      </c>
      <c r="C1721" s="37" t="s">
        <v>262</v>
      </c>
      <c r="D1721" s="37" t="s">
        <v>251</v>
      </c>
      <c r="E1721" s="38">
        <v>941522</v>
      </c>
    </row>
    <row r="1722" spans="1:5" x14ac:dyDescent="0.2">
      <c r="A1722" s="35">
        <v>2021</v>
      </c>
      <c r="B1722" s="36" t="s">
        <v>112</v>
      </c>
      <c r="C1722" s="37" t="s">
        <v>262</v>
      </c>
      <c r="D1722" s="37" t="s">
        <v>252</v>
      </c>
      <c r="E1722" s="38">
        <v>17833</v>
      </c>
    </row>
    <row r="1723" spans="1:5" x14ac:dyDescent="0.2">
      <c r="A1723" s="35">
        <v>2021</v>
      </c>
      <c r="B1723" s="36" t="s">
        <v>112</v>
      </c>
      <c r="C1723" s="37" t="s">
        <v>262</v>
      </c>
      <c r="D1723" s="37" t="s">
        <v>254</v>
      </c>
      <c r="E1723" s="38">
        <v>344</v>
      </c>
    </row>
    <row r="1724" spans="1:5" x14ac:dyDescent="0.2">
      <c r="A1724" s="35">
        <v>2021</v>
      </c>
      <c r="B1724" s="36" t="s">
        <v>112</v>
      </c>
      <c r="C1724" s="37" t="s">
        <v>262</v>
      </c>
      <c r="D1724" s="37" t="s">
        <v>255</v>
      </c>
      <c r="E1724" s="38">
        <v>325808</v>
      </c>
    </row>
    <row r="1725" spans="1:5" x14ac:dyDescent="0.2">
      <c r="A1725" s="35">
        <v>2021</v>
      </c>
      <c r="B1725" s="36" t="s">
        <v>112</v>
      </c>
      <c r="C1725" s="37" t="s">
        <v>262</v>
      </c>
      <c r="D1725" s="37" t="s">
        <v>256</v>
      </c>
      <c r="E1725" s="38">
        <v>71557</v>
      </c>
    </row>
    <row r="1726" spans="1:5" x14ac:dyDescent="0.2">
      <c r="A1726" s="35">
        <v>2021</v>
      </c>
      <c r="B1726" s="36" t="s">
        <v>112</v>
      </c>
      <c r="C1726" s="37" t="s">
        <v>262</v>
      </c>
      <c r="D1726" s="37" t="s">
        <v>257</v>
      </c>
      <c r="E1726" s="38">
        <v>28186</v>
      </c>
    </row>
    <row r="1727" spans="1:5" x14ac:dyDescent="0.2">
      <c r="A1727" s="35">
        <v>2021</v>
      </c>
      <c r="B1727" s="36" t="s">
        <v>112</v>
      </c>
      <c r="C1727" s="37" t="s">
        <v>263</v>
      </c>
      <c r="D1727" s="37" t="s">
        <v>230</v>
      </c>
      <c r="E1727" s="38">
        <v>75220515</v>
      </c>
    </row>
    <row r="1728" spans="1:5" x14ac:dyDescent="0.2">
      <c r="A1728" s="35">
        <v>2021</v>
      </c>
      <c r="B1728" s="36" t="s">
        <v>112</v>
      </c>
      <c r="C1728" s="37" t="s">
        <v>263</v>
      </c>
      <c r="D1728" s="37" t="s">
        <v>250</v>
      </c>
      <c r="E1728" s="38">
        <v>17834781</v>
      </c>
    </row>
    <row r="1729" spans="1:5" x14ac:dyDescent="0.2">
      <c r="A1729" s="35">
        <v>2021</v>
      </c>
      <c r="B1729" s="36" t="s">
        <v>112</v>
      </c>
      <c r="C1729" s="37" t="s">
        <v>263</v>
      </c>
      <c r="D1729" s="37" t="s">
        <v>266</v>
      </c>
      <c r="E1729" s="38">
        <v>-577291</v>
      </c>
    </row>
    <row r="1730" spans="1:5" x14ac:dyDescent="0.2">
      <c r="A1730" s="35">
        <v>2021</v>
      </c>
      <c r="B1730" s="36" t="s">
        <v>112</v>
      </c>
      <c r="C1730" s="37" t="s">
        <v>263</v>
      </c>
      <c r="D1730" s="37" t="s">
        <v>251</v>
      </c>
      <c r="E1730" s="38">
        <v>9929958</v>
      </c>
    </row>
    <row r="1731" spans="1:5" x14ac:dyDescent="0.2">
      <c r="A1731" s="35">
        <v>2021</v>
      </c>
      <c r="B1731" s="36" t="s">
        <v>112</v>
      </c>
      <c r="C1731" s="37" t="s">
        <v>263</v>
      </c>
      <c r="D1731" s="37" t="s">
        <v>252</v>
      </c>
      <c r="E1731" s="38">
        <v>12599235</v>
      </c>
    </row>
    <row r="1732" spans="1:5" x14ac:dyDescent="0.2">
      <c r="A1732" s="35">
        <v>2021</v>
      </c>
      <c r="B1732" s="36" t="s">
        <v>112</v>
      </c>
      <c r="C1732" s="37" t="s">
        <v>263</v>
      </c>
      <c r="D1732" s="37" t="s">
        <v>264</v>
      </c>
      <c r="E1732" s="38">
        <v>35330407</v>
      </c>
    </row>
    <row r="1733" spans="1:5" x14ac:dyDescent="0.2">
      <c r="A1733" s="35">
        <v>2021</v>
      </c>
      <c r="B1733" s="36" t="s">
        <v>112</v>
      </c>
      <c r="C1733" s="37" t="s">
        <v>263</v>
      </c>
      <c r="D1733" s="37" t="s">
        <v>254</v>
      </c>
      <c r="E1733" s="38">
        <v>100773</v>
      </c>
    </row>
    <row r="1734" spans="1:5" x14ac:dyDescent="0.2">
      <c r="A1734" s="35">
        <v>2021</v>
      </c>
      <c r="B1734" s="36" t="s">
        <v>112</v>
      </c>
      <c r="C1734" s="37" t="s">
        <v>263</v>
      </c>
      <c r="D1734" s="37" t="s">
        <v>255</v>
      </c>
      <c r="E1734" s="38">
        <v>2652</v>
      </c>
    </row>
    <row r="1735" spans="1:5" x14ac:dyDescent="0.2">
      <c r="A1735" s="35">
        <v>2021</v>
      </c>
      <c r="B1735" s="36" t="s">
        <v>112</v>
      </c>
      <c r="C1735" s="37" t="s">
        <v>263</v>
      </c>
      <c r="D1735" s="37" t="s">
        <v>256</v>
      </c>
      <c r="E1735" s="38">
        <v>0</v>
      </c>
    </row>
    <row r="1736" spans="1:5" x14ac:dyDescent="0.2">
      <c r="A1736" s="35">
        <v>2021</v>
      </c>
      <c r="B1736" s="36" t="s">
        <v>112</v>
      </c>
      <c r="C1736" s="37" t="s">
        <v>263</v>
      </c>
      <c r="D1736" s="37" t="s">
        <v>257</v>
      </c>
      <c r="E1736" s="38">
        <v>0</v>
      </c>
    </row>
    <row r="1737" spans="1:5" x14ac:dyDescent="0.2">
      <c r="A1737" s="35">
        <v>2021</v>
      </c>
      <c r="B1737" s="36" t="s">
        <v>115</v>
      </c>
      <c r="C1737" s="37" t="s">
        <v>249</v>
      </c>
      <c r="D1737" s="37" t="s">
        <v>230</v>
      </c>
      <c r="E1737" s="38">
        <v>481844256</v>
      </c>
    </row>
    <row r="1738" spans="1:5" x14ac:dyDescent="0.2">
      <c r="A1738" s="35">
        <v>2021</v>
      </c>
      <c r="B1738" s="36" t="s">
        <v>115</v>
      </c>
      <c r="C1738" s="37" t="s">
        <v>249</v>
      </c>
      <c r="D1738" s="37" t="s">
        <v>250</v>
      </c>
      <c r="E1738" s="38">
        <v>88818139</v>
      </c>
    </row>
    <row r="1739" spans="1:5" x14ac:dyDescent="0.2">
      <c r="A1739" s="35">
        <v>2021</v>
      </c>
      <c r="B1739" s="36" t="s">
        <v>115</v>
      </c>
      <c r="C1739" s="37" t="s">
        <v>249</v>
      </c>
      <c r="D1739" s="37" t="s">
        <v>251</v>
      </c>
      <c r="E1739" s="38">
        <v>1082469</v>
      </c>
    </row>
    <row r="1740" spans="1:5" x14ac:dyDescent="0.2">
      <c r="A1740" s="35">
        <v>2021</v>
      </c>
      <c r="B1740" s="36" t="s">
        <v>115</v>
      </c>
      <c r="C1740" s="37" t="s">
        <v>249</v>
      </c>
      <c r="D1740" s="37" t="s">
        <v>252</v>
      </c>
      <c r="E1740" s="38">
        <v>233120825</v>
      </c>
    </row>
    <row r="1741" spans="1:5" x14ac:dyDescent="0.2">
      <c r="A1741" s="35">
        <v>2021</v>
      </c>
      <c r="B1741" s="36" t="s">
        <v>115</v>
      </c>
      <c r="C1741" s="37" t="s">
        <v>249</v>
      </c>
      <c r="D1741" s="37" t="s">
        <v>264</v>
      </c>
      <c r="E1741" s="38">
        <v>40211257</v>
      </c>
    </row>
    <row r="1742" spans="1:5" x14ac:dyDescent="0.2">
      <c r="A1742" s="35">
        <v>2021</v>
      </c>
      <c r="B1742" s="36" t="s">
        <v>115</v>
      </c>
      <c r="C1742" s="37" t="s">
        <v>249</v>
      </c>
      <c r="D1742" s="37" t="s">
        <v>265</v>
      </c>
      <c r="E1742" s="38">
        <v>2217666</v>
      </c>
    </row>
    <row r="1743" spans="1:5" x14ac:dyDescent="0.2">
      <c r="A1743" s="35">
        <v>2021</v>
      </c>
      <c r="B1743" s="36" t="s">
        <v>115</v>
      </c>
      <c r="C1743" s="37" t="s">
        <v>249</v>
      </c>
      <c r="D1743" s="37" t="s">
        <v>253</v>
      </c>
      <c r="E1743" s="38">
        <v>419549</v>
      </c>
    </row>
    <row r="1744" spans="1:5" x14ac:dyDescent="0.2">
      <c r="A1744" s="35">
        <v>2021</v>
      </c>
      <c r="B1744" s="36" t="s">
        <v>115</v>
      </c>
      <c r="C1744" s="37" t="s">
        <v>249</v>
      </c>
      <c r="D1744" s="37" t="s">
        <v>254</v>
      </c>
      <c r="E1744" s="38">
        <v>297630</v>
      </c>
    </row>
    <row r="1745" spans="1:5" x14ac:dyDescent="0.2">
      <c r="A1745" s="35">
        <v>2021</v>
      </c>
      <c r="B1745" s="36" t="s">
        <v>115</v>
      </c>
      <c r="C1745" s="37" t="s">
        <v>249</v>
      </c>
      <c r="D1745" s="37" t="s">
        <v>255</v>
      </c>
      <c r="E1745" s="38">
        <v>14921097</v>
      </c>
    </row>
    <row r="1746" spans="1:5" x14ac:dyDescent="0.2">
      <c r="A1746" s="35">
        <v>2021</v>
      </c>
      <c r="B1746" s="36" t="s">
        <v>115</v>
      </c>
      <c r="C1746" s="37" t="s">
        <v>249</v>
      </c>
      <c r="D1746" s="37" t="s">
        <v>256</v>
      </c>
      <c r="E1746" s="38">
        <v>342069</v>
      </c>
    </row>
    <row r="1747" spans="1:5" x14ac:dyDescent="0.2">
      <c r="A1747" s="35">
        <v>2021</v>
      </c>
      <c r="B1747" s="36" t="s">
        <v>115</v>
      </c>
      <c r="C1747" s="37" t="s">
        <v>249</v>
      </c>
      <c r="D1747" s="37" t="s">
        <v>257</v>
      </c>
      <c r="E1747" s="38">
        <v>99474216</v>
      </c>
    </row>
    <row r="1748" spans="1:5" x14ac:dyDescent="0.2">
      <c r="A1748" s="35">
        <v>2021</v>
      </c>
      <c r="B1748" s="36" t="s">
        <v>115</v>
      </c>
      <c r="C1748" s="37" t="s">
        <v>249</v>
      </c>
      <c r="D1748" s="37" t="s">
        <v>258</v>
      </c>
      <c r="E1748" s="38">
        <v>939340</v>
      </c>
    </row>
    <row r="1749" spans="1:5" x14ac:dyDescent="0.2">
      <c r="A1749" s="35">
        <v>2021</v>
      </c>
      <c r="B1749" s="36" t="s">
        <v>115</v>
      </c>
      <c r="C1749" s="37" t="s">
        <v>259</v>
      </c>
      <c r="D1749" s="37" t="s">
        <v>230</v>
      </c>
      <c r="E1749" s="38">
        <v>41647327</v>
      </c>
    </row>
    <row r="1750" spans="1:5" x14ac:dyDescent="0.2">
      <c r="A1750" s="35">
        <v>2021</v>
      </c>
      <c r="B1750" s="36" t="s">
        <v>115</v>
      </c>
      <c r="C1750" s="37" t="s">
        <v>259</v>
      </c>
      <c r="D1750" s="37" t="s">
        <v>252</v>
      </c>
      <c r="E1750" s="38">
        <v>39488773</v>
      </c>
    </row>
    <row r="1751" spans="1:5" x14ac:dyDescent="0.2">
      <c r="A1751" s="35">
        <v>2021</v>
      </c>
      <c r="B1751" s="36" t="s">
        <v>115</v>
      </c>
      <c r="C1751" s="37" t="s">
        <v>259</v>
      </c>
      <c r="D1751" s="37" t="s">
        <v>265</v>
      </c>
      <c r="E1751" s="38">
        <v>800568</v>
      </c>
    </row>
    <row r="1752" spans="1:5" x14ac:dyDescent="0.2">
      <c r="A1752" s="35">
        <v>2021</v>
      </c>
      <c r="B1752" s="36" t="s">
        <v>115</v>
      </c>
      <c r="C1752" s="37" t="s">
        <v>259</v>
      </c>
      <c r="D1752" s="37" t="s">
        <v>253</v>
      </c>
      <c r="E1752" s="38">
        <v>400899</v>
      </c>
    </row>
    <row r="1753" spans="1:5" x14ac:dyDescent="0.2">
      <c r="A1753" s="35">
        <v>2021</v>
      </c>
      <c r="B1753" s="36" t="s">
        <v>115</v>
      </c>
      <c r="C1753" s="37" t="s">
        <v>259</v>
      </c>
      <c r="D1753" s="37" t="s">
        <v>254</v>
      </c>
      <c r="E1753" s="38">
        <v>97655</v>
      </c>
    </row>
    <row r="1754" spans="1:5" x14ac:dyDescent="0.2">
      <c r="A1754" s="35">
        <v>2021</v>
      </c>
      <c r="B1754" s="36" t="s">
        <v>115</v>
      </c>
      <c r="C1754" s="37" t="s">
        <v>259</v>
      </c>
      <c r="D1754" s="37" t="s">
        <v>255</v>
      </c>
      <c r="E1754" s="38">
        <v>195</v>
      </c>
    </row>
    <row r="1755" spans="1:5" x14ac:dyDescent="0.2">
      <c r="A1755" s="35">
        <v>2021</v>
      </c>
      <c r="B1755" s="36" t="s">
        <v>115</v>
      </c>
      <c r="C1755" s="37" t="s">
        <v>259</v>
      </c>
      <c r="D1755" s="37" t="s">
        <v>256</v>
      </c>
      <c r="E1755" s="38">
        <v>89207</v>
      </c>
    </row>
    <row r="1756" spans="1:5" x14ac:dyDescent="0.2">
      <c r="A1756" s="35">
        <v>2021</v>
      </c>
      <c r="B1756" s="36" t="s">
        <v>115</v>
      </c>
      <c r="C1756" s="37" t="s">
        <v>259</v>
      </c>
      <c r="D1756" s="37" t="s">
        <v>257</v>
      </c>
      <c r="E1756" s="38">
        <v>3674</v>
      </c>
    </row>
    <row r="1757" spans="1:5" x14ac:dyDescent="0.2">
      <c r="A1757" s="35">
        <v>2021</v>
      </c>
      <c r="B1757" s="36" t="s">
        <v>115</v>
      </c>
      <c r="C1757" s="37" t="s">
        <v>259</v>
      </c>
      <c r="D1757" s="37" t="s">
        <v>258</v>
      </c>
      <c r="E1757" s="38">
        <v>766356</v>
      </c>
    </row>
    <row r="1758" spans="1:5" x14ac:dyDescent="0.2">
      <c r="A1758" s="35">
        <v>2021</v>
      </c>
      <c r="B1758" s="36" t="s">
        <v>115</v>
      </c>
      <c r="C1758" s="37" t="s">
        <v>260</v>
      </c>
      <c r="D1758" s="37" t="s">
        <v>230</v>
      </c>
      <c r="E1758" s="38">
        <v>645140</v>
      </c>
    </row>
    <row r="1759" spans="1:5" x14ac:dyDescent="0.2">
      <c r="A1759" s="35">
        <v>2021</v>
      </c>
      <c r="B1759" s="36" t="s">
        <v>115</v>
      </c>
      <c r="C1759" s="37" t="s">
        <v>260</v>
      </c>
      <c r="D1759" s="37" t="s">
        <v>251</v>
      </c>
      <c r="E1759" s="38">
        <v>768</v>
      </c>
    </row>
    <row r="1760" spans="1:5" x14ac:dyDescent="0.2">
      <c r="A1760" s="35">
        <v>2021</v>
      </c>
      <c r="B1760" s="36" t="s">
        <v>115</v>
      </c>
      <c r="C1760" s="37" t="s">
        <v>260</v>
      </c>
      <c r="D1760" s="37" t="s">
        <v>252</v>
      </c>
      <c r="E1760" s="38">
        <v>591098</v>
      </c>
    </row>
    <row r="1761" spans="1:5" x14ac:dyDescent="0.2">
      <c r="A1761" s="35">
        <v>2021</v>
      </c>
      <c r="B1761" s="36" t="s">
        <v>115</v>
      </c>
      <c r="C1761" s="37" t="s">
        <v>260</v>
      </c>
      <c r="D1761" s="37" t="s">
        <v>254</v>
      </c>
      <c r="E1761" s="38">
        <v>385</v>
      </c>
    </row>
    <row r="1762" spans="1:5" x14ac:dyDescent="0.2">
      <c r="A1762" s="35">
        <v>2021</v>
      </c>
      <c r="B1762" s="36" t="s">
        <v>115</v>
      </c>
      <c r="C1762" s="37" t="s">
        <v>260</v>
      </c>
      <c r="D1762" s="37" t="s">
        <v>255</v>
      </c>
      <c r="E1762" s="38">
        <v>2438</v>
      </c>
    </row>
    <row r="1763" spans="1:5" x14ac:dyDescent="0.2">
      <c r="A1763" s="35">
        <v>2021</v>
      </c>
      <c r="B1763" s="36" t="s">
        <v>115</v>
      </c>
      <c r="C1763" s="37" t="s">
        <v>260</v>
      </c>
      <c r="D1763" s="37" t="s">
        <v>256</v>
      </c>
      <c r="E1763" s="38">
        <v>0</v>
      </c>
    </row>
    <row r="1764" spans="1:5" x14ac:dyDescent="0.2">
      <c r="A1764" s="35">
        <v>2021</v>
      </c>
      <c r="B1764" s="36" t="s">
        <v>115</v>
      </c>
      <c r="C1764" s="37" t="s">
        <v>260</v>
      </c>
      <c r="D1764" s="37" t="s">
        <v>257</v>
      </c>
      <c r="E1764" s="38">
        <v>50450</v>
      </c>
    </row>
    <row r="1765" spans="1:5" x14ac:dyDescent="0.2">
      <c r="A1765" s="35">
        <v>2021</v>
      </c>
      <c r="B1765" s="36" t="s">
        <v>115</v>
      </c>
      <c r="C1765" s="37" t="s">
        <v>261</v>
      </c>
      <c r="D1765" s="37" t="s">
        <v>230</v>
      </c>
      <c r="E1765" s="38">
        <v>41676535</v>
      </c>
    </row>
    <row r="1766" spans="1:5" x14ac:dyDescent="0.2">
      <c r="A1766" s="35">
        <v>2021</v>
      </c>
      <c r="B1766" s="36" t="s">
        <v>115</v>
      </c>
      <c r="C1766" s="37" t="s">
        <v>261</v>
      </c>
      <c r="D1766" s="37" t="s">
        <v>252</v>
      </c>
      <c r="E1766" s="38">
        <v>40206543</v>
      </c>
    </row>
    <row r="1767" spans="1:5" x14ac:dyDescent="0.2">
      <c r="A1767" s="35">
        <v>2021</v>
      </c>
      <c r="B1767" s="36" t="s">
        <v>115</v>
      </c>
      <c r="C1767" s="37" t="s">
        <v>261</v>
      </c>
      <c r="D1767" s="37" t="s">
        <v>265</v>
      </c>
      <c r="E1767" s="38">
        <v>1417098</v>
      </c>
    </row>
    <row r="1768" spans="1:5" x14ac:dyDescent="0.2">
      <c r="A1768" s="35">
        <v>2021</v>
      </c>
      <c r="B1768" s="36" t="s">
        <v>115</v>
      </c>
      <c r="C1768" s="37" t="s">
        <v>261</v>
      </c>
      <c r="D1768" s="37" t="s">
        <v>253</v>
      </c>
      <c r="E1768" s="38">
        <v>52894</v>
      </c>
    </row>
    <row r="1769" spans="1:5" x14ac:dyDescent="0.2">
      <c r="A1769" s="35">
        <v>2021</v>
      </c>
      <c r="B1769" s="36" t="s">
        <v>115</v>
      </c>
      <c r="C1769" s="37" t="s">
        <v>262</v>
      </c>
      <c r="D1769" s="37" t="s">
        <v>230</v>
      </c>
      <c r="E1769" s="38">
        <v>317691419</v>
      </c>
    </row>
    <row r="1770" spans="1:5" x14ac:dyDescent="0.2">
      <c r="A1770" s="35">
        <v>2021</v>
      </c>
      <c r="B1770" s="36" t="s">
        <v>115</v>
      </c>
      <c r="C1770" s="37" t="s">
        <v>262</v>
      </c>
      <c r="D1770" s="37" t="s">
        <v>250</v>
      </c>
      <c r="E1770" s="38">
        <v>55110325</v>
      </c>
    </row>
    <row r="1771" spans="1:5" x14ac:dyDescent="0.2">
      <c r="A1771" s="35">
        <v>2021</v>
      </c>
      <c r="B1771" s="36" t="s">
        <v>115</v>
      </c>
      <c r="C1771" s="37" t="s">
        <v>262</v>
      </c>
      <c r="D1771" s="37" t="s">
        <v>251</v>
      </c>
      <c r="E1771" s="38">
        <v>36816</v>
      </c>
    </row>
    <row r="1772" spans="1:5" x14ac:dyDescent="0.2">
      <c r="A1772" s="35">
        <v>2021</v>
      </c>
      <c r="B1772" s="36" t="s">
        <v>115</v>
      </c>
      <c r="C1772" s="37" t="s">
        <v>262</v>
      </c>
      <c r="D1772" s="37" t="s">
        <v>252</v>
      </c>
      <c r="E1772" s="38">
        <v>107909590</v>
      </c>
    </row>
    <row r="1773" spans="1:5" x14ac:dyDescent="0.2">
      <c r="A1773" s="35">
        <v>2021</v>
      </c>
      <c r="B1773" s="36" t="s">
        <v>115</v>
      </c>
      <c r="C1773" s="37" t="s">
        <v>262</v>
      </c>
      <c r="D1773" s="37" t="s">
        <v>264</v>
      </c>
      <c r="E1773" s="38">
        <v>40211257</v>
      </c>
    </row>
    <row r="1774" spans="1:5" x14ac:dyDescent="0.2">
      <c r="A1774" s="35">
        <v>2021</v>
      </c>
      <c r="B1774" s="36" t="s">
        <v>115</v>
      </c>
      <c r="C1774" s="37" t="s">
        <v>262</v>
      </c>
      <c r="D1774" s="37" t="s">
        <v>253</v>
      </c>
      <c r="E1774" s="38">
        <v>-33010</v>
      </c>
    </row>
    <row r="1775" spans="1:5" x14ac:dyDescent="0.2">
      <c r="A1775" s="35">
        <v>2021</v>
      </c>
      <c r="B1775" s="36" t="s">
        <v>115</v>
      </c>
      <c r="C1775" s="37" t="s">
        <v>262</v>
      </c>
      <c r="D1775" s="37" t="s">
        <v>254</v>
      </c>
      <c r="E1775" s="38">
        <v>82497</v>
      </c>
    </row>
    <row r="1776" spans="1:5" x14ac:dyDescent="0.2">
      <c r="A1776" s="35">
        <v>2021</v>
      </c>
      <c r="B1776" s="36" t="s">
        <v>115</v>
      </c>
      <c r="C1776" s="37" t="s">
        <v>262</v>
      </c>
      <c r="D1776" s="37" t="s">
        <v>255</v>
      </c>
      <c r="E1776" s="38">
        <v>14903335</v>
      </c>
    </row>
    <row r="1777" spans="1:5" x14ac:dyDescent="0.2">
      <c r="A1777" s="35">
        <v>2021</v>
      </c>
      <c r="B1777" s="36" t="s">
        <v>115</v>
      </c>
      <c r="C1777" s="37" t="s">
        <v>262</v>
      </c>
      <c r="D1777" s="37" t="s">
        <v>256</v>
      </c>
      <c r="E1777" s="38">
        <v>252862</v>
      </c>
    </row>
    <row r="1778" spans="1:5" x14ac:dyDescent="0.2">
      <c r="A1778" s="35">
        <v>2021</v>
      </c>
      <c r="B1778" s="36" t="s">
        <v>115</v>
      </c>
      <c r="C1778" s="37" t="s">
        <v>262</v>
      </c>
      <c r="D1778" s="37" t="s">
        <v>257</v>
      </c>
      <c r="E1778" s="38">
        <v>99217747</v>
      </c>
    </row>
    <row r="1779" spans="1:5" x14ac:dyDescent="0.2">
      <c r="A1779" s="35">
        <v>2021</v>
      </c>
      <c r="B1779" s="36" t="s">
        <v>115</v>
      </c>
      <c r="C1779" s="37" t="s">
        <v>263</v>
      </c>
      <c r="D1779" s="37" t="s">
        <v>230</v>
      </c>
      <c r="E1779" s="38">
        <v>80183836</v>
      </c>
    </row>
    <row r="1780" spans="1:5" x14ac:dyDescent="0.2">
      <c r="A1780" s="35">
        <v>2021</v>
      </c>
      <c r="B1780" s="36" t="s">
        <v>115</v>
      </c>
      <c r="C1780" s="37" t="s">
        <v>263</v>
      </c>
      <c r="D1780" s="37" t="s">
        <v>250</v>
      </c>
      <c r="E1780" s="38">
        <v>33707815</v>
      </c>
    </row>
    <row r="1781" spans="1:5" x14ac:dyDescent="0.2">
      <c r="A1781" s="35">
        <v>2021</v>
      </c>
      <c r="B1781" s="36" t="s">
        <v>115</v>
      </c>
      <c r="C1781" s="37" t="s">
        <v>263</v>
      </c>
      <c r="D1781" s="37" t="s">
        <v>251</v>
      </c>
      <c r="E1781" s="38">
        <v>1044885</v>
      </c>
    </row>
    <row r="1782" spans="1:5" x14ac:dyDescent="0.2">
      <c r="A1782" s="35">
        <v>2021</v>
      </c>
      <c r="B1782" s="36" t="s">
        <v>115</v>
      </c>
      <c r="C1782" s="37" t="s">
        <v>263</v>
      </c>
      <c r="D1782" s="37" t="s">
        <v>252</v>
      </c>
      <c r="E1782" s="38">
        <v>44924821</v>
      </c>
    </row>
    <row r="1783" spans="1:5" x14ac:dyDescent="0.2">
      <c r="A1783" s="35">
        <v>2021</v>
      </c>
      <c r="B1783" s="36" t="s">
        <v>115</v>
      </c>
      <c r="C1783" s="37" t="s">
        <v>263</v>
      </c>
      <c r="D1783" s="37" t="s">
        <v>253</v>
      </c>
      <c r="E1783" s="38">
        <v>-1234</v>
      </c>
    </row>
    <row r="1784" spans="1:5" x14ac:dyDescent="0.2">
      <c r="A1784" s="35">
        <v>2021</v>
      </c>
      <c r="B1784" s="36" t="s">
        <v>115</v>
      </c>
      <c r="C1784" s="37" t="s">
        <v>263</v>
      </c>
      <c r="D1784" s="37" t="s">
        <v>254</v>
      </c>
      <c r="E1784" s="38">
        <v>117092</v>
      </c>
    </row>
    <row r="1785" spans="1:5" x14ac:dyDescent="0.2">
      <c r="A1785" s="35">
        <v>2021</v>
      </c>
      <c r="B1785" s="36" t="s">
        <v>115</v>
      </c>
      <c r="C1785" s="37" t="s">
        <v>263</v>
      </c>
      <c r="D1785" s="37" t="s">
        <v>255</v>
      </c>
      <c r="E1785" s="38">
        <v>15129</v>
      </c>
    </row>
    <row r="1786" spans="1:5" x14ac:dyDescent="0.2">
      <c r="A1786" s="35">
        <v>2021</v>
      </c>
      <c r="B1786" s="36" t="s">
        <v>115</v>
      </c>
      <c r="C1786" s="37" t="s">
        <v>263</v>
      </c>
      <c r="D1786" s="37" t="s">
        <v>256</v>
      </c>
      <c r="E1786" s="38">
        <v>0</v>
      </c>
    </row>
    <row r="1787" spans="1:5" x14ac:dyDescent="0.2">
      <c r="A1787" s="35">
        <v>2021</v>
      </c>
      <c r="B1787" s="36" t="s">
        <v>115</v>
      </c>
      <c r="C1787" s="37" t="s">
        <v>263</v>
      </c>
      <c r="D1787" s="37" t="s">
        <v>257</v>
      </c>
      <c r="E1787" s="38">
        <v>202345</v>
      </c>
    </row>
    <row r="1788" spans="1:5" x14ac:dyDescent="0.2">
      <c r="A1788" s="35">
        <v>2021</v>
      </c>
      <c r="B1788" s="36" t="s">
        <v>115</v>
      </c>
      <c r="C1788" s="37" t="s">
        <v>263</v>
      </c>
      <c r="D1788" s="37" t="s">
        <v>258</v>
      </c>
      <c r="E1788" s="38">
        <v>172984</v>
      </c>
    </row>
    <row r="1789" spans="1:5" x14ac:dyDescent="0.2">
      <c r="A1789" s="35">
        <v>2021</v>
      </c>
      <c r="B1789" s="36" t="s">
        <v>268</v>
      </c>
      <c r="C1789" s="37" t="s">
        <v>249</v>
      </c>
      <c r="D1789" s="37" t="s">
        <v>230</v>
      </c>
      <c r="E1789" s="38">
        <v>4109699390</v>
      </c>
    </row>
    <row r="1790" spans="1:5" x14ac:dyDescent="0.2">
      <c r="A1790" s="35">
        <v>2021</v>
      </c>
      <c r="B1790" s="36" t="s">
        <v>268</v>
      </c>
      <c r="C1790" s="37" t="s">
        <v>249</v>
      </c>
      <c r="D1790" s="37" t="s">
        <v>250</v>
      </c>
      <c r="E1790" s="38">
        <v>897998760</v>
      </c>
    </row>
    <row r="1791" spans="1:5" x14ac:dyDescent="0.2">
      <c r="A1791" s="35">
        <v>2021</v>
      </c>
      <c r="B1791" s="36" t="s">
        <v>268</v>
      </c>
      <c r="C1791" s="37" t="s">
        <v>249</v>
      </c>
      <c r="D1791" s="37" t="s">
        <v>267</v>
      </c>
      <c r="E1791" s="38">
        <v>15975127</v>
      </c>
    </row>
    <row r="1792" spans="1:5" x14ac:dyDescent="0.2">
      <c r="A1792" s="35">
        <v>2021</v>
      </c>
      <c r="B1792" s="36" t="s">
        <v>268</v>
      </c>
      <c r="C1792" s="37" t="s">
        <v>249</v>
      </c>
      <c r="D1792" s="37" t="s">
        <v>266</v>
      </c>
      <c r="E1792" s="38">
        <v>-5111684</v>
      </c>
    </row>
    <row r="1793" spans="1:5" x14ac:dyDescent="0.2">
      <c r="A1793" s="35">
        <v>2021</v>
      </c>
      <c r="B1793" s="36" t="s">
        <v>268</v>
      </c>
      <c r="C1793" s="37" t="s">
        <v>249</v>
      </c>
      <c r="D1793" s="37" t="s">
        <v>251</v>
      </c>
      <c r="E1793" s="38">
        <v>251584842</v>
      </c>
    </row>
    <row r="1794" spans="1:5" x14ac:dyDescent="0.2">
      <c r="A1794" s="35">
        <v>2021</v>
      </c>
      <c r="B1794" s="36" t="s">
        <v>268</v>
      </c>
      <c r="C1794" s="37" t="s">
        <v>249</v>
      </c>
      <c r="D1794" s="37" t="s">
        <v>252</v>
      </c>
      <c r="E1794" s="38">
        <v>1579189987</v>
      </c>
    </row>
    <row r="1795" spans="1:5" x14ac:dyDescent="0.2">
      <c r="A1795" s="35">
        <v>2021</v>
      </c>
      <c r="B1795" s="36" t="s">
        <v>268</v>
      </c>
      <c r="C1795" s="37" t="s">
        <v>249</v>
      </c>
      <c r="D1795" s="37" t="s">
        <v>264</v>
      </c>
      <c r="E1795" s="38">
        <v>779644595</v>
      </c>
    </row>
    <row r="1796" spans="1:5" x14ac:dyDescent="0.2">
      <c r="A1796" s="35">
        <v>2021</v>
      </c>
      <c r="B1796" s="36" t="s">
        <v>268</v>
      </c>
      <c r="C1796" s="37" t="s">
        <v>249</v>
      </c>
      <c r="D1796" s="37" t="s">
        <v>265</v>
      </c>
      <c r="E1796" s="38">
        <v>11397237</v>
      </c>
    </row>
    <row r="1797" spans="1:5" x14ac:dyDescent="0.2">
      <c r="A1797" s="35">
        <v>2021</v>
      </c>
      <c r="B1797" s="36" t="s">
        <v>268</v>
      </c>
      <c r="C1797" s="37" t="s">
        <v>249</v>
      </c>
      <c r="D1797" s="37" t="s">
        <v>253</v>
      </c>
      <c r="E1797" s="38">
        <v>12140066</v>
      </c>
    </row>
    <row r="1798" spans="1:5" x14ac:dyDescent="0.2">
      <c r="A1798" s="35">
        <v>2021</v>
      </c>
      <c r="B1798" s="36" t="s">
        <v>268</v>
      </c>
      <c r="C1798" s="37" t="s">
        <v>249</v>
      </c>
      <c r="D1798" s="37" t="s">
        <v>254</v>
      </c>
      <c r="E1798" s="38">
        <v>19173210</v>
      </c>
    </row>
    <row r="1799" spans="1:5" x14ac:dyDescent="0.2">
      <c r="A1799" s="35">
        <v>2021</v>
      </c>
      <c r="B1799" s="36" t="s">
        <v>268</v>
      </c>
      <c r="C1799" s="37" t="s">
        <v>249</v>
      </c>
      <c r="D1799" s="37" t="s">
        <v>255</v>
      </c>
      <c r="E1799" s="38">
        <v>115258248</v>
      </c>
    </row>
    <row r="1800" spans="1:5" x14ac:dyDescent="0.2">
      <c r="A1800" s="35">
        <v>2021</v>
      </c>
      <c r="B1800" s="36" t="s">
        <v>268</v>
      </c>
      <c r="C1800" s="37" t="s">
        <v>249</v>
      </c>
      <c r="D1800" s="37" t="s">
        <v>256</v>
      </c>
      <c r="E1800" s="38">
        <v>17789553</v>
      </c>
    </row>
    <row r="1801" spans="1:5" x14ac:dyDescent="0.2">
      <c r="A1801" s="35">
        <v>2021</v>
      </c>
      <c r="B1801" s="36" t="s">
        <v>268</v>
      </c>
      <c r="C1801" s="37" t="s">
        <v>249</v>
      </c>
      <c r="D1801" s="37" t="s">
        <v>257</v>
      </c>
      <c r="E1801" s="38">
        <v>378196775</v>
      </c>
    </row>
    <row r="1802" spans="1:5" x14ac:dyDescent="0.2">
      <c r="A1802" s="35">
        <v>2021</v>
      </c>
      <c r="B1802" s="36" t="s">
        <v>268</v>
      </c>
      <c r="C1802" s="37" t="s">
        <v>249</v>
      </c>
      <c r="D1802" s="37" t="s">
        <v>258</v>
      </c>
      <c r="E1802" s="38">
        <v>36462673</v>
      </c>
    </row>
    <row r="1803" spans="1:5" x14ac:dyDescent="0.2">
      <c r="A1803" s="35">
        <v>2021</v>
      </c>
      <c r="B1803" s="36" t="s">
        <v>268</v>
      </c>
      <c r="C1803" s="37" t="s">
        <v>259</v>
      </c>
      <c r="D1803" s="37" t="s">
        <v>230</v>
      </c>
      <c r="E1803" s="38">
        <v>139750192</v>
      </c>
    </row>
    <row r="1804" spans="1:5" x14ac:dyDescent="0.2">
      <c r="A1804" s="35">
        <v>2021</v>
      </c>
      <c r="B1804" s="36" t="s">
        <v>268</v>
      </c>
      <c r="C1804" s="37" t="s">
        <v>259</v>
      </c>
      <c r="D1804" s="37" t="s">
        <v>250</v>
      </c>
      <c r="E1804" s="38">
        <v>5278278</v>
      </c>
    </row>
    <row r="1805" spans="1:5" x14ac:dyDescent="0.2">
      <c r="A1805" s="35">
        <v>2021</v>
      </c>
      <c r="B1805" s="36" t="s">
        <v>268</v>
      </c>
      <c r="C1805" s="37" t="s">
        <v>259</v>
      </c>
      <c r="D1805" s="37" t="s">
        <v>251</v>
      </c>
      <c r="E1805" s="38">
        <v>936147</v>
      </c>
    </row>
    <row r="1806" spans="1:5" x14ac:dyDescent="0.2">
      <c r="A1806" s="35">
        <v>2021</v>
      </c>
      <c r="B1806" s="36" t="s">
        <v>268</v>
      </c>
      <c r="C1806" s="37" t="s">
        <v>259</v>
      </c>
      <c r="D1806" s="37" t="s">
        <v>252</v>
      </c>
      <c r="E1806" s="38">
        <v>95240305</v>
      </c>
    </row>
    <row r="1807" spans="1:5" x14ac:dyDescent="0.2">
      <c r="A1807" s="35">
        <v>2021</v>
      </c>
      <c r="B1807" s="36" t="s">
        <v>268</v>
      </c>
      <c r="C1807" s="37" t="s">
        <v>259</v>
      </c>
      <c r="D1807" s="37" t="s">
        <v>265</v>
      </c>
      <c r="E1807" s="38">
        <v>8093130</v>
      </c>
    </row>
    <row r="1808" spans="1:5" x14ac:dyDescent="0.2">
      <c r="A1808" s="35">
        <v>2021</v>
      </c>
      <c r="B1808" s="36" t="s">
        <v>268</v>
      </c>
      <c r="C1808" s="37" t="s">
        <v>259</v>
      </c>
      <c r="D1808" s="37" t="s">
        <v>253</v>
      </c>
      <c r="E1808" s="38">
        <v>3974797</v>
      </c>
    </row>
    <row r="1809" spans="1:5" x14ac:dyDescent="0.2">
      <c r="A1809" s="35">
        <v>2021</v>
      </c>
      <c r="B1809" s="36" t="s">
        <v>268</v>
      </c>
      <c r="C1809" s="37" t="s">
        <v>259</v>
      </c>
      <c r="D1809" s="37" t="s">
        <v>254</v>
      </c>
      <c r="E1809" s="38">
        <v>766545</v>
      </c>
    </row>
    <row r="1810" spans="1:5" x14ac:dyDescent="0.2">
      <c r="A1810" s="35">
        <v>2021</v>
      </c>
      <c r="B1810" s="36" t="s">
        <v>268</v>
      </c>
      <c r="C1810" s="37" t="s">
        <v>259</v>
      </c>
      <c r="D1810" s="37" t="s">
        <v>255</v>
      </c>
      <c r="E1810" s="38">
        <v>136542</v>
      </c>
    </row>
    <row r="1811" spans="1:5" x14ac:dyDescent="0.2">
      <c r="A1811" s="35">
        <v>2021</v>
      </c>
      <c r="B1811" s="36" t="s">
        <v>268</v>
      </c>
      <c r="C1811" s="37" t="s">
        <v>259</v>
      </c>
      <c r="D1811" s="37" t="s">
        <v>256</v>
      </c>
      <c r="E1811" s="38">
        <v>799607</v>
      </c>
    </row>
    <row r="1812" spans="1:5" x14ac:dyDescent="0.2">
      <c r="A1812" s="35">
        <v>2021</v>
      </c>
      <c r="B1812" s="36" t="s">
        <v>268</v>
      </c>
      <c r="C1812" s="37" t="s">
        <v>259</v>
      </c>
      <c r="D1812" s="37" t="s">
        <v>257</v>
      </c>
      <c r="E1812" s="38">
        <v>111661</v>
      </c>
    </row>
    <row r="1813" spans="1:5" x14ac:dyDescent="0.2">
      <c r="A1813" s="35">
        <v>2021</v>
      </c>
      <c r="B1813" s="36" t="s">
        <v>268</v>
      </c>
      <c r="C1813" s="37" t="s">
        <v>259</v>
      </c>
      <c r="D1813" s="37" t="s">
        <v>258</v>
      </c>
      <c r="E1813" s="38">
        <v>24413180</v>
      </c>
    </row>
    <row r="1814" spans="1:5" x14ac:dyDescent="0.2">
      <c r="A1814" s="35">
        <v>2021</v>
      </c>
      <c r="B1814" s="36" t="s">
        <v>268</v>
      </c>
      <c r="C1814" s="37" t="s">
        <v>260</v>
      </c>
      <c r="D1814" s="37" t="s">
        <v>230</v>
      </c>
      <c r="E1814" s="38">
        <v>12767912</v>
      </c>
    </row>
    <row r="1815" spans="1:5" x14ac:dyDescent="0.2">
      <c r="A1815" s="35">
        <v>2021</v>
      </c>
      <c r="B1815" s="36" t="s">
        <v>268</v>
      </c>
      <c r="C1815" s="37" t="s">
        <v>260</v>
      </c>
      <c r="D1815" s="37" t="s">
        <v>250</v>
      </c>
      <c r="E1815" s="38">
        <v>280500</v>
      </c>
    </row>
    <row r="1816" spans="1:5" x14ac:dyDescent="0.2">
      <c r="A1816" s="35">
        <v>2021</v>
      </c>
      <c r="B1816" s="36" t="s">
        <v>268</v>
      </c>
      <c r="C1816" s="37" t="s">
        <v>260</v>
      </c>
      <c r="D1816" s="37" t="s">
        <v>267</v>
      </c>
      <c r="E1816" s="38">
        <v>501703</v>
      </c>
    </row>
    <row r="1817" spans="1:5" x14ac:dyDescent="0.2">
      <c r="A1817" s="35">
        <v>2021</v>
      </c>
      <c r="B1817" s="36" t="s">
        <v>268</v>
      </c>
      <c r="C1817" s="37" t="s">
        <v>260</v>
      </c>
      <c r="D1817" s="37" t="s">
        <v>266</v>
      </c>
      <c r="E1817" s="38">
        <v>0</v>
      </c>
    </row>
    <row r="1818" spans="1:5" x14ac:dyDescent="0.2">
      <c r="A1818" s="35">
        <v>2021</v>
      </c>
      <c r="B1818" s="36" t="s">
        <v>268</v>
      </c>
      <c r="C1818" s="37" t="s">
        <v>260</v>
      </c>
      <c r="D1818" s="37" t="s">
        <v>251</v>
      </c>
      <c r="E1818" s="38">
        <v>257718</v>
      </c>
    </row>
    <row r="1819" spans="1:5" x14ac:dyDescent="0.2">
      <c r="A1819" s="35">
        <v>2021</v>
      </c>
      <c r="B1819" s="36" t="s">
        <v>268</v>
      </c>
      <c r="C1819" s="37" t="s">
        <v>260</v>
      </c>
      <c r="D1819" s="37" t="s">
        <v>252</v>
      </c>
      <c r="E1819" s="38">
        <v>7346295</v>
      </c>
    </row>
    <row r="1820" spans="1:5" x14ac:dyDescent="0.2">
      <c r="A1820" s="35">
        <v>2021</v>
      </c>
      <c r="B1820" s="36" t="s">
        <v>268</v>
      </c>
      <c r="C1820" s="37" t="s">
        <v>260</v>
      </c>
      <c r="D1820" s="37" t="s">
        <v>253</v>
      </c>
      <c r="E1820" s="38">
        <v>1208681</v>
      </c>
    </row>
    <row r="1821" spans="1:5" x14ac:dyDescent="0.2">
      <c r="A1821" s="35">
        <v>2021</v>
      </c>
      <c r="B1821" s="36" t="s">
        <v>268</v>
      </c>
      <c r="C1821" s="37" t="s">
        <v>260</v>
      </c>
      <c r="D1821" s="37" t="s">
        <v>254</v>
      </c>
      <c r="E1821" s="38">
        <v>98307</v>
      </c>
    </row>
    <row r="1822" spans="1:5" x14ac:dyDescent="0.2">
      <c r="A1822" s="35">
        <v>2021</v>
      </c>
      <c r="B1822" s="36" t="s">
        <v>268</v>
      </c>
      <c r="C1822" s="37" t="s">
        <v>260</v>
      </c>
      <c r="D1822" s="37" t="s">
        <v>255</v>
      </c>
      <c r="E1822" s="38">
        <v>598406</v>
      </c>
    </row>
    <row r="1823" spans="1:5" x14ac:dyDescent="0.2">
      <c r="A1823" s="35">
        <v>2021</v>
      </c>
      <c r="B1823" s="36" t="s">
        <v>268</v>
      </c>
      <c r="C1823" s="37" t="s">
        <v>260</v>
      </c>
      <c r="D1823" s="37" t="s">
        <v>256</v>
      </c>
      <c r="E1823" s="38">
        <v>2155752</v>
      </c>
    </row>
    <row r="1824" spans="1:5" x14ac:dyDescent="0.2">
      <c r="A1824" s="35">
        <v>2021</v>
      </c>
      <c r="B1824" s="36" t="s">
        <v>268</v>
      </c>
      <c r="C1824" s="37" t="s">
        <v>260</v>
      </c>
      <c r="D1824" s="37" t="s">
        <v>257</v>
      </c>
      <c r="E1824" s="38">
        <v>167787</v>
      </c>
    </row>
    <row r="1825" spans="1:5" x14ac:dyDescent="0.2">
      <c r="A1825" s="35">
        <v>2021</v>
      </c>
      <c r="B1825" s="36" t="s">
        <v>268</v>
      </c>
      <c r="C1825" s="37" t="s">
        <v>260</v>
      </c>
      <c r="D1825" s="37" t="s">
        <v>258</v>
      </c>
      <c r="E1825" s="38">
        <v>152762</v>
      </c>
    </row>
    <row r="1826" spans="1:5" x14ac:dyDescent="0.2">
      <c r="A1826" s="35">
        <v>2021</v>
      </c>
      <c r="B1826" s="36" t="s">
        <v>268</v>
      </c>
      <c r="C1826" s="37" t="s">
        <v>261</v>
      </c>
      <c r="D1826" s="37" t="s">
        <v>230</v>
      </c>
      <c r="E1826" s="38">
        <v>132882729</v>
      </c>
    </row>
    <row r="1827" spans="1:5" x14ac:dyDescent="0.2">
      <c r="A1827" s="35">
        <v>2021</v>
      </c>
      <c r="B1827" s="36" t="s">
        <v>268</v>
      </c>
      <c r="C1827" s="37" t="s">
        <v>261</v>
      </c>
      <c r="D1827" s="37" t="s">
        <v>250</v>
      </c>
      <c r="E1827" s="38">
        <v>10021151</v>
      </c>
    </row>
    <row r="1828" spans="1:5" x14ac:dyDescent="0.2">
      <c r="A1828" s="35">
        <v>2021</v>
      </c>
      <c r="B1828" s="36" t="s">
        <v>268</v>
      </c>
      <c r="C1828" s="37" t="s">
        <v>261</v>
      </c>
      <c r="D1828" s="37" t="s">
        <v>252</v>
      </c>
      <c r="E1828" s="38">
        <v>113081749</v>
      </c>
    </row>
    <row r="1829" spans="1:5" x14ac:dyDescent="0.2">
      <c r="A1829" s="35">
        <v>2021</v>
      </c>
      <c r="B1829" s="36" t="s">
        <v>268</v>
      </c>
      <c r="C1829" s="37" t="s">
        <v>261</v>
      </c>
      <c r="D1829" s="37" t="s">
        <v>265</v>
      </c>
      <c r="E1829" s="38">
        <v>3292429</v>
      </c>
    </row>
    <row r="1830" spans="1:5" x14ac:dyDescent="0.2">
      <c r="A1830" s="35">
        <v>2021</v>
      </c>
      <c r="B1830" s="36" t="s">
        <v>268</v>
      </c>
      <c r="C1830" s="37" t="s">
        <v>261</v>
      </c>
      <c r="D1830" s="37" t="s">
        <v>253</v>
      </c>
      <c r="E1830" s="38">
        <v>770324</v>
      </c>
    </row>
    <row r="1831" spans="1:5" x14ac:dyDescent="0.2">
      <c r="A1831" s="35">
        <v>2021</v>
      </c>
      <c r="B1831" s="36" t="s">
        <v>268</v>
      </c>
      <c r="C1831" s="37" t="s">
        <v>261</v>
      </c>
      <c r="D1831" s="37" t="s">
        <v>254</v>
      </c>
      <c r="E1831" s="38">
        <v>2696334</v>
      </c>
    </row>
    <row r="1832" spans="1:5" x14ac:dyDescent="0.2">
      <c r="A1832" s="35">
        <v>2021</v>
      </c>
      <c r="B1832" s="36" t="s">
        <v>268</v>
      </c>
      <c r="C1832" s="37" t="s">
        <v>261</v>
      </c>
      <c r="D1832" s="37" t="s">
        <v>255</v>
      </c>
      <c r="E1832" s="38">
        <v>7417</v>
      </c>
    </row>
    <row r="1833" spans="1:5" x14ac:dyDescent="0.2">
      <c r="A1833" s="35">
        <v>2021</v>
      </c>
      <c r="B1833" s="36" t="s">
        <v>268</v>
      </c>
      <c r="C1833" s="37" t="s">
        <v>261</v>
      </c>
      <c r="D1833" s="37" t="s">
        <v>256</v>
      </c>
      <c r="E1833" s="38">
        <v>974718</v>
      </c>
    </row>
    <row r="1834" spans="1:5" x14ac:dyDescent="0.2">
      <c r="A1834" s="35">
        <v>2021</v>
      </c>
      <c r="B1834" s="36" t="s">
        <v>268</v>
      </c>
      <c r="C1834" s="37" t="s">
        <v>261</v>
      </c>
      <c r="D1834" s="37" t="s">
        <v>258</v>
      </c>
      <c r="E1834" s="38">
        <v>2038607</v>
      </c>
    </row>
    <row r="1835" spans="1:5" x14ac:dyDescent="0.2">
      <c r="A1835" s="35">
        <v>2021</v>
      </c>
      <c r="B1835" s="36" t="s">
        <v>268</v>
      </c>
      <c r="C1835" s="37" t="s">
        <v>262</v>
      </c>
      <c r="D1835" s="37" t="s">
        <v>230</v>
      </c>
      <c r="E1835" s="38">
        <v>1612655156</v>
      </c>
    </row>
    <row r="1836" spans="1:5" x14ac:dyDescent="0.2">
      <c r="A1836" s="35">
        <v>2021</v>
      </c>
      <c r="B1836" s="36" t="s">
        <v>268</v>
      </c>
      <c r="C1836" s="37" t="s">
        <v>262</v>
      </c>
      <c r="D1836" s="37" t="s">
        <v>250</v>
      </c>
      <c r="E1836" s="38">
        <v>207614508</v>
      </c>
    </row>
    <row r="1837" spans="1:5" x14ac:dyDescent="0.2">
      <c r="A1837" s="35">
        <v>2021</v>
      </c>
      <c r="B1837" s="36" t="s">
        <v>268</v>
      </c>
      <c r="C1837" s="37" t="s">
        <v>262</v>
      </c>
      <c r="D1837" s="37" t="s">
        <v>267</v>
      </c>
      <c r="E1837" s="38">
        <v>14465992</v>
      </c>
    </row>
    <row r="1838" spans="1:5" x14ac:dyDescent="0.2">
      <c r="A1838" s="35">
        <v>2021</v>
      </c>
      <c r="B1838" s="36" t="s">
        <v>268</v>
      </c>
      <c r="C1838" s="37" t="s">
        <v>262</v>
      </c>
      <c r="D1838" s="37" t="s">
        <v>266</v>
      </c>
      <c r="E1838" s="38">
        <v>-1235403</v>
      </c>
    </row>
    <row r="1839" spans="1:5" x14ac:dyDescent="0.2">
      <c r="A1839" s="35">
        <v>2021</v>
      </c>
      <c r="B1839" s="36" t="s">
        <v>268</v>
      </c>
      <c r="C1839" s="37" t="s">
        <v>262</v>
      </c>
      <c r="D1839" s="37" t="s">
        <v>251</v>
      </c>
      <c r="E1839" s="38">
        <v>21702299</v>
      </c>
    </row>
    <row r="1840" spans="1:5" x14ac:dyDescent="0.2">
      <c r="A1840" s="35">
        <v>2021</v>
      </c>
      <c r="B1840" s="36" t="s">
        <v>268</v>
      </c>
      <c r="C1840" s="37" t="s">
        <v>262</v>
      </c>
      <c r="D1840" s="37" t="s">
        <v>252</v>
      </c>
      <c r="E1840" s="38">
        <v>586465050</v>
      </c>
    </row>
    <row r="1841" spans="1:5" x14ac:dyDescent="0.2">
      <c r="A1841" s="35">
        <v>2021</v>
      </c>
      <c r="B1841" s="36" t="s">
        <v>268</v>
      </c>
      <c r="C1841" s="37" t="s">
        <v>262</v>
      </c>
      <c r="D1841" s="37" t="s">
        <v>264</v>
      </c>
      <c r="E1841" s="38">
        <v>348961168</v>
      </c>
    </row>
    <row r="1842" spans="1:5" x14ac:dyDescent="0.2">
      <c r="A1842" s="35">
        <v>2021</v>
      </c>
      <c r="B1842" s="36" t="s">
        <v>268</v>
      </c>
      <c r="C1842" s="37" t="s">
        <v>262</v>
      </c>
      <c r="D1842" s="37" t="s">
        <v>265</v>
      </c>
      <c r="E1842" s="38">
        <v>0</v>
      </c>
    </row>
    <row r="1843" spans="1:5" x14ac:dyDescent="0.2">
      <c r="A1843" s="35">
        <v>2021</v>
      </c>
      <c r="B1843" s="36" t="s">
        <v>268</v>
      </c>
      <c r="C1843" s="37" t="s">
        <v>262</v>
      </c>
      <c r="D1843" s="37" t="s">
        <v>253</v>
      </c>
      <c r="E1843" s="38">
        <v>5678663</v>
      </c>
    </row>
    <row r="1844" spans="1:5" x14ac:dyDescent="0.2">
      <c r="A1844" s="35">
        <v>2021</v>
      </c>
      <c r="B1844" s="36" t="s">
        <v>268</v>
      </c>
      <c r="C1844" s="37" t="s">
        <v>262</v>
      </c>
      <c r="D1844" s="37" t="s">
        <v>254</v>
      </c>
      <c r="E1844" s="38">
        <v>1093719</v>
      </c>
    </row>
    <row r="1845" spans="1:5" x14ac:dyDescent="0.2">
      <c r="A1845" s="35">
        <v>2021</v>
      </c>
      <c r="B1845" s="36" t="s">
        <v>268</v>
      </c>
      <c r="C1845" s="37" t="s">
        <v>262</v>
      </c>
      <c r="D1845" s="37" t="s">
        <v>255</v>
      </c>
      <c r="E1845" s="38">
        <v>100604654</v>
      </c>
    </row>
    <row r="1846" spans="1:5" x14ac:dyDescent="0.2">
      <c r="A1846" s="35">
        <v>2021</v>
      </c>
      <c r="B1846" s="36" t="s">
        <v>268</v>
      </c>
      <c r="C1846" s="37" t="s">
        <v>262</v>
      </c>
      <c r="D1846" s="37" t="s">
        <v>256</v>
      </c>
      <c r="E1846" s="38">
        <v>12662488</v>
      </c>
    </row>
    <row r="1847" spans="1:5" x14ac:dyDescent="0.2">
      <c r="A1847" s="35">
        <v>2021</v>
      </c>
      <c r="B1847" s="36" t="s">
        <v>268</v>
      </c>
      <c r="C1847" s="37" t="s">
        <v>262</v>
      </c>
      <c r="D1847" s="37" t="s">
        <v>257</v>
      </c>
      <c r="E1847" s="38">
        <v>307579444</v>
      </c>
    </row>
    <row r="1848" spans="1:5" x14ac:dyDescent="0.2">
      <c r="A1848" s="35">
        <v>2021</v>
      </c>
      <c r="B1848" s="36" t="s">
        <v>268</v>
      </c>
      <c r="C1848" s="37" t="s">
        <v>262</v>
      </c>
      <c r="D1848" s="37" t="s">
        <v>258</v>
      </c>
      <c r="E1848" s="38">
        <v>7062574</v>
      </c>
    </row>
    <row r="1849" spans="1:5" x14ac:dyDescent="0.2">
      <c r="A1849" s="35">
        <v>2021</v>
      </c>
      <c r="B1849" s="36" t="s">
        <v>268</v>
      </c>
      <c r="C1849" s="37" t="s">
        <v>263</v>
      </c>
      <c r="D1849" s="37" t="s">
        <v>230</v>
      </c>
      <c r="E1849" s="38">
        <v>2211643401</v>
      </c>
    </row>
    <row r="1850" spans="1:5" x14ac:dyDescent="0.2">
      <c r="A1850" s="35">
        <v>2021</v>
      </c>
      <c r="B1850" s="36" t="s">
        <v>268</v>
      </c>
      <c r="C1850" s="37" t="s">
        <v>263</v>
      </c>
      <c r="D1850" s="37" t="s">
        <v>250</v>
      </c>
      <c r="E1850" s="38">
        <v>674804323</v>
      </c>
    </row>
    <row r="1851" spans="1:5" x14ac:dyDescent="0.2">
      <c r="A1851" s="35">
        <v>2021</v>
      </c>
      <c r="B1851" s="36" t="s">
        <v>268</v>
      </c>
      <c r="C1851" s="37" t="s">
        <v>263</v>
      </c>
      <c r="D1851" s="37" t="s">
        <v>267</v>
      </c>
      <c r="E1851" s="38">
        <v>1007432</v>
      </c>
    </row>
    <row r="1852" spans="1:5" x14ac:dyDescent="0.2">
      <c r="A1852" s="35">
        <v>2021</v>
      </c>
      <c r="B1852" s="36" t="s">
        <v>268</v>
      </c>
      <c r="C1852" s="37" t="s">
        <v>263</v>
      </c>
      <c r="D1852" s="37" t="s">
        <v>266</v>
      </c>
      <c r="E1852" s="38">
        <v>-3876281</v>
      </c>
    </row>
    <row r="1853" spans="1:5" x14ac:dyDescent="0.2">
      <c r="A1853" s="35">
        <v>2021</v>
      </c>
      <c r="B1853" s="36" t="s">
        <v>268</v>
      </c>
      <c r="C1853" s="37" t="s">
        <v>263</v>
      </c>
      <c r="D1853" s="37" t="s">
        <v>251</v>
      </c>
      <c r="E1853" s="38">
        <v>228688678</v>
      </c>
    </row>
    <row r="1854" spans="1:5" x14ac:dyDescent="0.2">
      <c r="A1854" s="35">
        <v>2021</v>
      </c>
      <c r="B1854" s="36" t="s">
        <v>268</v>
      </c>
      <c r="C1854" s="37" t="s">
        <v>263</v>
      </c>
      <c r="D1854" s="37" t="s">
        <v>252</v>
      </c>
      <c r="E1854" s="38">
        <v>777056588</v>
      </c>
    </row>
    <row r="1855" spans="1:5" x14ac:dyDescent="0.2">
      <c r="A1855" s="35">
        <v>2021</v>
      </c>
      <c r="B1855" s="36" t="s">
        <v>268</v>
      </c>
      <c r="C1855" s="37" t="s">
        <v>263</v>
      </c>
      <c r="D1855" s="37" t="s">
        <v>264</v>
      </c>
      <c r="E1855" s="38">
        <v>430683427</v>
      </c>
    </row>
    <row r="1856" spans="1:5" x14ac:dyDescent="0.2">
      <c r="A1856" s="35">
        <v>2021</v>
      </c>
      <c r="B1856" s="36" t="s">
        <v>268</v>
      </c>
      <c r="C1856" s="37" t="s">
        <v>263</v>
      </c>
      <c r="D1856" s="37" t="s">
        <v>265</v>
      </c>
      <c r="E1856" s="38">
        <v>11678</v>
      </c>
    </row>
    <row r="1857" spans="1:5" x14ac:dyDescent="0.2">
      <c r="A1857" s="35">
        <v>2021</v>
      </c>
      <c r="B1857" s="36" t="s">
        <v>268</v>
      </c>
      <c r="C1857" s="37" t="s">
        <v>263</v>
      </c>
      <c r="D1857" s="37" t="s">
        <v>253</v>
      </c>
      <c r="E1857" s="38">
        <v>507600</v>
      </c>
    </row>
    <row r="1858" spans="1:5" x14ac:dyDescent="0.2">
      <c r="A1858" s="35">
        <v>2021</v>
      </c>
      <c r="B1858" s="36" t="s">
        <v>268</v>
      </c>
      <c r="C1858" s="37" t="s">
        <v>263</v>
      </c>
      <c r="D1858" s="37" t="s">
        <v>254</v>
      </c>
      <c r="E1858" s="38">
        <v>14518305</v>
      </c>
    </row>
    <row r="1859" spans="1:5" x14ac:dyDescent="0.2">
      <c r="A1859" s="35">
        <v>2021</v>
      </c>
      <c r="B1859" s="36" t="s">
        <v>268</v>
      </c>
      <c r="C1859" s="37" t="s">
        <v>263</v>
      </c>
      <c r="D1859" s="37" t="s">
        <v>255</v>
      </c>
      <c r="E1859" s="38">
        <v>13911229</v>
      </c>
    </row>
    <row r="1860" spans="1:5" x14ac:dyDescent="0.2">
      <c r="A1860" s="35">
        <v>2021</v>
      </c>
      <c r="B1860" s="36" t="s">
        <v>268</v>
      </c>
      <c r="C1860" s="37" t="s">
        <v>263</v>
      </c>
      <c r="D1860" s="37" t="s">
        <v>256</v>
      </c>
      <c r="E1860" s="38">
        <v>1196989</v>
      </c>
    </row>
    <row r="1861" spans="1:5" x14ac:dyDescent="0.2">
      <c r="A1861" s="35">
        <v>2021</v>
      </c>
      <c r="B1861" s="36" t="s">
        <v>268</v>
      </c>
      <c r="C1861" s="37" t="s">
        <v>263</v>
      </c>
      <c r="D1861" s="37" t="s">
        <v>257</v>
      </c>
      <c r="E1861" s="38">
        <v>70337883</v>
      </c>
    </row>
    <row r="1862" spans="1:5" x14ac:dyDescent="0.2">
      <c r="A1862" s="35">
        <v>2021</v>
      </c>
      <c r="B1862" s="36" t="s">
        <v>268</v>
      </c>
      <c r="C1862" s="37" t="s">
        <v>263</v>
      </c>
      <c r="D1862" s="37" t="s">
        <v>258</v>
      </c>
      <c r="E1862" s="38">
        <v>2795549</v>
      </c>
    </row>
    <row r="1863" spans="1:5" x14ac:dyDescent="0.2">
      <c r="A1863" s="35">
        <v>2021</v>
      </c>
      <c r="B1863" s="36" t="s">
        <v>117</v>
      </c>
      <c r="C1863" s="37" t="s">
        <v>249</v>
      </c>
      <c r="D1863" s="37" t="s">
        <v>230</v>
      </c>
      <c r="E1863" s="38">
        <v>42565645</v>
      </c>
    </row>
    <row r="1864" spans="1:5" x14ac:dyDescent="0.2">
      <c r="A1864" s="35">
        <v>2021</v>
      </c>
      <c r="B1864" s="36" t="s">
        <v>117</v>
      </c>
      <c r="C1864" s="37" t="s">
        <v>249</v>
      </c>
      <c r="D1864" s="37" t="s">
        <v>250</v>
      </c>
      <c r="E1864" s="38">
        <v>26375565</v>
      </c>
    </row>
    <row r="1865" spans="1:5" x14ac:dyDescent="0.2">
      <c r="A1865" s="35">
        <v>2021</v>
      </c>
      <c r="B1865" s="36" t="s">
        <v>117</v>
      </c>
      <c r="C1865" s="37" t="s">
        <v>249</v>
      </c>
      <c r="D1865" s="37" t="s">
        <v>267</v>
      </c>
      <c r="E1865" s="38">
        <v>419662</v>
      </c>
    </row>
    <row r="1866" spans="1:5" x14ac:dyDescent="0.2">
      <c r="A1866" s="35">
        <v>2021</v>
      </c>
      <c r="B1866" s="36" t="s">
        <v>117</v>
      </c>
      <c r="C1866" s="37" t="s">
        <v>249</v>
      </c>
      <c r="D1866" s="37" t="s">
        <v>251</v>
      </c>
      <c r="E1866" s="38">
        <v>493542</v>
      </c>
    </row>
    <row r="1867" spans="1:5" x14ac:dyDescent="0.2">
      <c r="A1867" s="35">
        <v>2021</v>
      </c>
      <c r="B1867" s="36" t="s">
        <v>117</v>
      </c>
      <c r="C1867" s="37" t="s">
        <v>249</v>
      </c>
      <c r="D1867" s="37" t="s">
        <v>252</v>
      </c>
      <c r="E1867" s="38">
        <v>10686336</v>
      </c>
    </row>
    <row r="1868" spans="1:5" x14ac:dyDescent="0.2">
      <c r="A1868" s="35">
        <v>2021</v>
      </c>
      <c r="B1868" s="36" t="s">
        <v>117</v>
      </c>
      <c r="C1868" s="37" t="s">
        <v>249</v>
      </c>
      <c r="D1868" s="37" t="s">
        <v>265</v>
      </c>
      <c r="E1868" s="38">
        <v>5272</v>
      </c>
    </row>
    <row r="1869" spans="1:5" x14ac:dyDescent="0.2">
      <c r="A1869" s="35">
        <v>2021</v>
      </c>
      <c r="B1869" s="36" t="s">
        <v>117</v>
      </c>
      <c r="C1869" s="37" t="s">
        <v>249</v>
      </c>
      <c r="D1869" s="37" t="s">
        <v>253</v>
      </c>
      <c r="E1869" s="38">
        <v>161821</v>
      </c>
    </row>
    <row r="1870" spans="1:5" x14ac:dyDescent="0.2">
      <c r="A1870" s="35">
        <v>2021</v>
      </c>
      <c r="B1870" s="36" t="s">
        <v>117</v>
      </c>
      <c r="C1870" s="37" t="s">
        <v>249</v>
      </c>
      <c r="D1870" s="37" t="s">
        <v>254</v>
      </c>
      <c r="E1870" s="38">
        <v>38114</v>
      </c>
    </row>
    <row r="1871" spans="1:5" x14ac:dyDescent="0.2">
      <c r="A1871" s="35">
        <v>2021</v>
      </c>
      <c r="B1871" s="36" t="s">
        <v>117</v>
      </c>
      <c r="C1871" s="37" t="s">
        <v>249</v>
      </c>
      <c r="D1871" s="37" t="s">
        <v>255</v>
      </c>
      <c r="E1871" s="38">
        <v>3479353</v>
      </c>
    </row>
    <row r="1872" spans="1:5" x14ac:dyDescent="0.2">
      <c r="A1872" s="35">
        <v>2021</v>
      </c>
      <c r="B1872" s="36" t="s">
        <v>117</v>
      </c>
      <c r="C1872" s="37" t="s">
        <v>249</v>
      </c>
      <c r="D1872" s="37" t="s">
        <v>256</v>
      </c>
      <c r="E1872" s="38">
        <v>80752</v>
      </c>
    </row>
    <row r="1873" spans="1:5" x14ac:dyDescent="0.2">
      <c r="A1873" s="35">
        <v>2021</v>
      </c>
      <c r="B1873" s="36" t="s">
        <v>117</v>
      </c>
      <c r="C1873" s="37" t="s">
        <v>249</v>
      </c>
      <c r="D1873" s="37" t="s">
        <v>257</v>
      </c>
      <c r="E1873" s="38">
        <v>825229</v>
      </c>
    </row>
    <row r="1874" spans="1:5" x14ac:dyDescent="0.2">
      <c r="A1874" s="35">
        <v>2021</v>
      </c>
      <c r="B1874" s="36" t="s">
        <v>117</v>
      </c>
      <c r="C1874" s="37" t="s">
        <v>259</v>
      </c>
      <c r="D1874" s="37" t="s">
        <v>230</v>
      </c>
      <c r="E1874" s="38">
        <v>416950</v>
      </c>
    </row>
    <row r="1875" spans="1:5" x14ac:dyDescent="0.2">
      <c r="A1875" s="35">
        <v>2021</v>
      </c>
      <c r="B1875" s="36" t="s">
        <v>117</v>
      </c>
      <c r="C1875" s="37" t="s">
        <v>259</v>
      </c>
      <c r="D1875" s="37" t="s">
        <v>250</v>
      </c>
      <c r="E1875" s="38">
        <v>0</v>
      </c>
    </row>
    <row r="1876" spans="1:5" x14ac:dyDescent="0.2">
      <c r="A1876" s="35">
        <v>2021</v>
      </c>
      <c r="B1876" s="36" t="s">
        <v>117</v>
      </c>
      <c r="C1876" s="37" t="s">
        <v>259</v>
      </c>
      <c r="D1876" s="37" t="s">
        <v>252</v>
      </c>
      <c r="E1876" s="38">
        <v>281572</v>
      </c>
    </row>
    <row r="1877" spans="1:5" x14ac:dyDescent="0.2">
      <c r="A1877" s="35">
        <v>2021</v>
      </c>
      <c r="B1877" s="36" t="s">
        <v>117</v>
      </c>
      <c r="C1877" s="37" t="s">
        <v>259</v>
      </c>
      <c r="D1877" s="37" t="s">
        <v>265</v>
      </c>
      <c r="E1877" s="38">
        <v>5272</v>
      </c>
    </row>
    <row r="1878" spans="1:5" x14ac:dyDescent="0.2">
      <c r="A1878" s="35">
        <v>2021</v>
      </c>
      <c r="B1878" s="36" t="s">
        <v>117</v>
      </c>
      <c r="C1878" s="37" t="s">
        <v>259</v>
      </c>
      <c r="D1878" s="37" t="s">
        <v>253</v>
      </c>
      <c r="E1878" s="38">
        <v>130106</v>
      </c>
    </row>
    <row r="1879" spans="1:5" x14ac:dyDescent="0.2">
      <c r="A1879" s="35">
        <v>2021</v>
      </c>
      <c r="B1879" s="36" t="s">
        <v>117</v>
      </c>
      <c r="C1879" s="37" t="s">
        <v>259</v>
      </c>
      <c r="D1879" s="37" t="s">
        <v>254</v>
      </c>
      <c r="E1879" s="38">
        <v>0</v>
      </c>
    </row>
    <row r="1880" spans="1:5" x14ac:dyDescent="0.2">
      <c r="A1880" s="35">
        <v>2021</v>
      </c>
      <c r="B1880" s="36" t="s">
        <v>117</v>
      </c>
      <c r="C1880" s="37" t="s">
        <v>260</v>
      </c>
      <c r="D1880" s="37" t="s">
        <v>230</v>
      </c>
      <c r="E1880" s="38">
        <v>113792</v>
      </c>
    </row>
    <row r="1881" spans="1:5" x14ac:dyDescent="0.2">
      <c r="A1881" s="35">
        <v>2021</v>
      </c>
      <c r="B1881" s="36" t="s">
        <v>117</v>
      </c>
      <c r="C1881" s="37" t="s">
        <v>260</v>
      </c>
      <c r="D1881" s="37" t="s">
        <v>251</v>
      </c>
      <c r="E1881" s="38">
        <v>34650</v>
      </c>
    </row>
    <row r="1882" spans="1:5" x14ac:dyDescent="0.2">
      <c r="A1882" s="35">
        <v>2021</v>
      </c>
      <c r="B1882" s="36" t="s">
        <v>117</v>
      </c>
      <c r="C1882" s="37" t="s">
        <v>260</v>
      </c>
      <c r="D1882" s="37" t="s">
        <v>252</v>
      </c>
      <c r="E1882" s="38">
        <v>64672</v>
      </c>
    </row>
    <row r="1883" spans="1:5" x14ac:dyDescent="0.2">
      <c r="A1883" s="35">
        <v>2021</v>
      </c>
      <c r="B1883" s="36" t="s">
        <v>117</v>
      </c>
      <c r="C1883" s="37" t="s">
        <v>260</v>
      </c>
      <c r="D1883" s="37" t="s">
        <v>254</v>
      </c>
      <c r="E1883" s="38">
        <v>0</v>
      </c>
    </row>
    <row r="1884" spans="1:5" x14ac:dyDescent="0.2">
      <c r="A1884" s="35">
        <v>2021</v>
      </c>
      <c r="B1884" s="36" t="s">
        <v>117</v>
      </c>
      <c r="C1884" s="37" t="s">
        <v>260</v>
      </c>
      <c r="D1884" s="37" t="s">
        <v>256</v>
      </c>
      <c r="E1884" s="38">
        <v>14470</v>
      </c>
    </row>
    <row r="1885" spans="1:5" x14ac:dyDescent="0.2">
      <c r="A1885" s="35">
        <v>2021</v>
      </c>
      <c r="B1885" s="36" t="s">
        <v>117</v>
      </c>
      <c r="C1885" s="37" t="s">
        <v>261</v>
      </c>
      <c r="D1885" s="37" t="s">
        <v>230</v>
      </c>
      <c r="E1885" s="38">
        <v>115199</v>
      </c>
    </row>
    <row r="1886" spans="1:5" x14ac:dyDescent="0.2">
      <c r="A1886" s="35">
        <v>2021</v>
      </c>
      <c r="B1886" s="36" t="s">
        <v>117</v>
      </c>
      <c r="C1886" s="37" t="s">
        <v>261</v>
      </c>
      <c r="D1886" s="37" t="s">
        <v>252</v>
      </c>
      <c r="E1886" s="38">
        <v>115199</v>
      </c>
    </row>
    <row r="1887" spans="1:5" x14ac:dyDescent="0.2">
      <c r="A1887" s="35">
        <v>2021</v>
      </c>
      <c r="B1887" s="36" t="s">
        <v>117</v>
      </c>
      <c r="C1887" s="37" t="s">
        <v>262</v>
      </c>
      <c r="D1887" s="37" t="s">
        <v>230</v>
      </c>
      <c r="E1887" s="38">
        <v>4988996</v>
      </c>
    </row>
    <row r="1888" spans="1:5" x14ac:dyDescent="0.2">
      <c r="A1888" s="35">
        <v>2021</v>
      </c>
      <c r="B1888" s="36" t="s">
        <v>117</v>
      </c>
      <c r="C1888" s="37" t="s">
        <v>262</v>
      </c>
      <c r="D1888" s="37" t="s">
        <v>250</v>
      </c>
      <c r="E1888" s="38">
        <v>399316</v>
      </c>
    </row>
    <row r="1889" spans="1:5" x14ac:dyDescent="0.2">
      <c r="A1889" s="35">
        <v>2021</v>
      </c>
      <c r="B1889" s="36" t="s">
        <v>117</v>
      </c>
      <c r="C1889" s="37" t="s">
        <v>262</v>
      </c>
      <c r="D1889" s="37" t="s">
        <v>267</v>
      </c>
      <c r="E1889" s="38">
        <v>208436</v>
      </c>
    </row>
    <row r="1890" spans="1:5" x14ac:dyDescent="0.2">
      <c r="A1890" s="35">
        <v>2021</v>
      </c>
      <c r="B1890" s="36" t="s">
        <v>117</v>
      </c>
      <c r="C1890" s="37" t="s">
        <v>262</v>
      </c>
      <c r="D1890" s="37" t="s">
        <v>251</v>
      </c>
      <c r="E1890" s="38">
        <v>8798</v>
      </c>
    </row>
    <row r="1891" spans="1:5" x14ac:dyDescent="0.2">
      <c r="A1891" s="35">
        <v>2021</v>
      </c>
      <c r="B1891" s="36" t="s">
        <v>117</v>
      </c>
      <c r="C1891" s="37" t="s">
        <v>262</v>
      </c>
      <c r="D1891" s="37" t="s">
        <v>254</v>
      </c>
      <c r="E1891" s="38">
        <v>1582</v>
      </c>
    </row>
    <row r="1892" spans="1:5" x14ac:dyDescent="0.2">
      <c r="A1892" s="35">
        <v>2021</v>
      </c>
      <c r="B1892" s="36" t="s">
        <v>117</v>
      </c>
      <c r="C1892" s="37" t="s">
        <v>262</v>
      </c>
      <c r="D1892" s="37" t="s">
        <v>255</v>
      </c>
      <c r="E1892" s="38">
        <v>3479353</v>
      </c>
    </row>
    <row r="1893" spans="1:5" x14ac:dyDescent="0.2">
      <c r="A1893" s="35">
        <v>2021</v>
      </c>
      <c r="B1893" s="36" t="s">
        <v>117</v>
      </c>
      <c r="C1893" s="37" t="s">
        <v>262</v>
      </c>
      <c r="D1893" s="37" t="s">
        <v>256</v>
      </c>
      <c r="E1893" s="38">
        <v>66282</v>
      </c>
    </row>
    <row r="1894" spans="1:5" x14ac:dyDescent="0.2">
      <c r="A1894" s="35">
        <v>2021</v>
      </c>
      <c r="B1894" s="36" t="s">
        <v>117</v>
      </c>
      <c r="C1894" s="37" t="s">
        <v>262</v>
      </c>
      <c r="D1894" s="37" t="s">
        <v>257</v>
      </c>
      <c r="E1894" s="38">
        <v>825229</v>
      </c>
    </row>
    <row r="1895" spans="1:5" x14ac:dyDescent="0.2">
      <c r="A1895" s="35">
        <v>2021</v>
      </c>
      <c r="B1895" s="36" t="s">
        <v>117</v>
      </c>
      <c r="C1895" s="37" t="s">
        <v>263</v>
      </c>
      <c r="D1895" s="37" t="s">
        <v>230</v>
      </c>
      <c r="E1895" s="38">
        <v>36930708</v>
      </c>
    </row>
    <row r="1896" spans="1:5" x14ac:dyDescent="0.2">
      <c r="A1896" s="35">
        <v>2021</v>
      </c>
      <c r="B1896" s="36" t="s">
        <v>117</v>
      </c>
      <c r="C1896" s="37" t="s">
        <v>263</v>
      </c>
      <c r="D1896" s="37" t="s">
        <v>250</v>
      </c>
      <c r="E1896" s="38">
        <v>25976248</v>
      </c>
    </row>
    <row r="1897" spans="1:5" x14ac:dyDescent="0.2">
      <c r="A1897" s="35">
        <v>2021</v>
      </c>
      <c r="B1897" s="36" t="s">
        <v>117</v>
      </c>
      <c r="C1897" s="37" t="s">
        <v>263</v>
      </c>
      <c r="D1897" s="37" t="s">
        <v>267</v>
      </c>
      <c r="E1897" s="38">
        <v>211226</v>
      </c>
    </row>
    <row r="1898" spans="1:5" x14ac:dyDescent="0.2">
      <c r="A1898" s="35">
        <v>2021</v>
      </c>
      <c r="B1898" s="36" t="s">
        <v>117</v>
      </c>
      <c r="C1898" s="37" t="s">
        <v>263</v>
      </c>
      <c r="D1898" s="37" t="s">
        <v>251</v>
      </c>
      <c r="E1898" s="38">
        <v>450094</v>
      </c>
    </row>
    <row r="1899" spans="1:5" x14ac:dyDescent="0.2">
      <c r="A1899" s="35">
        <v>2021</v>
      </c>
      <c r="B1899" s="36" t="s">
        <v>117</v>
      </c>
      <c r="C1899" s="37" t="s">
        <v>263</v>
      </c>
      <c r="D1899" s="37" t="s">
        <v>252</v>
      </c>
      <c r="E1899" s="38">
        <v>10224893</v>
      </c>
    </row>
    <row r="1900" spans="1:5" x14ac:dyDescent="0.2">
      <c r="A1900" s="35">
        <v>2021</v>
      </c>
      <c r="B1900" s="36" t="s">
        <v>117</v>
      </c>
      <c r="C1900" s="37" t="s">
        <v>263</v>
      </c>
      <c r="D1900" s="37" t="s">
        <v>253</v>
      </c>
      <c r="E1900" s="38">
        <v>31715</v>
      </c>
    </row>
    <row r="1901" spans="1:5" x14ac:dyDescent="0.2">
      <c r="A1901" s="35">
        <v>2021</v>
      </c>
      <c r="B1901" s="36" t="s">
        <v>117</v>
      </c>
      <c r="C1901" s="37" t="s">
        <v>263</v>
      </c>
      <c r="D1901" s="37" t="s">
        <v>254</v>
      </c>
      <c r="E1901" s="38">
        <v>36532</v>
      </c>
    </row>
    <row r="1902" spans="1:5" x14ac:dyDescent="0.2">
      <c r="A1902" s="35">
        <v>2021</v>
      </c>
      <c r="B1902" s="36" t="s">
        <v>123</v>
      </c>
      <c r="C1902" s="37" t="s">
        <v>249</v>
      </c>
      <c r="D1902" s="37" t="s">
        <v>230</v>
      </c>
      <c r="E1902" s="38">
        <v>93478182</v>
      </c>
    </row>
    <row r="1903" spans="1:5" x14ac:dyDescent="0.2">
      <c r="A1903" s="35">
        <v>2021</v>
      </c>
      <c r="B1903" s="36" t="s">
        <v>123</v>
      </c>
      <c r="C1903" s="37" t="s">
        <v>249</v>
      </c>
      <c r="D1903" s="37" t="s">
        <v>250</v>
      </c>
      <c r="E1903" s="38">
        <v>3248473</v>
      </c>
    </row>
    <row r="1904" spans="1:5" x14ac:dyDescent="0.2">
      <c r="A1904" s="35">
        <v>2021</v>
      </c>
      <c r="B1904" s="36" t="s">
        <v>123</v>
      </c>
      <c r="C1904" s="37" t="s">
        <v>249</v>
      </c>
      <c r="D1904" s="37" t="s">
        <v>266</v>
      </c>
      <c r="E1904" s="38">
        <v>-1038703</v>
      </c>
    </row>
    <row r="1905" spans="1:5" x14ac:dyDescent="0.2">
      <c r="A1905" s="35">
        <v>2021</v>
      </c>
      <c r="B1905" s="36" t="s">
        <v>123</v>
      </c>
      <c r="C1905" s="37" t="s">
        <v>249</v>
      </c>
      <c r="D1905" s="37" t="s">
        <v>251</v>
      </c>
      <c r="E1905" s="38">
        <v>1305725</v>
      </c>
    </row>
    <row r="1906" spans="1:5" x14ac:dyDescent="0.2">
      <c r="A1906" s="35">
        <v>2021</v>
      </c>
      <c r="B1906" s="36" t="s">
        <v>123</v>
      </c>
      <c r="C1906" s="37" t="s">
        <v>249</v>
      </c>
      <c r="D1906" s="37" t="s">
        <v>252</v>
      </c>
      <c r="E1906" s="38">
        <v>53611274</v>
      </c>
    </row>
    <row r="1907" spans="1:5" x14ac:dyDescent="0.2">
      <c r="A1907" s="35">
        <v>2021</v>
      </c>
      <c r="B1907" s="36" t="s">
        <v>123</v>
      </c>
      <c r="C1907" s="37" t="s">
        <v>249</v>
      </c>
      <c r="D1907" s="37" t="s">
        <v>264</v>
      </c>
      <c r="E1907" s="38">
        <v>28571516</v>
      </c>
    </row>
    <row r="1908" spans="1:5" x14ac:dyDescent="0.2">
      <c r="A1908" s="35">
        <v>2021</v>
      </c>
      <c r="B1908" s="36" t="s">
        <v>123</v>
      </c>
      <c r="C1908" s="37" t="s">
        <v>249</v>
      </c>
      <c r="D1908" s="37" t="s">
        <v>253</v>
      </c>
      <c r="E1908" s="38">
        <v>527592</v>
      </c>
    </row>
    <row r="1909" spans="1:5" x14ac:dyDescent="0.2">
      <c r="A1909" s="35">
        <v>2021</v>
      </c>
      <c r="B1909" s="36" t="s">
        <v>123</v>
      </c>
      <c r="C1909" s="37" t="s">
        <v>249</v>
      </c>
      <c r="D1909" s="37" t="s">
        <v>254</v>
      </c>
      <c r="E1909" s="38">
        <v>340785</v>
      </c>
    </row>
    <row r="1910" spans="1:5" x14ac:dyDescent="0.2">
      <c r="A1910" s="35">
        <v>2021</v>
      </c>
      <c r="B1910" s="36" t="s">
        <v>123</v>
      </c>
      <c r="C1910" s="37" t="s">
        <v>249</v>
      </c>
      <c r="D1910" s="37" t="s">
        <v>255</v>
      </c>
      <c r="E1910" s="38">
        <v>3267494</v>
      </c>
    </row>
    <row r="1911" spans="1:5" x14ac:dyDescent="0.2">
      <c r="A1911" s="35">
        <v>2021</v>
      </c>
      <c r="B1911" s="36" t="s">
        <v>123</v>
      </c>
      <c r="C1911" s="37" t="s">
        <v>249</v>
      </c>
      <c r="D1911" s="37" t="s">
        <v>256</v>
      </c>
      <c r="E1911" s="38">
        <v>987499</v>
      </c>
    </row>
    <row r="1912" spans="1:5" x14ac:dyDescent="0.2">
      <c r="A1912" s="35">
        <v>2021</v>
      </c>
      <c r="B1912" s="36" t="s">
        <v>123</v>
      </c>
      <c r="C1912" s="37" t="s">
        <v>249</v>
      </c>
      <c r="D1912" s="37" t="s">
        <v>257</v>
      </c>
      <c r="E1912" s="38">
        <v>49583</v>
      </c>
    </row>
    <row r="1913" spans="1:5" x14ac:dyDescent="0.2">
      <c r="A1913" s="35">
        <v>2021</v>
      </c>
      <c r="B1913" s="36" t="s">
        <v>123</v>
      </c>
      <c r="C1913" s="37" t="s">
        <v>249</v>
      </c>
      <c r="D1913" s="37" t="s">
        <v>258</v>
      </c>
      <c r="E1913" s="38">
        <v>2606944</v>
      </c>
    </row>
    <row r="1914" spans="1:5" x14ac:dyDescent="0.2">
      <c r="A1914" s="35">
        <v>2021</v>
      </c>
      <c r="B1914" s="36" t="s">
        <v>123</v>
      </c>
      <c r="C1914" s="37" t="s">
        <v>259</v>
      </c>
      <c r="D1914" s="37" t="s">
        <v>230</v>
      </c>
      <c r="E1914" s="38">
        <v>2315942</v>
      </c>
    </row>
    <row r="1915" spans="1:5" x14ac:dyDescent="0.2">
      <c r="A1915" s="35">
        <v>2021</v>
      </c>
      <c r="B1915" s="36" t="s">
        <v>123</v>
      </c>
      <c r="C1915" s="37" t="s">
        <v>259</v>
      </c>
      <c r="D1915" s="37" t="s">
        <v>250</v>
      </c>
      <c r="E1915" s="38">
        <v>135803</v>
      </c>
    </row>
    <row r="1916" spans="1:5" x14ac:dyDescent="0.2">
      <c r="A1916" s="35">
        <v>2021</v>
      </c>
      <c r="B1916" s="36" t="s">
        <v>123</v>
      </c>
      <c r="C1916" s="37" t="s">
        <v>259</v>
      </c>
      <c r="D1916" s="37" t="s">
        <v>251</v>
      </c>
      <c r="E1916" s="38">
        <v>326</v>
      </c>
    </row>
    <row r="1917" spans="1:5" x14ac:dyDescent="0.2">
      <c r="A1917" s="35">
        <v>2021</v>
      </c>
      <c r="B1917" s="36" t="s">
        <v>123</v>
      </c>
      <c r="C1917" s="37" t="s">
        <v>259</v>
      </c>
      <c r="D1917" s="37" t="s">
        <v>252</v>
      </c>
      <c r="E1917" s="38">
        <v>823014</v>
      </c>
    </row>
    <row r="1918" spans="1:5" x14ac:dyDescent="0.2">
      <c r="A1918" s="35">
        <v>2021</v>
      </c>
      <c r="B1918" s="36" t="s">
        <v>123</v>
      </c>
      <c r="C1918" s="37" t="s">
        <v>259</v>
      </c>
      <c r="D1918" s="37" t="s">
        <v>254</v>
      </c>
      <c r="E1918" s="38">
        <v>3725</v>
      </c>
    </row>
    <row r="1919" spans="1:5" x14ac:dyDescent="0.2">
      <c r="A1919" s="35">
        <v>2021</v>
      </c>
      <c r="B1919" s="36" t="s">
        <v>123</v>
      </c>
      <c r="C1919" s="37" t="s">
        <v>259</v>
      </c>
      <c r="D1919" s="37" t="s">
        <v>256</v>
      </c>
      <c r="E1919" s="38">
        <v>17145</v>
      </c>
    </row>
    <row r="1920" spans="1:5" x14ac:dyDescent="0.2">
      <c r="A1920" s="35">
        <v>2021</v>
      </c>
      <c r="B1920" s="36" t="s">
        <v>123</v>
      </c>
      <c r="C1920" s="37" t="s">
        <v>259</v>
      </c>
      <c r="D1920" s="37" t="s">
        <v>258</v>
      </c>
      <c r="E1920" s="38">
        <v>1335929</v>
      </c>
    </row>
    <row r="1921" spans="1:5" x14ac:dyDescent="0.2">
      <c r="A1921" s="35">
        <v>2021</v>
      </c>
      <c r="B1921" s="36" t="s">
        <v>123</v>
      </c>
      <c r="C1921" s="37" t="s">
        <v>260</v>
      </c>
      <c r="D1921" s="37" t="s">
        <v>230</v>
      </c>
      <c r="E1921" s="38">
        <v>328390</v>
      </c>
    </row>
    <row r="1922" spans="1:5" x14ac:dyDescent="0.2">
      <c r="A1922" s="35">
        <v>2021</v>
      </c>
      <c r="B1922" s="36" t="s">
        <v>123</v>
      </c>
      <c r="C1922" s="37" t="s">
        <v>260</v>
      </c>
      <c r="D1922" s="37" t="s">
        <v>250</v>
      </c>
      <c r="E1922" s="38">
        <v>0</v>
      </c>
    </row>
    <row r="1923" spans="1:5" x14ac:dyDescent="0.2">
      <c r="A1923" s="35">
        <v>2021</v>
      </c>
      <c r="B1923" s="36" t="s">
        <v>123</v>
      </c>
      <c r="C1923" s="37" t="s">
        <v>260</v>
      </c>
      <c r="D1923" s="37" t="s">
        <v>252</v>
      </c>
      <c r="E1923" s="38">
        <v>-4324</v>
      </c>
    </row>
    <row r="1924" spans="1:5" x14ac:dyDescent="0.2">
      <c r="A1924" s="35">
        <v>2021</v>
      </c>
      <c r="B1924" s="36" t="s">
        <v>123</v>
      </c>
      <c r="C1924" s="37" t="s">
        <v>260</v>
      </c>
      <c r="D1924" s="37" t="s">
        <v>253</v>
      </c>
      <c r="E1924" s="38">
        <v>148991</v>
      </c>
    </row>
    <row r="1925" spans="1:5" x14ac:dyDescent="0.2">
      <c r="A1925" s="35">
        <v>2021</v>
      </c>
      <c r="B1925" s="36" t="s">
        <v>123</v>
      </c>
      <c r="C1925" s="37" t="s">
        <v>260</v>
      </c>
      <c r="D1925" s="37" t="s">
        <v>254</v>
      </c>
      <c r="E1925" s="38">
        <v>48473</v>
      </c>
    </row>
    <row r="1926" spans="1:5" x14ac:dyDescent="0.2">
      <c r="A1926" s="35">
        <v>2021</v>
      </c>
      <c r="B1926" s="36" t="s">
        <v>123</v>
      </c>
      <c r="C1926" s="37" t="s">
        <v>260</v>
      </c>
      <c r="D1926" s="37" t="s">
        <v>255</v>
      </c>
      <c r="E1926" s="38">
        <v>1673</v>
      </c>
    </row>
    <row r="1927" spans="1:5" x14ac:dyDescent="0.2">
      <c r="A1927" s="35">
        <v>2021</v>
      </c>
      <c r="B1927" s="36" t="s">
        <v>123</v>
      </c>
      <c r="C1927" s="37" t="s">
        <v>260</v>
      </c>
      <c r="D1927" s="37" t="s">
        <v>256</v>
      </c>
      <c r="E1927" s="38">
        <v>133577</v>
      </c>
    </row>
    <row r="1928" spans="1:5" x14ac:dyDescent="0.2">
      <c r="A1928" s="35">
        <v>2021</v>
      </c>
      <c r="B1928" s="36" t="s">
        <v>123</v>
      </c>
      <c r="C1928" s="37" t="s">
        <v>260</v>
      </c>
      <c r="D1928" s="37" t="s">
        <v>258</v>
      </c>
      <c r="E1928" s="38">
        <v>0</v>
      </c>
    </row>
    <row r="1929" spans="1:5" x14ac:dyDescent="0.2">
      <c r="A1929" s="35">
        <v>2021</v>
      </c>
      <c r="B1929" s="36" t="s">
        <v>123</v>
      </c>
      <c r="C1929" s="37" t="s">
        <v>261</v>
      </c>
      <c r="D1929" s="37" t="s">
        <v>230</v>
      </c>
      <c r="E1929" s="38">
        <v>1012106</v>
      </c>
    </row>
    <row r="1930" spans="1:5" x14ac:dyDescent="0.2">
      <c r="A1930" s="35">
        <v>2021</v>
      </c>
      <c r="B1930" s="36" t="s">
        <v>123</v>
      </c>
      <c r="C1930" s="37" t="s">
        <v>261</v>
      </c>
      <c r="D1930" s="37" t="s">
        <v>250</v>
      </c>
      <c r="E1930" s="38">
        <v>0</v>
      </c>
    </row>
    <row r="1931" spans="1:5" x14ac:dyDescent="0.2">
      <c r="A1931" s="35">
        <v>2021</v>
      </c>
      <c r="B1931" s="36" t="s">
        <v>123</v>
      </c>
      <c r="C1931" s="37" t="s">
        <v>261</v>
      </c>
      <c r="D1931" s="37" t="s">
        <v>252</v>
      </c>
      <c r="E1931" s="38">
        <v>1008509</v>
      </c>
    </row>
    <row r="1932" spans="1:5" x14ac:dyDescent="0.2">
      <c r="A1932" s="35">
        <v>2021</v>
      </c>
      <c r="B1932" s="36" t="s">
        <v>123</v>
      </c>
      <c r="C1932" s="37" t="s">
        <v>261</v>
      </c>
      <c r="D1932" s="37" t="s">
        <v>254</v>
      </c>
      <c r="E1932" s="38">
        <v>3597</v>
      </c>
    </row>
    <row r="1933" spans="1:5" x14ac:dyDescent="0.2">
      <c r="A1933" s="35">
        <v>2021</v>
      </c>
      <c r="B1933" s="36" t="s">
        <v>123</v>
      </c>
      <c r="C1933" s="37" t="s">
        <v>262</v>
      </c>
      <c r="D1933" s="37" t="s">
        <v>230</v>
      </c>
      <c r="E1933" s="38">
        <v>17372680</v>
      </c>
    </row>
    <row r="1934" spans="1:5" x14ac:dyDescent="0.2">
      <c r="A1934" s="35">
        <v>2021</v>
      </c>
      <c r="B1934" s="36" t="s">
        <v>123</v>
      </c>
      <c r="C1934" s="37" t="s">
        <v>262</v>
      </c>
      <c r="D1934" s="37" t="s">
        <v>250</v>
      </c>
      <c r="E1934" s="38">
        <v>89668</v>
      </c>
    </row>
    <row r="1935" spans="1:5" x14ac:dyDescent="0.2">
      <c r="A1935" s="35">
        <v>2021</v>
      </c>
      <c r="B1935" s="36" t="s">
        <v>123</v>
      </c>
      <c r="C1935" s="37" t="s">
        <v>262</v>
      </c>
      <c r="D1935" s="37" t="s">
        <v>251</v>
      </c>
      <c r="E1935" s="38">
        <v>111303</v>
      </c>
    </row>
    <row r="1936" spans="1:5" x14ac:dyDescent="0.2">
      <c r="A1936" s="35">
        <v>2021</v>
      </c>
      <c r="B1936" s="36" t="s">
        <v>123</v>
      </c>
      <c r="C1936" s="37" t="s">
        <v>262</v>
      </c>
      <c r="D1936" s="37" t="s">
        <v>252</v>
      </c>
      <c r="E1936" s="38">
        <v>13736123</v>
      </c>
    </row>
    <row r="1937" spans="1:5" x14ac:dyDescent="0.2">
      <c r="A1937" s="35">
        <v>2021</v>
      </c>
      <c r="B1937" s="36" t="s">
        <v>123</v>
      </c>
      <c r="C1937" s="37" t="s">
        <v>262</v>
      </c>
      <c r="D1937" s="37" t="s">
        <v>253</v>
      </c>
      <c r="E1937" s="38">
        <v>378601</v>
      </c>
    </row>
    <row r="1938" spans="1:5" x14ac:dyDescent="0.2">
      <c r="A1938" s="35">
        <v>2021</v>
      </c>
      <c r="B1938" s="36" t="s">
        <v>123</v>
      </c>
      <c r="C1938" s="37" t="s">
        <v>262</v>
      </c>
      <c r="D1938" s="37" t="s">
        <v>254</v>
      </c>
      <c r="E1938" s="38">
        <v>67537</v>
      </c>
    </row>
    <row r="1939" spans="1:5" x14ac:dyDescent="0.2">
      <c r="A1939" s="35">
        <v>2021</v>
      </c>
      <c r="B1939" s="36" t="s">
        <v>123</v>
      </c>
      <c r="C1939" s="37" t="s">
        <v>262</v>
      </c>
      <c r="D1939" s="37" t="s">
        <v>255</v>
      </c>
      <c r="E1939" s="38">
        <v>1908008</v>
      </c>
    </row>
    <row r="1940" spans="1:5" x14ac:dyDescent="0.2">
      <c r="A1940" s="35">
        <v>2021</v>
      </c>
      <c r="B1940" s="36" t="s">
        <v>123</v>
      </c>
      <c r="C1940" s="37" t="s">
        <v>262</v>
      </c>
      <c r="D1940" s="37" t="s">
        <v>256</v>
      </c>
      <c r="E1940" s="38">
        <v>836777</v>
      </c>
    </row>
    <row r="1941" spans="1:5" x14ac:dyDescent="0.2">
      <c r="A1941" s="35">
        <v>2021</v>
      </c>
      <c r="B1941" s="36" t="s">
        <v>123</v>
      </c>
      <c r="C1941" s="37" t="s">
        <v>262</v>
      </c>
      <c r="D1941" s="37" t="s">
        <v>258</v>
      </c>
      <c r="E1941" s="38">
        <v>244663</v>
      </c>
    </row>
    <row r="1942" spans="1:5" x14ac:dyDescent="0.2">
      <c r="A1942" s="35">
        <v>2021</v>
      </c>
      <c r="B1942" s="36" t="s">
        <v>123</v>
      </c>
      <c r="C1942" s="37" t="s">
        <v>263</v>
      </c>
      <c r="D1942" s="37" t="s">
        <v>230</v>
      </c>
      <c r="E1942" s="38">
        <v>72449064</v>
      </c>
    </row>
    <row r="1943" spans="1:5" x14ac:dyDescent="0.2">
      <c r="A1943" s="35">
        <v>2021</v>
      </c>
      <c r="B1943" s="36" t="s">
        <v>123</v>
      </c>
      <c r="C1943" s="37" t="s">
        <v>263</v>
      </c>
      <c r="D1943" s="37" t="s">
        <v>250</v>
      </c>
      <c r="E1943" s="38">
        <v>3023002</v>
      </c>
    </row>
    <row r="1944" spans="1:5" x14ac:dyDescent="0.2">
      <c r="A1944" s="35">
        <v>2021</v>
      </c>
      <c r="B1944" s="36" t="s">
        <v>123</v>
      </c>
      <c r="C1944" s="37" t="s">
        <v>263</v>
      </c>
      <c r="D1944" s="37" t="s">
        <v>266</v>
      </c>
      <c r="E1944" s="38">
        <v>-1038703</v>
      </c>
    </row>
    <row r="1945" spans="1:5" x14ac:dyDescent="0.2">
      <c r="A1945" s="35">
        <v>2021</v>
      </c>
      <c r="B1945" s="36" t="s">
        <v>123</v>
      </c>
      <c r="C1945" s="37" t="s">
        <v>263</v>
      </c>
      <c r="D1945" s="37" t="s">
        <v>251</v>
      </c>
      <c r="E1945" s="38">
        <v>1194096</v>
      </c>
    </row>
    <row r="1946" spans="1:5" x14ac:dyDescent="0.2">
      <c r="A1946" s="35">
        <v>2021</v>
      </c>
      <c r="B1946" s="36" t="s">
        <v>123</v>
      </c>
      <c r="C1946" s="37" t="s">
        <v>263</v>
      </c>
      <c r="D1946" s="37" t="s">
        <v>252</v>
      </c>
      <c r="E1946" s="38">
        <v>38047952</v>
      </c>
    </row>
    <row r="1947" spans="1:5" x14ac:dyDescent="0.2">
      <c r="A1947" s="35">
        <v>2021</v>
      </c>
      <c r="B1947" s="36" t="s">
        <v>123</v>
      </c>
      <c r="C1947" s="37" t="s">
        <v>263</v>
      </c>
      <c r="D1947" s="37" t="s">
        <v>264</v>
      </c>
      <c r="E1947" s="38">
        <v>28571516</v>
      </c>
    </row>
    <row r="1948" spans="1:5" x14ac:dyDescent="0.2">
      <c r="A1948" s="35">
        <v>2021</v>
      </c>
      <c r="B1948" s="36" t="s">
        <v>123</v>
      </c>
      <c r="C1948" s="37" t="s">
        <v>263</v>
      </c>
      <c r="D1948" s="37" t="s">
        <v>254</v>
      </c>
      <c r="E1948" s="38">
        <v>217453</v>
      </c>
    </row>
    <row r="1949" spans="1:5" x14ac:dyDescent="0.2">
      <c r="A1949" s="35">
        <v>2021</v>
      </c>
      <c r="B1949" s="36" t="s">
        <v>123</v>
      </c>
      <c r="C1949" s="37" t="s">
        <v>263</v>
      </c>
      <c r="D1949" s="37" t="s">
        <v>255</v>
      </c>
      <c r="E1949" s="38">
        <v>1357813</v>
      </c>
    </row>
    <row r="1950" spans="1:5" x14ac:dyDescent="0.2">
      <c r="A1950" s="35">
        <v>2021</v>
      </c>
      <c r="B1950" s="36" t="s">
        <v>123</v>
      </c>
      <c r="C1950" s="37" t="s">
        <v>263</v>
      </c>
      <c r="D1950" s="37" t="s">
        <v>256</v>
      </c>
      <c r="E1950" s="38">
        <v>0</v>
      </c>
    </row>
    <row r="1951" spans="1:5" x14ac:dyDescent="0.2">
      <c r="A1951" s="35">
        <v>2021</v>
      </c>
      <c r="B1951" s="36" t="s">
        <v>123</v>
      </c>
      <c r="C1951" s="37" t="s">
        <v>263</v>
      </c>
      <c r="D1951" s="37" t="s">
        <v>257</v>
      </c>
      <c r="E1951" s="38">
        <v>49583</v>
      </c>
    </row>
    <row r="1952" spans="1:5" x14ac:dyDescent="0.2">
      <c r="A1952" s="35">
        <v>2021</v>
      </c>
      <c r="B1952" s="36" t="s">
        <v>123</v>
      </c>
      <c r="C1952" s="37" t="s">
        <v>263</v>
      </c>
      <c r="D1952" s="37" t="s">
        <v>258</v>
      </c>
      <c r="E1952" s="38">
        <v>1026352</v>
      </c>
    </row>
    <row r="1953" spans="1:5" x14ac:dyDescent="0.2">
      <c r="A1953" s="35">
        <v>2021</v>
      </c>
      <c r="B1953" s="36" t="s">
        <v>120</v>
      </c>
      <c r="C1953" s="37" t="s">
        <v>249</v>
      </c>
      <c r="D1953" s="37" t="s">
        <v>230</v>
      </c>
      <c r="E1953" s="38">
        <v>2107703</v>
      </c>
    </row>
    <row r="1954" spans="1:5" x14ac:dyDescent="0.2">
      <c r="A1954" s="35">
        <v>2021</v>
      </c>
      <c r="B1954" s="36" t="s">
        <v>120</v>
      </c>
      <c r="C1954" s="37" t="s">
        <v>249</v>
      </c>
      <c r="D1954" s="37" t="s">
        <v>251</v>
      </c>
      <c r="E1954" s="38">
        <v>1092771</v>
      </c>
    </row>
    <row r="1955" spans="1:5" x14ac:dyDescent="0.2">
      <c r="A1955" s="35">
        <v>2021</v>
      </c>
      <c r="B1955" s="36" t="s">
        <v>120</v>
      </c>
      <c r="C1955" s="37" t="s">
        <v>249</v>
      </c>
      <c r="D1955" s="37" t="s">
        <v>252</v>
      </c>
      <c r="E1955" s="38">
        <v>2054</v>
      </c>
    </row>
    <row r="1956" spans="1:5" x14ac:dyDescent="0.2">
      <c r="A1956" s="35">
        <v>2021</v>
      </c>
      <c r="B1956" s="36" t="s">
        <v>120</v>
      </c>
      <c r="C1956" s="37" t="s">
        <v>249</v>
      </c>
      <c r="D1956" s="37" t="s">
        <v>253</v>
      </c>
      <c r="E1956" s="38">
        <v>2182</v>
      </c>
    </row>
    <row r="1957" spans="1:5" x14ac:dyDescent="0.2">
      <c r="A1957" s="35">
        <v>2021</v>
      </c>
      <c r="B1957" s="36" t="s">
        <v>120</v>
      </c>
      <c r="C1957" s="37" t="s">
        <v>249</v>
      </c>
      <c r="D1957" s="37" t="s">
        <v>254</v>
      </c>
      <c r="E1957" s="38">
        <v>2885</v>
      </c>
    </row>
    <row r="1958" spans="1:5" x14ac:dyDescent="0.2">
      <c r="A1958" s="35">
        <v>2021</v>
      </c>
      <c r="B1958" s="36" t="s">
        <v>120</v>
      </c>
      <c r="C1958" s="37" t="s">
        <v>249</v>
      </c>
      <c r="D1958" s="37" t="s">
        <v>255</v>
      </c>
      <c r="E1958" s="38">
        <v>173303</v>
      </c>
    </row>
    <row r="1959" spans="1:5" x14ac:dyDescent="0.2">
      <c r="A1959" s="35">
        <v>2021</v>
      </c>
      <c r="B1959" s="36" t="s">
        <v>120</v>
      </c>
      <c r="C1959" s="37" t="s">
        <v>249</v>
      </c>
      <c r="D1959" s="37" t="s">
        <v>256</v>
      </c>
      <c r="E1959" s="38">
        <v>60329</v>
      </c>
    </row>
    <row r="1960" spans="1:5" x14ac:dyDescent="0.2">
      <c r="A1960" s="35">
        <v>2021</v>
      </c>
      <c r="B1960" s="36" t="s">
        <v>120</v>
      </c>
      <c r="C1960" s="37" t="s">
        <v>249</v>
      </c>
      <c r="D1960" s="37" t="s">
        <v>257</v>
      </c>
      <c r="E1960" s="38">
        <v>338188</v>
      </c>
    </row>
    <row r="1961" spans="1:5" x14ac:dyDescent="0.2">
      <c r="A1961" s="35">
        <v>2021</v>
      </c>
      <c r="B1961" s="36" t="s">
        <v>120</v>
      </c>
      <c r="C1961" s="37" t="s">
        <v>249</v>
      </c>
      <c r="D1961" s="37" t="s">
        <v>258</v>
      </c>
      <c r="E1961" s="38">
        <v>435991</v>
      </c>
    </row>
    <row r="1962" spans="1:5" x14ac:dyDescent="0.2">
      <c r="A1962" s="35">
        <v>2021</v>
      </c>
      <c r="B1962" s="36" t="s">
        <v>120</v>
      </c>
      <c r="C1962" s="37" t="s">
        <v>260</v>
      </c>
      <c r="D1962" s="37" t="s">
        <v>230</v>
      </c>
      <c r="E1962" s="38">
        <v>3141</v>
      </c>
    </row>
    <row r="1963" spans="1:5" x14ac:dyDescent="0.2">
      <c r="A1963" s="35">
        <v>2021</v>
      </c>
      <c r="B1963" s="36" t="s">
        <v>120</v>
      </c>
      <c r="C1963" s="37" t="s">
        <v>260</v>
      </c>
      <c r="D1963" s="37" t="s">
        <v>252</v>
      </c>
      <c r="E1963" s="38">
        <v>1500</v>
      </c>
    </row>
    <row r="1964" spans="1:5" x14ac:dyDescent="0.2">
      <c r="A1964" s="35">
        <v>2021</v>
      </c>
      <c r="B1964" s="36" t="s">
        <v>120</v>
      </c>
      <c r="C1964" s="37" t="s">
        <v>260</v>
      </c>
      <c r="D1964" s="37" t="s">
        <v>254</v>
      </c>
      <c r="E1964" s="38">
        <v>0</v>
      </c>
    </row>
    <row r="1965" spans="1:5" x14ac:dyDescent="0.2">
      <c r="A1965" s="35">
        <v>2021</v>
      </c>
      <c r="B1965" s="36" t="s">
        <v>120</v>
      </c>
      <c r="C1965" s="37" t="s">
        <v>260</v>
      </c>
      <c r="D1965" s="37" t="s">
        <v>258</v>
      </c>
      <c r="E1965" s="38">
        <v>1641</v>
      </c>
    </row>
    <row r="1966" spans="1:5" x14ac:dyDescent="0.2">
      <c r="A1966" s="35">
        <v>2021</v>
      </c>
      <c r="B1966" s="36" t="s">
        <v>120</v>
      </c>
      <c r="C1966" s="37" t="s">
        <v>262</v>
      </c>
      <c r="D1966" s="37" t="s">
        <v>230</v>
      </c>
      <c r="E1966" s="38">
        <v>1205371</v>
      </c>
    </row>
    <row r="1967" spans="1:5" x14ac:dyDescent="0.2">
      <c r="A1967" s="35">
        <v>2021</v>
      </c>
      <c r="B1967" s="36" t="s">
        <v>120</v>
      </c>
      <c r="C1967" s="37" t="s">
        <v>262</v>
      </c>
      <c r="D1967" s="37" t="s">
        <v>251</v>
      </c>
      <c r="E1967" s="38">
        <v>743888</v>
      </c>
    </row>
    <row r="1968" spans="1:5" x14ac:dyDescent="0.2">
      <c r="A1968" s="35">
        <v>2021</v>
      </c>
      <c r="B1968" s="36" t="s">
        <v>120</v>
      </c>
      <c r="C1968" s="37" t="s">
        <v>262</v>
      </c>
      <c r="D1968" s="37" t="s">
        <v>253</v>
      </c>
      <c r="E1968" s="38">
        <v>-323</v>
      </c>
    </row>
    <row r="1969" spans="1:5" x14ac:dyDescent="0.2">
      <c r="A1969" s="35">
        <v>2021</v>
      </c>
      <c r="B1969" s="36" t="s">
        <v>120</v>
      </c>
      <c r="C1969" s="37" t="s">
        <v>262</v>
      </c>
      <c r="D1969" s="37" t="s">
        <v>255</v>
      </c>
      <c r="E1969" s="38">
        <v>117601</v>
      </c>
    </row>
    <row r="1970" spans="1:5" x14ac:dyDescent="0.2">
      <c r="A1970" s="35">
        <v>2021</v>
      </c>
      <c r="B1970" s="36" t="s">
        <v>120</v>
      </c>
      <c r="C1970" s="37" t="s">
        <v>262</v>
      </c>
      <c r="D1970" s="37" t="s">
        <v>256</v>
      </c>
      <c r="E1970" s="38">
        <v>6683</v>
      </c>
    </row>
    <row r="1971" spans="1:5" x14ac:dyDescent="0.2">
      <c r="A1971" s="35">
        <v>2021</v>
      </c>
      <c r="B1971" s="36" t="s">
        <v>120</v>
      </c>
      <c r="C1971" s="37" t="s">
        <v>262</v>
      </c>
      <c r="D1971" s="37" t="s">
        <v>257</v>
      </c>
      <c r="E1971" s="38">
        <v>175973</v>
      </c>
    </row>
    <row r="1972" spans="1:5" x14ac:dyDescent="0.2">
      <c r="A1972" s="35">
        <v>2021</v>
      </c>
      <c r="B1972" s="36" t="s">
        <v>120</v>
      </c>
      <c r="C1972" s="37" t="s">
        <v>262</v>
      </c>
      <c r="D1972" s="37" t="s">
        <v>258</v>
      </c>
      <c r="E1972" s="38">
        <v>161549</v>
      </c>
    </row>
    <row r="1973" spans="1:5" x14ac:dyDescent="0.2">
      <c r="A1973" s="35">
        <v>2021</v>
      </c>
      <c r="B1973" s="36" t="s">
        <v>120</v>
      </c>
      <c r="C1973" s="37" t="s">
        <v>263</v>
      </c>
      <c r="D1973" s="37" t="s">
        <v>230</v>
      </c>
      <c r="E1973" s="38">
        <v>899191</v>
      </c>
    </row>
    <row r="1974" spans="1:5" x14ac:dyDescent="0.2">
      <c r="A1974" s="35">
        <v>2021</v>
      </c>
      <c r="B1974" s="36" t="s">
        <v>120</v>
      </c>
      <c r="C1974" s="37" t="s">
        <v>263</v>
      </c>
      <c r="D1974" s="37" t="s">
        <v>251</v>
      </c>
      <c r="E1974" s="38">
        <v>348883</v>
      </c>
    </row>
    <row r="1975" spans="1:5" x14ac:dyDescent="0.2">
      <c r="A1975" s="35">
        <v>2021</v>
      </c>
      <c r="B1975" s="36" t="s">
        <v>120</v>
      </c>
      <c r="C1975" s="37" t="s">
        <v>263</v>
      </c>
      <c r="D1975" s="37" t="s">
        <v>252</v>
      </c>
      <c r="E1975" s="38">
        <v>554</v>
      </c>
    </row>
    <row r="1976" spans="1:5" x14ac:dyDescent="0.2">
      <c r="A1976" s="35">
        <v>2021</v>
      </c>
      <c r="B1976" s="36" t="s">
        <v>120</v>
      </c>
      <c r="C1976" s="37" t="s">
        <v>263</v>
      </c>
      <c r="D1976" s="37" t="s">
        <v>253</v>
      </c>
      <c r="E1976" s="38">
        <v>2505</v>
      </c>
    </row>
    <row r="1977" spans="1:5" x14ac:dyDescent="0.2">
      <c r="A1977" s="35">
        <v>2021</v>
      </c>
      <c r="B1977" s="36" t="s">
        <v>120</v>
      </c>
      <c r="C1977" s="37" t="s">
        <v>263</v>
      </c>
      <c r="D1977" s="37" t="s">
        <v>254</v>
      </c>
      <c r="E1977" s="38">
        <v>2885</v>
      </c>
    </row>
    <row r="1978" spans="1:5" x14ac:dyDescent="0.2">
      <c r="A1978" s="35">
        <v>2021</v>
      </c>
      <c r="B1978" s="36" t="s">
        <v>120</v>
      </c>
      <c r="C1978" s="37" t="s">
        <v>263</v>
      </c>
      <c r="D1978" s="37" t="s">
        <v>255</v>
      </c>
      <c r="E1978" s="38">
        <v>55702</v>
      </c>
    </row>
    <row r="1979" spans="1:5" x14ac:dyDescent="0.2">
      <c r="A1979" s="35">
        <v>2021</v>
      </c>
      <c r="B1979" s="36" t="s">
        <v>120</v>
      </c>
      <c r="C1979" s="37" t="s">
        <v>263</v>
      </c>
      <c r="D1979" s="37" t="s">
        <v>256</v>
      </c>
      <c r="E1979" s="38">
        <v>53646</v>
      </c>
    </row>
    <row r="1980" spans="1:5" x14ac:dyDescent="0.2">
      <c r="A1980" s="35">
        <v>2021</v>
      </c>
      <c r="B1980" s="36" t="s">
        <v>120</v>
      </c>
      <c r="C1980" s="37" t="s">
        <v>263</v>
      </c>
      <c r="D1980" s="37" t="s">
        <v>257</v>
      </c>
      <c r="E1980" s="38">
        <v>162215</v>
      </c>
    </row>
    <row r="1981" spans="1:5" x14ac:dyDescent="0.2">
      <c r="A1981" s="35">
        <v>2021</v>
      </c>
      <c r="B1981" s="36" t="s">
        <v>120</v>
      </c>
      <c r="C1981" s="37" t="s">
        <v>263</v>
      </c>
      <c r="D1981" s="37" t="s">
        <v>258</v>
      </c>
      <c r="E1981" s="38">
        <v>272801</v>
      </c>
    </row>
    <row r="1982" spans="1:5" x14ac:dyDescent="0.2">
      <c r="A1982" s="35">
        <v>2021</v>
      </c>
      <c r="B1982" s="36" t="s">
        <v>126</v>
      </c>
      <c r="C1982" s="37" t="s">
        <v>249</v>
      </c>
      <c r="D1982" s="37" t="s">
        <v>230</v>
      </c>
      <c r="E1982" s="38">
        <v>110808401</v>
      </c>
    </row>
    <row r="1983" spans="1:5" x14ac:dyDescent="0.2">
      <c r="A1983" s="35">
        <v>2021</v>
      </c>
      <c r="B1983" s="36" t="s">
        <v>126</v>
      </c>
      <c r="C1983" s="37" t="s">
        <v>249</v>
      </c>
      <c r="D1983" s="37" t="s">
        <v>250</v>
      </c>
      <c r="E1983" s="38">
        <v>3132521</v>
      </c>
    </row>
    <row r="1984" spans="1:5" x14ac:dyDescent="0.2">
      <c r="A1984" s="35">
        <v>2021</v>
      </c>
      <c r="B1984" s="36" t="s">
        <v>126</v>
      </c>
      <c r="C1984" s="37" t="s">
        <v>249</v>
      </c>
      <c r="D1984" s="37" t="s">
        <v>266</v>
      </c>
      <c r="E1984" s="38">
        <v>1986</v>
      </c>
    </row>
    <row r="1985" spans="1:5" x14ac:dyDescent="0.2">
      <c r="A1985" s="35">
        <v>2021</v>
      </c>
      <c r="B1985" s="36" t="s">
        <v>126</v>
      </c>
      <c r="C1985" s="37" t="s">
        <v>249</v>
      </c>
      <c r="D1985" s="37" t="s">
        <v>251</v>
      </c>
      <c r="E1985" s="38">
        <v>71379357</v>
      </c>
    </row>
    <row r="1986" spans="1:5" x14ac:dyDescent="0.2">
      <c r="A1986" s="35">
        <v>2021</v>
      </c>
      <c r="B1986" s="36" t="s">
        <v>126</v>
      </c>
      <c r="C1986" s="37" t="s">
        <v>249</v>
      </c>
      <c r="D1986" s="37" t="s">
        <v>252</v>
      </c>
      <c r="E1986" s="38">
        <v>16589252</v>
      </c>
    </row>
    <row r="1987" spans="1:5" x14ac:dyDescent="0.2">
      <c r="A1987" s="35">
        <v>2021</v>
      </c>
      <c r="B1987" s="36" t="s">
        <v>126</v>
      </c>
      <c r="C1987" s="37" t="s">
        <v>249</v>
      </c>
      <c r="D1987" s="37" t="s">
        <v>264</v>
      </c>
      <c r="E1987" s="38">
        <v>8511288</v>
      </c>
    </row>
    <row r="1988" spans="1:5" x14ac:dyDescent="0.2">
      <c r="A1988" s="35">
        <v>2021</v>
      </c>
      <c r="B1988" s="36" t="s">
        <v>126</v>
      </c>
      <c r="C1988" s="37" t="s">
        <v>249</v>
      </c>
      <c r="D1988" s="37" t="s">
        <v>265</v>
      </c>
      <c r="E1988" s="38">
        <v>237716</v>
      </c>
    </row>
    <row r="1989" spans="1:5" x14ac:dyDescent="0.2">
      <c r="A1989" s="35">
        <v>2021</v>
      </c>
      <c r="B1989" s="36" t="s">
        <v>126</v>
      </c>
      <c r="C1989" s="37" t="s">
        <v>249</v>
      </c>
      <c r="D1989" s="37" t="s">
        <v>253</v>
      </c>
      <c r="E1989" s="38">
        <v>65514</v>
      </c>
    </row>
    <row r="1990" spans="1:5" x14ac:dyDescent="0.2">
      <c r="A1990" s="35">
        <v>2021</v>
      </c>
      <c r="B1990" s="36" t="s">
        <v>126</v>
      </c>
      <c r="C1990" s="37" t="s">
        <v>249</v>
      </c>
      <c r="D1990" s="37" t="s">
        <v>254</v>
      </c>
      <c r="E1990" s="38">
        <v>32024</v>
      </c>
    </row>
    <row r="1991" spans="1:5" x14ac:dyDescent="0.2">
      <c r="A1991" s="35">
        <v>2021</v>
      </c>
      <c r="B1991" s="36" t="s">
        <v>126</v>
      </c>
      <c r="C1991" s="37" t="s">
        <v>249</v>
      </c>
      <c r="D1991" s="37" t="s">
        <v>255</v>
      </c>
      <c r="E1991" s="38">
        <v>50208</v>
      </c>
    </row>
    <row r="1992" spans="1:5" x14ac:dyDescent="0.2">
      <c r="A1992" s="35">
        <v>2021</v>
      </c>
      <c r="B1992" s="36" t="s">
        <v>126</v>
      </c>
      <c r="C1992" s="37" t="s">
        <v>249</v>
      </c>
      <c r="D1992" s="37" t="s">
        <v>256</v>
      </c>
      <c r="E1992" s="38">
        <v>115443</v>
      </c>
    </row>
    <row r="1993" spans="1:5" x14ac:dyDescent="0.2">
      <c r="A1993" s="35">
        <v>2021</v>
      </c>
      <c r="B1993" s="36" t="s">
        <v>126</v>
      </c>
      <c r="C1993" s="37" t="s">
        <v>249</v>
      </c>
      <c r="D1993" s="37" t="s">
        <v>257</v>
      </c>
      <c r="E1993" s="38">
        <v>9297756</v>
      </c>
    </row>
    <row r="1994" spans="1:5" x14ac:dyDescent="0.2">
      <c r="A1994" s="35">
        <v>2021</v>
      </c>
      <c r="B1994" s="36" t="s">
        <v>126</v>
      </c>
      <c r="C1994" s="37" t="s">
        <v>249</v>
      </c>
      <c r="D1994" s="37" t="s">
        <v>258</v>
      </c>
      <c r="E1994" s="38">
        <v>1395335</v>
      </c>
    </row>
    <row r="1995" spans="1:5" x14ac:dyDescent="0.2">
      <c r="A1995" s="35">
        <v>2021</v>
      </c>
      <c r="B1995" s="36" t="s">
        <v>126</v>
      </c>
      <c r="C1995" s="37" t="s">
        <v>259</v>
      </c>
      <c r="D1995" s="37" t="s">
        <v>230</v>
      </c>
      <c r="E1995" s="38">
        <v>2187958</v>
      </c>
    </row>
    <row r="1996" spans="1:5" x14ac:dyDescent="0.2">
      <c r="A1996" s="35">
        <v>2021</v>
      </c>
      <c r="B1996" s="36" t="s">
        <v>126</v>
      </c>
      <c r="C1996" s="37" t="s">
        <v>259</v>
      </c>
      <c r="D1996" s="37" t="s">
        <v>250</v>
      </c>
      <c r="E1996" s="38">
        <v>25031</v>
      </c>
    </row>
    <row r="1997" spans="1:5" x14ac:dyDescent="0.2">
      <c r="A1997" s="35">
        <v>2021</v>
      </c>
      <c r="B1997" s="36" t="s">
        <v>126</v>
      </c>
      <c r="C1997" s="37" t="s">
        <v>259</v>
      </c>
      <c r="D1997" s="37" t="s">
        <v>252</v>
      </c>
      <c r="E1997" s="38">
        <v>822068</v>
      </c>
    </row>
    <row r="1998" spans="1:5" x14ac:dyDescent="0.2">
      <c r="A1998" s="35">
        <v>2021</v>
      </c>
      <c r="B1998" s="36" t="s">
        <v>126</v>
      </c>
      <c r="C1998" s="37" t="s">
        <v>259</v>
      </c>
      <c r="D1998" s="37" t="s">
        <v>265</v>
      </c>
      <c r="E1998" s="38">
        <v>237716</v>
      </c>
    </row>
    <row r="1999" spans="1:5" x14ac:dyDescent="0.2">
      <c r="A1999" s="35">
        <v>2021</v>
      </c>
      <c r="B1999" s="36" t="s">
        <v>126</v>
      </c>
      <c r="C1999" s="37" t="s">
        <v>259</v>
      </c>
      <c r="D1999" s="37" t="s">
        <v>254</v>
      </c>
      <c r="E1999" s="38">
        <v>19235</v>
      </c>
    </row>
    <row r="2000" spans="1:5" x14ac:dyDescent="0.2">
      <c r="A2000" s="35">
        <v>2021</v>
      </c>
      <c r="B2000" s="36" t="s">
        <v>126</v>
      </c>
      <c r="C2000" s="37" t="s">
        <v>259</v>
      </c>
      <c r="D2000" s="37" t="s">
        <v>256</v>
      </c>
      <c r="E2000" s="38">
        <v>10999</v>
      </c>
    </row>
    <row r="2001" spans="1:5" x14ac:dyDescent="0.2">
      <c r="A2001" s="35">
        <v>2021</v>
      </c>
      <c r="B2001" s="36" t="s">
        <v>126</v>
      </c>
      <c r="C2001" s="37" t="s">
        <v>259</v>
      </c>
      <c r="D2001" s="37" t="s">
        <v>258</v>
      </c>
      <c r="E2001" s="38">
        <v>1072910</v>
      </c>
    </row>
    <row r="2002" spans="1:5" x14ac:dyDescent="0.2">
      <c r="A2002" s="35">
        <v>2021</v>
      </c>
      <c r="B2002" s="36" t="s">
        <v>126</v>
      </c>
      <c r="C2002" s="37" t="s">
        <v>260</v>
      </c>
      <c r="D2002" s="37" t="s">
        <v>230</v>
      </c>
      <c r="E2002" s="38">
        <v>23683</v>
      </c>
    </row>
    <row r="2003" spans="1:5" x14ac:dyDescent="0.2">
      <c r="A2003" s="35">
        <v>2021</v>
      </c>
      <c r="B2003" s="36" t="s">
        <v>126</v>
      </c>
      <c r="C2003" s="37" t="s">
        <v>260</v>
      </c>
      <c r="D2003" s="37" t="s">
        <v>252</v>
      </c>
      <c r="E2003" s="38">
        <v>12769</v>
      </c>
    </row>
    <row r="2004" spans="1:5" x14ac:dyDescent="0.2">
      <c r="A2004" s="35">
        <v>2021</v>
      </c>
      <c r="B2004" s="36" t="s">
        <v>126</v>
      </c>
      <c r="C2004" s="37" t="s">
        <v>260</v>
      </c>
      <c r="D2004" s="37" t="s">
        <v>254</v>
      </c>
      <c r="E2004" s="38">
        <v>257</v>
      </c>
    </row>
    <row r="2005" spans="1:5" x14ac:dyDescent="0.2">
      <c r="A2005" s="35">
        <v>2021</v>
      </c>
      <c r="B2005" s="36" t="s">
        <v>126</v>
      </c>
      <c r="C2005" s="37" t="s">
        <v>260</v>
      </c>
      <c r="D2005" s="37" t="s">
        <v>256</v>
      </c>
      <c r="E2005" s="38">
        <v>10657</v>
      </c>
    </row>
    <row r="2006" spans="1:5" x14ac:dyDescent="0.2">
      <c r="A2006" s="35">
        <v>2021</v>
      </c>
      <c r="B2006" s="36" t="s">
        <v>126</v>
      </c>
      <c r="C2006" s="37" t="s">
        <v>262</v>
      </c>
      <c r="D2006" s="37" t="s">
        <v>230</v>
      </c>
      <c r="E2006" s="38">
        <v>12979924</v>
      </c>
    </row>
    <row r="2007" spans="1:5" x14ac:dyDescent="0.2">
      <c r="A2007" s="35">
        <v>2021</v>
      </c>
      <c r="B2007" s="36" t="s">
        <v>126</v>
      </c>
      <c r="C2007" s="37" t="s">
        <v>262</v>
      </c>
      <c r="D2007" s="37" t="s">
        <v>250</v>
      </c>
      <c r="E2007" s="38">
        <v>3107489</v>
      </c>
    </row>
    <row r="2008" spans="1:5" x14ac:dyDescent="0.2">
      <c r="A2008" s="35">
        <v>2021</v>
      </c>
      <c r="B2008" s="36" t="s">
        <v>126</v>
      </c>
      <c r="C2008" s="37" t="s">
        <v>262</v>
      </c>
      <c r="D2008" s="37" t="s">
        <v>251</v>
      </c>
      <c r="E2008" s="38">
        <v>258599</v>
      </c>
    </row>
    <row r="2009" spans="1:5" x14ac:dyDescent="0.2">
      <c r="A2009" s="35">
        <v>2021</v>
      </c>
      <c r="B2009" s="36" t="s">
        <v>126</v>
      </c>
      <c r="C2009" s="37" t="s">
        <v>262</v>
      </c>
      <c r="D2009" s="37" t="s">
        <v>252</v>
      </c>
      <c r="E2009" s="38">
        <v>4830538</v>
      </c>
    </row>
    <row r="2010" spans="1:5" x14ac:dyDescent="0.2">
      <c r="A2010" s="35">
        <v>2021</v>
      </c>
      <c r="B2010" s="36" t="s">
        <v>126</v>
      </c>
      <c r="C2010" s="37" t="s">
        <v>262</v>
      </c>
      <c r="D2010" s="37" t="s">
        <v>253</v>
      </c>
      <c r="E2010" s="38">
        <v>65790</v>
      </c>
    </row>
    <row r="2011" spans="1:5" x14ac:dyDescent="0.2">
      <c r="A2011" s="35">
        <v>2021</v>
      </c>
      <c r="B2011" s="36" t="s">
        <v>126</v>
      </c>
      <c r="C2011" s="37" t="s">
        <v>262</v>
      </c>
      <c r="D2011" s="37" t="s">
        <v>254</v>
      </c>
      <c r="E2011" s="38">
        <v>8957</v>
      </c>
    </row>
    <row r="2012" spans="1:5" x14ac:dyDescent="0.2">
      <c r="A2012" s="35">
        <v>2021</v>
      </c>
      <c r="B2012" s="36" t="s">
        <v>126</v>
      </c>
      <c r="C2012" s="37" t="s">
        <v>262</v>
      </c>
      <c r="D2012" s="37" t="s">
        <v>255</v>
      </c>
      <c r="E2012" s="38">
        <v>43424</v>
      </c>
    </row>
    <row r="2013" spans="1:5" x14ac:dyDescent="0.2">
      <c r="A2013" s="35">
        <v>2021</v>
      </c>
      <c r="B2013" s="36" t="s">
        <v>126</v>
      </c>
      <c r="C2013" s="37" t="s">
        <v>262</v>
      </c>
      <c r="D2013" s="37" t="s">
        <v>256</v>
      </c>
      <c r="E2013" s="38">
        <v>93787</v>
      </c>
    </row>
    <row r="2014" spans="1:5" x14ac:dyDescent="0.2">
      <c r="A2014" s="35">
        <v>2021</v>
      </c>
      <c r="B2014" s="36" t="s">
        <v>126</v>
      </c>
      <c r="C2014" s="37" t="s">
        <v>262</v>
      </c>
      <c r="D2014" s="37" t="s">
        <v>257</v>
      </c>
      <c r="E2014" s="38">
        <v>4571339</v>
      </c>
    </row>
    <row r="2015" spans="1:5" x14ac:dyDescent="0.2">
      <c r="A2015" s="35">
        <v>2021</v>
      </c>
      <c r="B2015" s="36" t="s">
        <v>126</v>
      </c>
      <c r="C2015" s="37" t="s">
        <v>263</v>
      </c>
      <c r="D2015" s="37" t="s">
        <v>230</v>
      </c>
      <c r="E2015" s="38">
        <v>95616836</v>
      </c>
    </row>
    <row r="2016" spans="1:5" x14ac:dyDescent="0.2">
      <c r="A2016" s="35">
        <v>2021</v>
      </c>
      <c r="B2016" s="36" t="s">
        <v>126</v>
      </c>
      <c r="C2016" s="37" t="s">
        <v>263</v>
      </c>
      <c r="D2016" s="37" t="s">
        <v>266</v>
      </c>
      <c r="E2016" s="38">
        <v>1986</v>
      </c>
    </row>
    <row r="2017" spans="1:5" x14ac:dyDescent="0.2">
      <c r="A2017" s="35">
        <v>2021</v>
      </c>
      <c r="B2017" s="36" t="s">
        <v>126</v>
      </c>
      <c r="C2017" s="37" t="s">
        <v>263</v>
      </c>
      <c r="D2017" s="37" t="s">
        <v>251</v>
      </c>
      <c r="E2017" s="38">
        <v>71120758</v>
      </c>
    </row>
    <row r="2018" spans="1:5" x14ac:dyDescent="0.2">
      <c r="A2018" s="35">
        <v>2021</v>
      </c>
      <c r="B2018" s="36" t="s">
        <v>126</v>
      </c>
      <c r="C2018" s="37" t="s">
        <v>263</v>
      </c>
      <c r="D2018" s="37" t="s">
        <v>252</v>
      </c>
      <c r="E2018" s="38">
        <v>10923878</v>
      </c>
    </row>
    <row r="2019" spans="1:5" x14ac:dyDescent="0.2">
      <c r="A2019" s="35">
        <v>2021</v>
      </c>
      <c r="B2019" s="36" t="s">
        <v>126</v>
      </c>
      <c r="C2019" s="37" t="s">
        <v>263</v>
      </c>
      <c r="D2019" s="37" t="s">
        <v>264</v>
      </c>
      <c r="E2019" s="38">
        <v>8511288</v>
      </c>
    </row>
    <row r="2020" spans="1:5" x14ac:dyDescent="0.2">
      <c r="A2020" s="35">
        <v>2021</v>
      </c>
      <c r="B2020" s="36" t="s">
        <v>126</v>
      </c>
      <c r="C2020" s="37" t="s">
        <v>263</v>
      </c>
      <c r="D2020" s="37" t="s">
        <v>253</v>
      </c>
      <c r="E2020" s="38">
        <v>-276</v>
      </c>
    </row>
    <row r="2021" spans="1:5" x14ac:dyDescent="0.2">
      <c r="A2021" s="35">
        <v>2021</v>
      </c>
      <c r="B2021" s="36" t="s">
        <v>126</v>
      </c>
      <c r="C2021" s="37" t="s">
        <v>263</v>
      </c>
      <c r="D2021" s="37" t="s">
        <v>254</v>
      </c>
      <c r="E2021" s="38">
        <v>3575</v>
      </c>
    </row>
    <row r="2022" spans="1:5" x14ac:dyDescent="0.2">
      <c r="A2022" s="35">
        <v>2021</v>
      </c>
      <c r="B2022" s="36" t="s">
        <v>126</v>
      </c>
      <c r="C2022" s="37" t="s">
        <v>263</v>
      </c>
      <c r="D2022" s="37" t="s">
        <v>255</v>
      </c>
      <c r="E2022" s="38">
        <v>6784</v>
      </c>
    </row>
    <row r="2023" spans="1:5" x14ac:dyDescent="0.2">
      <c r="A2023" s="35">
        <v>2021</v>
      </c>
      <c r="B2023" s="36" t="s">
        <v>126</v>
      </c>
      <c r="C2023" s="37" t="s">
        <v>263</v>
      </c>
      <c r="D2023" s="37" t="s">
        <v>256</v>
      </c>
      <c r="E2023" s="38">
        <v>0</v>
      </c>
    </row>
    <row r="2024" spans="1:5" x14ac:dyDescent="0.2">
      <c r="A2024" s="35">
        <v>2021</v>
      </c>
      <c r="B2024" s="36" t="s">
        <v>126</v>
      </c>
      <c r="C2024" s="37" t="s">
        <v>263</v>
      </c>
      <c r="D2024" s="37" t="s">
        <v>257</v>
      </c>
      <c r="E2024" s="38">
        <v>4726417</v>
      </c>
    </row>
    <row r="2025" spans="1:5" x14ac:dyDescent="0.2">
      <c r="A2025" s="35">
        <v>2021</v>
      </c>
      <c r="B2025" s="36" t="s">
        <v>126</v>
      </c>
      <c r="C2025" s="37" t="s">
        <v>263</v>
      </c>
      <c r="D2025" s="37" t="s">
        <v>258</v>
      </c>
      <c r="E2025" s="38">
        <v>322426</v>
      </c>
    </row>
    <row r="2026" spans="1:5" x14ac:dyDescent="0.2">
      <c r="A2026" s="35">
        <v>2021</v>
      </c>
      <c r="B2026" s="36" t="s">
        <v>132</v>
      </c>
      <c r="C2026" s="37" t="s">
        <v>249</v>
      </c>
      <c r="D2026" s="37" t="s">
        <v>230</v>
      </c>
      <c r="E2026" s="38">
        <v>64276480</v>
      </c>
    </row>
    <row r="2027" spans="1:5" x14ac:dyDescent="0.2">
      <c r="A2027" s="35">
        <v>2021</v>
      </c>
      <c r="B2027" s="36" t="s">
        <v>132</v>
      </c>
      <c r="C2027" s="37" t="s">
        <v>249</v>
      </c>
      <c r="D2027" s="37" t="s">
        <v>250</v>
      </c>
      <c r="E2027" s="38">
        <v>27441587</v>
      </c>
    </row>
    <row r="2028" spans="1:5" x14ac:dyDescent="0.2">
      <c r="A2028" s="35">
        <v>2021</v>
      </c>
      <c r="B2028" s="36" t="s">
        <v>132</v>
      </c>
      <c r="C2028" s="37" t="s">
        <v>249</v>
      </c>
      <c r="D2028" s="37" t="s">
        <v>251</v>
      </c>
      <c r="E2028" s="38">
        <v>2144883</v>
      </c>
    </row>
    <row r="2029" spans="1:5" x14ac:dyDescent="0.2">
      <c r="A2029" s="35">
        <v>2021</v>
      </c>
      <c r="B2029" s="36" t="s">
        <v>132</v>
      </c>
      <c r="C2029" s="37" t="s">
        <v>249</v>
      </c>
      <c r="D2029" s="37" t="s">
        <v>252</v>
      </c>
      <c r="E2029" s="38">
        <v>21342001</v>
      </c>
    </row>
    <row r="2030" spans="1:5" x14ac:dyDescent="0.2">
      <c r="A2030" s="35">
        <v>2021</v>
      </c>
      <c r="B2030" s="36" t="s">
        <v>132</v>
      </c>
      <c r="C2030" s="37" t="s">
        <v>249</v>
      </c>
      <c r="D2030" s="37" t="s">
        <v>264</v>
      </c>
      <c r="E2030" s="38">
        <v>9970190</v>
      </c>
    </row>
    <row r="2031" spans="1:5" x14ac:dyDescent="0.2">
      <c r="A2031" s="35">
        <v>2021</v>
      </c>
      <c r="B2031" s="36" t="s">
        <v>132</v>
      </c>
      <c r="C2031" s="37" t="s">
        <v>249</v>
      </c>
      <c r="D2031" s="37" t="s">
        <v>253</v>
      </c>
      <c r="E2031" s="38">
        <v>25346</v>
      </c>
    </row>
    <row r="2032" spans="1:5" x14ac:dyDescent="0.2">
      <c r="A2032" s="35">
        <v>2021</v>
      </c>
      <c r="B2032" s="36" t="s">
        <v>132</v>
      </c>
      <c r="C2032" s="37" t="s">
        <v>249</v>
      </c>
      <c r="D2032" s="37" t="s">
        <v>254</v>
      </c>
      <c r="E2032" s="38">
        <v>320543</v>
      </c>
    </row>
    <row r="2033" spans="1:5" x14ac:dyDescent="0.2">
      <c r="A2033" s="35">
        <v>2021</v>
      </c>
      <c r="B2033" s="36" t="s">
        <v>132</v>
      </c>
      <c r="C2033" s="37" t="s">
        <v>249</v>
      </c>
      <c r="D2033" s="37" t="s">
        <v>255</v>
      </c>
      <c r="E2033" s="38">
        <v>366806</v>
      </c>
    </row>
    <row r="2034" spans="1:5" x14ac:dyDescent="0.2">
      <c r="A2034" s="35">
        <v>2021</v>
      </c>
      <c r="B2034" s="36" t="s">
        <v>132</v>
      </c>
      <c r="C2034" s="37" t="s">
        <v>249</v>
      </c>
      <c r="D2034" s="37" t="s">
        <v>256</v>
      </c>
      <c r="E2034" s="38">
        <v>411050</v>
      </c>
    </row>
    <row r="2035" spans="1:5" x14ac:dyDescent="0.2">
      <c r="A2035" s="35">
        <v>2021</v>
      </c>
      <c r="B2035" s="36" t="s">
        <v>132</v>
      </c>
      <c r="C2035" s="37" t="s">
        <v>249</v>
      </c>
      <c r="D2035" s="37" t="s">
        <v>257</v>
      </c>
      <c r="E2035" s="38">
        <v>1593479</v>
      </c>
    </row>
    <row r="2036" spans="1:5" x14ac:dyDescent="0.2">
      <c r="A2036" s="35">
        <v>2021</v>
      </c>
      <c r="B2036" s="36" t="s">
        <v>132</v>
      </c>
      <c r="C2036" s="37" t="s">
        <v>249</v>
      </c>
      <c r="D2036" s="37" t="s">
        <v>258</v>
      </c>
      <c r="E2036" s="38">
        <v>660595</v>
      </c>
    </row>
    <row r="2037" spans="1:5" x14ac:dyDescent="0.2">
      <c r="A2037" s="35">
        <v>2021</v>
      </c>
      <c r="B2037" s="36" t="s">
        <v>132</v>
      </c>
      <c r="C2037" s="37" t="s">
        <v>259</v>
      </c>
      <c r="D2037" s="37" t="s">
        <v>230</v>
      </c>
      <c r="E2037" s="38">
        <v>1544149</v>
      </c>
    </row>
    <row r="2038" spans="1:5" x14ac:dyDescent="0.2">
      <c r="A2038" s="35">
        <v>2021</v>
      </c>
      <c r="B2038" s="36" t="s">
        <v>132</v>
      </c>
      <c r="C2038" s="37" t="s">
        <v>259</v>
      </c>
      <c r="D2038" s="37" t="s">
        <v>250</v>
      </c>
      <c r="E2038" s="38">
        <v>208309</v>
      </c>
    </row>
    <row r="2039" spans="1:5" x14ac:dyDescent="0.2">
      <c r="A2039" s="35">
        <v>2021</v>
      </c>
      <c r="B2039" s="36" t="s">
        <v>132</v>
      </c>
      <c r="C2039" s="37" t="s">
        <v>259</v>
      </c>
      <c r="D2039" s="37" t="s">
        <v>251</v>
      </c>
      <c r="E2039" s="38">
        <v>121734</v>
      </c>
    </row>
    <row r="2040" spans="1:5" x14ac:dyDescent="0.2">
      <c r="A2040" s="35">
        <v>2021</v>
      </c>
      <c r="B2040" s="36" t="s">
        <v>132</v>
      </c>
      <c r="C2040" s="37" t="s">
        <v>259</v>
      </c>
      <c r="D2040" s="37" t="s">
        <v>252</v>
      </c>
      <c r="E2040" s="38">
        <v>900823</v>
      </c>
    </row>
    <row r="2041" spans="1:5" x14ac:dyDescent="0.2">
      <c r="A2041" s="35">
        <v>2021</v>
      </c>
      <c r="B2041" s="36" t="s">
        <v>132</v>
      </c>
      <c r="C2041" s="37" t="s">
        <v>259</v>
      </c>
      <c r="D2041" s="37" t="s">
        <v>253</v>
      </c>
      <c r="E2041" s="38">
        <v>2209</v>
      </c>
    </row>
    <row r="2042" spans="1:5" x14ac:dyDescent="0.2">
      <c r="A2042" s="35">
        <v>2021</v>
      </c>
      <c r="B2042" s="36" t="s">
        <v>132</v>
      </c>
      <c r="C2042" s="37" t="s">
        <v>259</v>
      </c>
      <c r="D2042" s="37" t="s">
        <v>254</v>
      </c>
      <c r="E2042" s="38">
        <v>4387</v>
      </c>
    </row>
    <row r="2043" spans="1:5" x14ac:dyDescent="0.2">
      <c r="A2043" s="35">
        <v>2021</v>
      </c>
      <c r="B2043" s="36" t="s">
        <v>132</v>
      </c>
      <c r="C2043" s="37" t="s">
        <v>259</v>
      </c>
      <c r="D2043" s="37" t="s">
        <v>256</v>
      </c>
      <c r="E2043" s="38">
        <v>14330</v>
      </c>
    </row>
    <row r="2044" spans="1:5" x14ac:dyDescent="0.2">
      <c r="A2044" s="35">
        <v>2021</v>
      </c>
      <c r="B2044" s="36" t="s">
        <v>132</v>
      </c>
      <c r="C2044" s="37" t="s">
        <v>259</v>
      </c>
      <c r="D2044" s="37" t="s">
        <v>257</v>
      </c>
      <c r="E2044" s="38">
        <v>6871</v>
      </c>
    </row>
    <row r="2045" spans="1:5" x14ac:dyDescent="0.2">
      <c r="A2045" s="35">
        <v>2021</v>
      </c>
      <c r="B2045" s="36" t="s">
        <v>132</v>
      </c>
      <c r="C2045" s="37" t="s">
        <v>259</v>
      </c>
      <c r="D2045" s="37" t="s">
        <v>258</v>
      </c>
      <c r="E2045" s="38">
        <v>285486</v>
      </c>
    </row>
    <row r="2046" spans="1:5" x14ac:dyDescent="0.2">
      <c r="A2046" s="35">
        <v>2021</v>
      </c>
      <c r="B2046" s="36" t="s">
        <v>132</v>
      </c>
      <c r="C2046" s="37" t="s">
        <v>260</v>
      </c>
      <c r="D2046" s="37" t="s">
        <v>230</v>
      </c>
      <c r="E2046" s="38">
        <v>148068</v>
      </c>
    </row>
    <row r="2047" spans="1:5" x14ac:dyDescent="0.2">
      <c r="A2047" s="35">
        <v>2021</v>
      </c>
      <c r="B2047" s="36" t="s">
        <v>132</v>
      </c>
      <c r="C2047" s="37" t="s">
        <v>260</v>
      </c>
      <c r="D2047" s="37" t="s">
        <v>250</v>
      </c>
      <c r="E2047" s="38">
        <v>0</v>
      </c>
    </row>
    <row r="2048" spans="1:5" x14ac:dyDescent="0.2">
      <c r="A2048" s="35">
        <v>2021</v>
      </c>
      <c r="B2048" s="36" t="s">
        <v>132</v>
      </c>
      <c r="C2048" s="37" t="s">
        <v>260</v>
      </c>
      <c r="D2048" s="37" t="s">
        <v>252</v>
      </c>
      <c r="E2048" s="38">
        <v>71703</v>
      </c>
    </row>
    <row r="2049" spans="1:5" x14ac:dyDescent="0.2">
      <c r="A2049" s="35">
        <v>2021</v>
      </c>
      <c r="B2049" s="36" t="s">
        <v>132</v>
      </c>
      <c r="C2049" s="37" t="s">
        <v>260</v>
      </c>
      <c r="D2049" s="37" t="s">
        <v>254</v>
      </c>
      <c r="E2049" s="38">
        <v>831</v>
      </c>
    </row>
    <row r="2050" spans="1:5" x14ac:dyDescent="0.2">
      <c r="A2050" s="35">
        <v>2021</v>
      </c>
      <c r="B2050" s="36" t="s">
        <v>132</v>
      </c>
      <c r="C2050" s="37" t="s">
        <v>260</v>
      </c>
      <c r="D2050" s="37" t="s">
        <v>255</v>
      </c>
      <c r="E2050" s="38">
        <v>3749</v>
      </c>
    </row>
    <row r="2051" spans="1:5" x14ac:dyDescent="0.2">
      <c r="A2051" s="35">
        <v>2021</v>
      </c>
      <c r="B2051" s="36" t="s">
        <v>132</v>
      </c>
      <c r="C2051" s="37" t="s">
        <v>260</v>
      </c>
      <c r="D2051" s="37" t="s">
        <v>256</v>
      </c>
      <c r="E2051" s="38">
        <v>51068</v>
      </c>
    </row>
    <row r="2052" spans="1:5" x14ac:dyDescent="0.2">
      <c r="A2052" s="35">
        <v>2021</v>
      </c>
      <c r="B2052" s="36" t="s">
        <v>132</v>
      </c>
      <c r="C2052" s="37" t="s">
        <v>260</v>
      </c>
      <c r="D2052" s="37" t="s">
        <v>257</v>
      </c>
      <c r="E2052" s="38">
        <v>20717</v>
      </c>
    </row>
    <row r="2053" spans="1:5" x14ac:dyDescent="0.2">
      <c r="A2053" s="35">
        <v>2021</v>
      </c>
      <c r="B2053" s="36" t="s">
        <v>132</v>
      </c>
      <c r="C2053" s="37" t="s">
        <v>260</v>
      </c>
      <c r="D2053" s="37" t="s">
        <v>258</v>
      </c>
      <c r="E2053" s="38">
        <v>0</v>
      </c>
    </row>
    <row r="2054" spans="1:5" x14ac:dyDescent="0.2">
      <c r="A2054" s="35">
        <v>2021</v>
      </c>
      <c r="B2054" s="36" t="s">
        <v>132</v>
      </c>
      <c r="C2054" s="37" t="s">
        <v>261</v>
      </c>
      <c r="D2054" s="37" t="s">
        <v>230</v>
      </c>
      <c r="E2054" s="38">
        <v>921073</v>
      </c>
    </row>
    <row r="2055" spans="1:5" x14ac:dyDescent="0.2">
      <c r="A2055" s="35">
        <v>2021</v>
      </c>
      <c r="B2055" s="36" t="s">
        <v>132</v>
      </c>
      <c r="C2055" s="37" t="s">
        <v>261</v>
      </c>
      <c r="D2055" s="37" t="s">
        <v>252</v>
      </c>
      <c r="E2055" s="38">
        <v>867323</v>
      </c>
    </row>
    <row r="2056" spans="1:5" x14ac:dyDescent="0.2">
      <c r="A2056" s="35">
        <v>2021</v>
      </c>
      <c r="B2056" s="36" t="s">
        <v>132</v>
      </c>
      <c r="C2056" s="37" t="s">
        <v>261</v>
      </c>
      <c r="D2056" s="37" t="s">
        <v>254</v>
      </c>
      <c r="E2056" s="38">
        <v>1194</v>
      </c>
    </row>
    <row r="2057" spans="1:5" x14ac:dyDescent="0.2">
      <c r="A2057" s="35">
        <v>2021</v>
      </c>
      <c r="B2057" s="36" t="s">
        <v>132</v>
      </c>
      <c r="C2057" s="37" t="s">
        <v>261</v>
      </c>
      <c r="D2057" s="37" t="s">
        <v>256</v>
      </c>
      <c r="E2057" s="38">
        <v>52556</v>
      </c>
    </row>
    <row r="2058" spans="1:5" x14ac:dyDescent="0.2">
      <c r="A2058" s="35">
        <v>2021</v>
      </c>
      <c r="B2058" s="36" t="s">
        <v>132</v>
      </c>
      <c r="C2058" s="37" t="s">
        <v>262</v>
      </c>
      <c r="D2058" s="37" t="s">
        <v>230</v>
      </c>
      <c r="E2058" s="38">
        <v>11037826</v>
      </c>
    </row>
    <row r="2059" spans="1:5" x14ac:dyDescent="0.2">
      <c r="A2059" s="35">
        <v>2021</v>
      </c>
      <c r="B2059" s="36" t="s">
        <v>132</v>
      </c>
      <c r="C2059" s="37" t="s">
        <v>262</v>
      </c>
      <c r="D2059" s="37" t="s">
        <v>251</v>
      </c>
      <c r="E2059" s="38">
        <v>118615</v>
      </c>
    </row>
    <row r="2060" spans="1:5" x14ac:dyDescent="0.2">
      <c r="A2060" s="35">
        <v>2021</v>
      </c>
      <c r="B2060" s="36" t="s">
        <v>132</v>
      </c>
      <c r="C2060" s="37" t="s">
        <v>262</v>
      </c>
      <c r="D2060" s="37" t="s">
        <v>264</v>
      </c>
      <c r="E2060" s="38">
        <v>9970190</v>
      </c>
    </row>
    <row r="2061" spans="1:5" x14ac:dyDescent="0.2">
      <c r="A2061" s="35">
        <v>2021</v>
      </c>
      <c r="B2061" s="36" t="s">
        <v>132</v>
      </c>
      <c r="C2061" s="37" t="s">
        <v>262</v>
      </c>
      <c r="D2061" s="37" t="s">
        <v>254</v>
      </c>
      <c r="E2061" s="38">
        <v>-222</v>
      </c>
    </row>
    <row r="2062" spans="1:5" x14ac:dyDescent="0.2">
      <c r="A2062" s="35">
        <v>2021</v>
      </c>
      <c r="B2062" s="36" t="s">
        <v>132</v>
      </c>
      <c r="C2062" s="37" t="s">
        <v>262</v>
      </c>
      <c r="D2062" s="37" t="s">
        <v>255</v>
      </c>
      <c r="E2062" s="38">
        <v>110124</v>
      </c>
    </row>
    <row r="2063" spans="1:5" x14ac:dyDescent="0.2">
      <c r="A2063" s="35">
        <v>2021</v>
      </c>
      <c r="B2063" s="36" t="s">
        <v>132</v>
      </c>
      <c r="C2063" s="37" t="s">
        <v>262</v>
      </c>
      <c r="D2063" s="37" t="s">
        <v>256</v>
      </c>
      <c r="E2063" s="38">
        <v>280157</v>
      </c>
    </row>
    <row r="2064" spans="1:5" x14ac:dyDescent="0.2">
      <c r="A2064" s="35">
        <v>2021</v>
      </c>
      <c r="B2064" s="36" t="s">
        <v>132</v>
      </c>
      <c r="C2064" s="37" t="s">
        <v>262</v>
      </c>
      <c r="D2064" s="37" t="s">
        <v>257</v>
      </c>
      <c r="E2064" s="38">
        <v>558962</v>
      </c>
    </row>
    <row r="2065" spans="1:5" x14ac:dyDescent="0.2">
      <c r="A2065" s="35">
        <v>2021</v>
      </c>
      <c r="B2065" s="36" t="s">
        <v>132</v>
      </c>
      <c r="C2065" s="37" t="s">
        <v>263</v>
      </c>
      <c r="D2065" s="37" t="s">
        <v>230</v>
      </c>
      <c r="E2065" s="38">
        <v>50625364</v>
      </c>
    </row>
    <row r="2066" spans="1:5" x14ac:dyDescent="0.2">
      <c r="A2066" s="35">
        <v>2021</v>
      </c>
      <c r="B2066" s="36" t="s">
        <v>132</v>
      </c>
      <c r="C2066" s="37" t="s">
        <v>263</v>
      </c>
      <c r="D2066" s="37" t="s">
        <v>250</v>
      </c>
      <c r="E2066" s="38">
        <v>27233278</v>
      </c>
    </row>
    <row r="2067" spans="1:5" x14ac:dyDescent="0.2">
      <c r="A2067" s="35">
        <v>2021</v>
      </c>
      <c r="B2067" s="36" t="s">
        <v>132</v>
      </c>
      <c r="C2067" s="37" t="s">
        <v>263</v>
      </c>
      <c r="D2067" s="37" t="s">
        <v>251</v>
      </c>
      <c r="E2067" s="38">
        <v>1904534</v>
      </c>
    </row>
    <row r="2068" spans="1:5" x14ac:dyDescent="0.2">
      <c r="A2068" s="35">
        <v>2021</v>
      </c>
      <c r="B2068" s="36" t="s">
        <v>132</v>
      </c>
      <c r="C2068" s="37" t="s">
        <v>263</v>
      </c>
      <c r="D2068" s="37" t="s">
        <v>252</v>
      </c>
      <c r="E2068" s="38">
        <v>19502152</v>
      </c>
    </row>
    <row r="2069" spans="1:5" x14ac:dyDescent="0.2">
      <c r="A2069" s="35">
        <v>2021</v>
      </c>
      <c r="B2069" s="36" t="s">
        <v>132</v>
      </c>
      <c r="C2069" s="37" t="s">
        <v>263</v>
      </c>
      <c r="D2069" s="37" t="s">
        <v>253</v>
      </c>
      <c r="E2069" s="38">
        <v>23138</v>
      </c>
    </row>
    <row r="2070" spans="1:5" x14ac:dyDescent="0.2">
      <c r="A2070" s="35">
        <v>2021</v>
      </c>
      <c r="B2070" s="36" t="s">
        <v>132</v>
      </c>
      <c r="C2070" s="37" t="s">
        <v>263</v>
      </c>
      <c r="D2070" s="37" t="s">
        <v>254</v>
      </c>
      <c r="E2070" s="38">
        <v>314353</v>
      </c>
    </row>
    <row r="2071" spans="1:5" x14ac:dyDescent="0.2">
      <c r="A2071" s="35">
        <v>2021</v>
      </c>
      <c r="B2071" s="36" t="s">
        <v>132</v>
      </c>
      <c r="C2071" s="37" t="s">
        <v>263</v>
      </c>
      <c r="D2071" s="37" t="s">
        <v>255</v>
      </c>
      <c r="E2071" s="38">
        <v>252933</v>
      </c>
    </row>
    <row r="2072" spans="1:5" x14ac:dyDescent="0.2">
      <c r="A2072" s="35">
        <v>2021</v>
      </c>
      <c r="B2072" s="36" t="s">
        <v>132</v>
      </c>
      <c r="C2072" s="37" t="s">
        <v>263</v>
      </c>
      <c r="D2072" s="37" t="s">
        <v>256</v>
      </c>
      <c r="E2072" s="38">
        <v>12939</v>
      </c>
    </row>
    <row r="2073" spans="1:5" x14ac:dyDescent="0.2">
      <c r="A2073" s="35">
        <v>2021</v>
      </c>
      <c r="B2073" s="36" t="s">
        <v>132</v>
      </c>
      <c r="C2073" s="37" t="s">
        <v>263</v>
      </c>
      <c r="D2073" s="37" t="s">
        <v>257</v>
      </c>
      <c r="E2073" s="38">
        <v>1006929</v>
      </c>
    </row>
    <row r="2074" spans="1:5" x14ac:dyDescent="0.2">
      <c r="A2074" s="35">
        <v>2021</v>
      </c>
      <c r="B2074" s="36" t="s">
        <v>132</v>
      </c>
      <c r="C2074" s="37" t="s">
        <v>263</v>
      </c>
      <c r="D2074" s="37" t="s">
        <v>258</v>
      </c>
      <c r="E2074" s="38">
        <v>375109</v>
      </c>
    </row>
    <row r="2075" spans="1:5" x14ac:dyDescent="0.2">
      <c r="A2075" s="35">
        <v>2021</v>
      </c>
      <c r="B2075" s="36" t="s">
        <v>129</v>
      </c>
      <c r="C2075" s="37" t="s">
        <v>249</v>
      </c>
      <c r="D2075" s="37" t="s">
        <v>230</v>
      </c>
      <c r="E2075" s="38">
        <v>65836063</v>
      </c>
    </row>
    <row r="2076" spans="1:5" x14ac:dyDescent="0.2">
      <c r="A2076" s="35">
        <v>2021</v>
      </c>
      <c r="B2076" s="36" t="s">
        <v>129</v>
      </c>
      <c r="C2076" s="37" t="s">
        <v>249</v>
      </c>
      <c r="D2076" s="37" t="s">
        <v>250</v>
      </c>
      <c r="E2076" s="38">
        <v>59667589</v>
      </c>
    </row>
    <row r="2077" spans="1:5" x14ac:dyDescent="0.2">
      <c r="A2077" s="35">
        <v>2021</v>
      </c>
      <c r="B2077" s="36" t="s">
        <v>129</v>
      </c>
      <c r="C2077" s="37" t="s">
        <v>249</v>
      </c>
      <c r="D2077" s="37" t="s">
        <v>251</v>
      </c>
      <c r="E2077" s="38">
        <v>1704564</v>
      </c>
    </row>
    <row r="2078" spans="1:5" x14ac:dyDescent="0.2">
      <c r="A2078" s="35">
        <v>2021</v>
      </c>
      <c r="B2078" s="36" t="s">
        <v>129</v>
      </c>
      <c r="C2078" s="37" t="s">
        <v>249</v>
      </c>
      <c r="D2078" s="37" t="s">
        <v>252</v>
      </c>
      <c r="E2078" s="38">
        <v>2625675</v>
      </c>
    </row>
    <row r="2079" spans="1:5" x14ac:dyDescent="0.2">
      <c r="A2079" s="35">
        <v>2021</v>
      </c>
      <c r="B2079" s="36" t="s">
        <v>129</v>
      </c>
      <c r="C2079" s="37" t="s">
        <v>249</v>
      </c>
      <c r="D2079" s="37" t="s">
        <v>265</v>
      </c>
      <c r="E2079" s="38">
        <v>53005</v>
      </c>
    </row>
    <row r="2080" spans="1:5" x14ac:dyDescent="0.2">
      <c r="A2080" s="35">
        <v>2021</v>
      </c>
      <c r="B2080" s="36" t="s">
        <v>129</v>
      </c>
      <c r="C2080" s="37" t="s">
        <v>249</v>
      </c>
      <c r="D2080" s="37" t="s">
        <v>253</v>
      </c>
      <c r="E2080" s="38">
        <v>-16271</v>
      </c>
    </row>
    <row r="2081" spans="1:5" x14ac:dyDescent="0.2">
      <c r="A2081" s="35">
        <v>2021</v>
      </c>
      <c r="B2081" s="36" t="s">
        <v>129</v>
      </c>
      <c r="C2081" s="37" t="s">
        <v>249</v>
      </c>
      <c r="D2081" s="37" t="s">
        <v>254</v>
      </c>
      <c r="E2081" s="38">
        <v>167199</v>
      </c>
    </row>
    <row r="2082" spans="1:5" x14ac:dyDescent="0.2">
      <c r="A2082" s="35">
        <v>2021</v>
      </c>
      <c r="B2082" s="36" t="s">
        <v>129</v>
      </c>
      <c r="C2082" s="37" t="s">
        <v>249</v>
      </c>
      <c r="D2082" s="37" t="s">
        <v>256</v>
      </c>
      <c r="E2082" s="38">
        <v>10166</v>
      </c>
    </row>
    <row r="2083" spans="1:5" x14ac:dyDescent="0.2">
      <c r="A2083" s="35">
        <v>2021</v>
      </c>
      <c r="B2083" s="36" t="s">
        <v>129</v>
      </c>
      <c r="C2083" s="37" t="s">
        <v>249</v>
      </c>
      <c r="D2083" s="37" t="s">
        <v>257</v>
      </c>
      <c r="E2083" s="38">
        <v>1624136</v>
      </c>
    </row>
    <row r="2084" spans="1:5" x14ac:dyDescent="0.2">
      <c r="A2084" s="35">
        <v>2021</v>
      </c>
      <c r="B2084" s="36" t="s">
        <v>129</v>
      </c>
      <c r="C2084" s="37" t="s">
        <v>259</v>
      </c>
      <c r="D2084" s="37" t="s">
        <v>230</v>
      </c>
      <c r="E2084" s="38">
        <v>1268818</v>
      </c>
    </row>
    <row r="2085" spans="1:5" x14ac:dyDescent="0.2">
      <c r="A2085" s="35">
        <v>2021</v>
      </c>
      <c r="B2085" s="36" t="s">
        <v>129</v>
      </c>
      <c r="C2085" s="37" t="s">
        <v>259</v>
      </c>
      <c r="D2085" s="37" t="s">
        <v>251</v>
      </c>
      <c r="E2085" s="38">
        <v>516228</v>
      </c>
    </row>
    <row r="2086" spans="1:5" x14ac:dyDescent="0.2">
      <c r="A2086" s="35">
        <v>2021</v>
      </c>
      <c r="B2086" s="36" t="s">
        <v>129</v>
      </c>
      <c r="C2086" s="37" t="s">
        <v>259</v>
      </c>
      <c r="D2086" s="37" t="s">
        <v>252</v>
      </c>
      <c r="E2086" s="38">
        <v>699585</v>
      </c>
    </row>
    <row r="2087" spans="1:5" x14ac:dyDescent="0.2">
      <c r="A2087" s="35">
        <v>2021</v>
      </c>
      <c r="B2087" s="36" t="s">
        <v>129</v>
      </c>
      <c r="C2087" s="37" t="s">
        <v>259</v>
      </c>
      <c r="D2087" s="37" t="s">
        <v>265</v>
      </c>
      <c r="E2087" s="38">
        <v>53005</v>
      </c>
    </row>
    <row r="2088" spans="1:5" x14ac:dyDescent="0.2">
      <c r="A2088" s="35">
        <v>2021</v>
      </c>
      <c r="B2088" s="36" t="s">
        <v>129</v>
      </c>
      <c r="C2088" s="37" t="s">
        <v>262</v>
      </c>
      <c r="D2088" s="37" t="s">
        <v>230</v>
      </c>
      <c r="E2088" s="38">
        <v>17315353</v>
      </c>
    </row>
    <row r="2089" spans="1:5" x14ac:dyDescent="0.2">
      <c r="A2089" s="35">
        <v>2021</v>
      </c>
      <c r="B2089" s="36" t="s">
        <v>129</v>
      </c>
      <c r="C2089" s="37" t="s">
        <v>262</v>
      </c>
      <c r="D2089" s="37" t="s">
        <v>250</v>
      </c>
      <c r="E2089" s="38">
        <v>13723811</v>
      </c>
    </row>
    <row r="2090" spans="1:5" x14ac:dyDescent="0.2">
      <c r="A2090" s="35">
        <v>2021</v>
      </c>
      <c r="B2090" s="36" t="s">
        <v>129</v>
      </c>
      <c r="C2090" s="37" t="s">
        <v>262</v>
      </c>
      <c r="D2090" s="37" t="s">
        <v>251</v>
      </c>
      <c r="E2090" s="38">
        <v>391927</v>
      </c>
    </row>
    <row r="2091" spans="1:5" x14ac:dyDescent="0.2">
      <c r="A2091" s="35">
        <v>2021</v>
      </c>
      <c r="B2091" s="36" t="s">
        <v>129</v>
      </c>
      <c r="C2091" s="37" t="s">
        <v>262</v>
      </c>
      <c r="D2091" s="37" t="s">
        <v>252</v>
      </c>
      <c r="E2091" s="38">
        <v>1576895</v>
      </c>
    </row>
    <row r="2092" spans="1:5" x14ac:dyDescent="0.2">
      <c r="A2092" s="35">
        <v>2021</v>
      </c>
      <c r="B2092" s="36" t="s">
        <v>129</v>
      </c>
      <c r="C2092" s="37" t="s">
        <v>262</v>
      </c>
      <c r="D2092" s="37" t="s">
        <v>253</v>
      </c>
      <c r="E2092" s="38">
        <v>-16271</v>
      </c>
    </row>
    <row r="2093" spans="1:5" x14ac:dyDescent="0.2">
      <c r="A2093" s="35">
        <v>2021</v>
      </c>
      <c r="B2093" s="36" t="s">
        <v>129</v>
      </c>
      <c r="C2093" s="37" t="s">
        <v>262</v>
      </c>
      <c r="D2093" s="37" t="s">
        <v>254</v>
      </c>
      <c r="E2093" s="38">
        <v>4689</v>
      </c>
    </row>
    <row r="2094" spans="1:5" x14ac:dyDescent="0.2">
      <c r="A2094" s="35">
        <v>2021</v>
      </c>
      <c r="B2094" s="36" t="s">
        <v>129</v>
      </c>
      <c r="C2094" s="37" t="s">
        <v>262</v>
      </c>
      <c r="D2094" s="37" t="s">
        <v>256</v>
      </c>
      <c r="E2094" s="38">
        <v>10166</v>
      </c>
    </row>
    <row r="2095" spans="1:5" x14ac:dyDescent="0.2">
      <c r="A2095" s="35">
        <v>2021</v>
      </c>
      <c r="B2095" s="36" t="s">
        <v>129</v>
      </c>
      <c r="C2095" s="37" t="s">
        <v>262</v>
      </c>
      <c r="D2095" s="37" t="s">
        <v>257</v>
      </c>
      <c r="E2095" s="38">
        <v>1624136</v>
      </c>
    </row>
    <row r="2096" spans="1:5" x14ac:dyDescent="0.2">
      <c r="A2096" s="35">
        <v>2021</v>
      </c>
      <c r="B2096" s="36" t="s">
        <v>129</v>
      </c>
      <c r="C2096" s="37" t="s">
        <v>263</v>
      </c>
      <c r="D2096" s="37" t="s">
        <v>230</v>
      </c>
      <c r="E2096" s="38">
        <v>47251892</v>
      </c>
    </row>
    <row r="2097" spans="1:5" x14ac:dyDescent="0.2">
      <c r="A2097" s="35">
        <v>2021</v>
      </c>
      <c r="B2097" s="36" t="s">
        <v>129</v>
      </c>
      <c r="C2097" s="37" t="s">
        <v>263</v>
      </c>
      <c r="D2097" s="37" t="s">
        <v>250</v>
      </c>
      <c r="E2097" s="38">
        <v>45943778</v>
      </c>
    </row>
    <row r="2098" spans="1:5" x14ac:dyDescent="0.2">
      <c r="A2098" s="35">
        <v>2021</v>
      </c>
      <c r="B2098" s="36" t="s">
        <v>129</v>
      </c>
      <c r="C2098" s="37" t="s">
        <v>263</v>
      </c>
      <c r="D2098" s="37" t="s">
        <v>251</v>
      </c>
      <c r="E2098" s="38">
        <v>796409</v>
      </c>
    </row>
    <row r="2099" spans="1:5" x14ac:dyDescent="0.2">
      <c r="A2099" s="35">
        <v>2021</v>
      </c>
      <c r="B2099" s="36" t="s">
        <v>129</v>
      </c>
      <c r="C2099" s="37" t="s">
        <v>263</v>
      </c>
      <c r="D2099" s="37" t="s">
        <v>252</v>
      </c>
      <c r="E2099" s="38">
        <v>349195</v>
      </c>
    </row>
    <row r="2100" spans="1:5" x14ac:dyDescent="0.2">
      <c r="A2100" s="35">
        <v>2021</v>
      </c>
      <c r="B2100" s="36" t="s">
        <v>129</v>
      </c>
      <c r="C2100" s="37" t="s">
        <v>263</v>
      </c>
      <c r="D2100" s="37" t="s">
        <v>253</v>
      </c>
      <c r="E2100" s="38">
        <v>0</v>
      </c>
    </row>
    <row r="2101" spans="1:5" x14ac:dyDescent="0.2">
      <c r="A2101" s="35">
        <v>2021</v>
      </c>
      <c r="B2101" s="36" t="s">
        <v>129</v>
      </c>
      <c r="C2101" s="37" t="s">
        <v>263</v>
      </c>
      <c r="D2101" s="37" t="s">
        <v>254</v>
      </c>
      <c r="E2101" s="38">
        <v>162510</v>
      </c>
    </row>
    <row r="2102" spans="1:5" x14ac:dyDescent="0.2">
      <c r="A2102" s="35">
        <v>2021</v>
      </c>
      <c r="B2102" s="36" t="s">
        <v>135</v>
      </c>
      <c r="C2102" s="37" t="s">
        <v>249</v>
      </c>
      <c r="D2102" s="37" t="s">
        <v>230</v>
      </c>
      <c r="E2102" s="38">
        <v>43460744</v>
      </c>
    </row>
    <row r="2103" spans="1:5" x14ac:dyDescent="0.2">
      <c r="A2103" s="35">
        <v>2021</v>
      </c>
      <c r="B2103" s="36" t="s">
        <v>135</v>
      </c>
      <c r="C2103" s="37" t="s">
        <v>249</v>
      </c>
      <c r="D2103" s="37" t="s">
        <v>250</v>
      </c>
      <c r="E2103" s="38">
        <v>32038128</v>
      </c>
    </row>
    <row r="2104" spans="1:5" x14ac:dyDescent="0.2">
      <c r="A2104" s="35">
        <v>2021</v>
      </c>
      <c r="B2104" s="36" t="s">
        <v>135</v>
      </c>
      <c r="C2104" s="37" t="s">
        <v>249</v>
      </c>
      <c r="D2104" s="37" t="s">
        <v>251</v>
      </c>
      <c r="E2104" s="38">
        <v>790445</v>
      </c>
    </row>
    <row r="2105" spans="1:5" x14ac:dyDescent="0.2">
      <c r="A2105" s="35">
        <v>2021</v>
      </c>
      <c r="B2105" s="36" t="s">
        <v>135</v>
      </c>
      <c r="C2105" s="37" t="s">
        <v>249</v>
      </c>
      <c r="D2105" s="37" t="s">
        <v>252</v>
      </c>
      <c r="E2105" s="38">
        <v>1500701</v>
      </c>
    </row>
    <row r="2106" spans="1:5" x14ac:dyDescent="0.2">
      <c r="A2106" s="35">
        <v>2021</v>
      </c>
      <c r="B2106" s="36" t="s">
        <v>135</v>
      </c>
      <c r="C2106" s="37" t="s">
        <v>249</v>
      </c>
      <c r="D2106" s="37" t="s">
        <v>265</v>
      </c>
      <c r="E2106" s="38">
        <v>360169</v>
      </c>
    </row>
    <row r="2107" spans="1:5" x14ac:dyDescent="0.2">
      <c r="A2107" s="35">
        <v>2021</v>
      </c>
      <c r="B2107" s="36" t="s">
        <v>135</v>
      </c>
      <c r="C2107" s="37" t="s">
        <v>249</v>
      </c>
      <c r="D2107" s="37" t="s">
        <v>253</v>
      </c>
      <c r="E2107" s="38">
        <v>84037</v>
      </c>
    </row>
    <row r="2108" spans="1:5" x14ac:dyDescent="0.2">
      <c r="A2108" s="35">
        <v>2021</v>
      </c>
      <c r="B2108" s="36" t="s">
        <v>135</v>
      </c>
      <c r="C2108" s="37" t="s">
        <v>249</v>
      </c>
      <c r="D2108" s="37" t="s">
        <v>254</v>
      </c>
      <c r="E2108" s="38">
        <v>60332</v>
      </c>
    </row>
    <row r="2109" spans="1:5" x14ac:dyDescent="0.2">
      <c r="A2109" s="35">
        <v>2021</v>
      </c>
      <c r="B2109" s="36" t="s">
        <v>135</v>
      </c>
      <c r="C2109" s="37" t="s">
        <v>249</v>
      </c>
      <c r="D2109" s="37" t="s">
        <v>255</v>
      </c>
      <c r="E2109" s="38">
        <v>179072</v>
      </c>
    </row>
    <row r="2110" spans="1:5" x14ac:dyDescent="0.2">
      <c r="A2110" s="35">
        <v>2021</v>
      </c>
      <c r="B2110" s="36" t="s">
        <v>135</v>
      </c>
      <c r="C2110" s="37" t="s">
        <v>249</v>
      </c>
      <c r="D2110" s="37" t="s">
        <v>257</v>
      </c>
      <c r="E2110" s="38">
        <v>8447860</v>
      </c>
    </row>
    <row r="2111" spans="1:5" x14ac:dyDescent="0.2">
      <c r="A2111" s="35">
        <v>2021</v>
      </c>
      <c r="B2111" s="36" t="s">
        <v>135</v>
      </c>
      <c r="C2111" s="37" t="s">
        <v>259</v>
      </c>
      <c r="D2111" s="37" t="s">
        <v>230</v>
      </c>
      <c r="E2111" s="38">
        <v>1441268</v>
      </c>
    </row>
    <row r="2112" spans="1:5" x14ac:dyDescent="0.2">
      <c r="A2112" s="35">
        <v>2021</v>
      </c>
      <c r="B2112" s="36" t="s">
        <v>135</v>
      </c>
      <c r="C2112" s="37" t="s">
        <v>259</v>
      </c>
      <c r="D2112" s="37" t="s">
        <v>250</v>
      </c>
      <c r="E2112" s="38">
        <v>361811</v>
      </c>
    </row>
    <row r="2113" spans="1:5" x14ac:dyDescent="0.2">
      <c r="A2113" s="35">
        <v>2021</v>
      </c>
      <c r="B2113" s="36" t="s">
        <v>135</v>
      </c>
      <c r="C2113" s="37" t="s">
        <v>259</v>
      </c>
      <c r="D2113" s="37" t="s">
        <v>252</v>
      </c>
      <c r="E2113" s="38">
        <v>634965</v>
      </c>
    </row>
    <row r="2114" spans="1:5" x14ac:dyDescent="0.2">
      <c r="A2114" s="35">
        <v>2021</v>
      </c>
      <c r="B2114" s="36" t="s">
        <v>135</v>
      </c>
      <c r="C2114" s="37" t="s">
        <v>259</v>
      </c>
      <c r="D2114" s="37" t="s">
        <v>265</v>
      </c>
      <c r="E2114" s="38">
        <v>360169</v>
      </c>
    </row>
    <row r="2115" spans="1:5" x14ac:dyDescent="0.2">
      <c r="A2115" s="35">
        <v>2021</v>
      </c>
      <c r="B2115" s="36" t="s">
        <v>135</v>
      </c>
      <c r="C2115" s="37" t="s">
        <v>259</v>
      </c>
      <c r="D2115" s="37" t="s">
        <v>253</v>
      </c>
      <c r="E2115" s="38">
        <v>84037</v>
      </c>
    </row>
    <row r="2116" spans="1:5" x14ac:dyDescent="0.2">
      <c r="A2116" s="35">
        <v>2021</v>
      </c>
      <c r="B2116" s="36" t="s">
        <v>135</v>
      </c>
      <c r="C2116" s="37" t="s">
        <v>259</v>
      </c>
      <c r="D2116" s="37" t="s">
        <v>254</v>
      </c>
      <c r="E2116" s="38">
        <v>286</v>
      </c>
    </row>
    <row r="2117" spans="1:5" x14ac:dyDescent="0.2">
      <c r="A2117" s="35">
        <v>2021</v>
      </c>
      <c r="B2117" s="36" t="s">
        <v>135</v>
      </c>
      <c r="C2117" s="37" t="s">
        <v>262</v>
      </c>
      <c r="D2117" s="37" t="s">
        <v>230</v>
      </c>
      <c r="E2117" s="38">
        <v>4821007</v>
      </c>
    </row>
    <row r="2118" spans="1:5" x14ac:dyDescent="0.2">
      <c r="A2118" s="35">
        <v>2021</v>
      </c>
      <c r="B2118" s="36" t="s">
        <v>135</v>
      </c>
      <c r="C2118" s="37" t="s">
        <v>262</v>
      </c>
      <c r="D2118" s="37" t="s">
        <v>250</v>
      </c>
      <c r="E2118" s="38">
        <v>520392</v>
      </c>
    </row>
    <row r="2119" spans="1:5" x14ac:dyDescent="0.2">
      <c r="A2119" s="35">
        <v>2021</v>
      </c>
      <c r="B2119" s="36" t="s">
        <v>135</v>
      </c>
      <c r="C2119" s="37" t="s">
        <v>262</v>
      </c>
      <c r="D2119" s="37" t="s">
        <v>251</v>
      </c>
      <c r="E2119" s="38">
        <v>9080</v>
      </c>
    </row>
    <row r="2120" spans="1:5" x14ac:dyDescent="0.2">
      <c r="A2120" s="35">
        <v>2021</v>
      </c>
      <c r="B2120" s="36" t="s">
        <v>135</v>
      </c>
      <c r="C2120" s="37" t="s">
        <v>262</v>
      </c>
      <c r="D2120" s="37" t="s">
        <v>252</v>
      </c>
      <c r="E2120" s="38">
        <v>1124</v>
      </c>
    </row>
    <row r="2121" spans="1:5" x14ac:dyDescent="0.2">
      <c r="A2121" s="35">
        <v>2021</v>
      </c>
      <c r="B2121" s="36" t="s">
        <v>135</v>
      </c>
      <c r="C2121" s="37" t="s">
        <v>262</v>
      </c>
      <c r="D2121" s="37" t="s">
        <v>255</v>
      </c>
      <c r="E2121" s="38">
        <v>179072</v>
      </c>
    </row>
    <row r="2122" spans="1:5" x14ac:dyDescent="0.2">
      <c r="A2122" s="35">
        <v>2021</v>
      </c>
      <c r="B2122" s="36" t="s">
        <v>135</v>
      </c>
      <c r="C2122" s="37" t="s">
        <v>262</v>
      </c>
      <c r="D2122" s="37" t="s">
        <v>257</v>
      </c>
      <c r="E2122" s="38">
        <v>4111339</v>
      </c>
    </row>
    <row r="2123" spans="1:5" x14ac:dyDescent="0.2">
      <c r="A2123" s="35">
        <v>2021</v>
      </c>
      <c r="B2123" s="36" t="s">
        <v>135</v>
      </c>
      <c r="C2123" s="37" t="s">
        <v>263</v>
      </c>
      <c r="D2123" s="37" t="s">
        <v>230</v>
      </c>
      <c r="E2123" s="38">
        <v>37198469</v>
      </c>
    </row>
    <row r="2124" spans="1:5" x14ac:dyDescent="0.2">
      <c r="A2124" s="35">
        <v>2021</v>
      </c>
      <c r="B2124" s="36" t="s">
        <v>135</v>
      </c>
      <c r="C2124" s="37" t="s">
        <v>263</v>
      </c>
      <c r="D2124" s="37" t="s">
        <v>250</v>
      </c>
      <c r="E2124" s="38">
        <v>31155925</v>
      </c>
    </row>
    <row r="2125" spans="1:5" x14ac:dyDescent="0.2">
      <c r="A2125" s="35">
        <v>2021</v>
      </c>
      <c r="B2125" s="36" t="s">
        <v>135</v>
      </c>
      <c r="C2125" s="37" t="s">
        <v>263</v>
      </c>
      <c r="D2125" s="37" t="s">
        <v>251</v>
      </c>
      <c r="E2125" s="38">
        <v>781365</v>
      </c>
    </row>
    <row r="2126" spans="1:5" x14ac:dyDescent="0.2">
      <c r="A2126" s="35">
        <v>2021</v>
      </c>
      <c r="B2126" s="36" t="s">
        <v>135</v>
      </c>
      <c r="C2126" s="37" t="s">
        <v>263</v>
      </c>
      <c r="D2126" s="37" t="s">
        <v>252</v>
      </c>
      <c r="E2126" s="38">
        <v>864612</v>
      </c>
    </row>
    <row r="2127" spans="1:5" x14ac:dyDescent="0.2">
      <c r="A2127" s="35">
        <v>2021</v>
      </c>
      <c r="B2127" s="36" t="s">
        <v>135</v>
      </c>
      <c r="C2127" s="37" t="s">
        <v>263</v>
      </c>
      <c r="D2127" s="37" t="s">
        <v>254</v>
      </c>
      <c r="E2127" s="38">
        <v>60046</v>
      </c>
    </row>
    <row r="2128" spans="1:5" x14ac:dyDescent="0.2">
      <c r="A2128" s="35">
        <v>2021</v>
      </c>
      <c r="B2128" s="36" t="s">
        <v>135</v>
      </c>
      <c r="C2128" s="37" t="s">
        <v>263</v>
      </c>
      <c r="D2128" s="37" t="s">
        <v>257</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269</v>
      </c>
      <c r="B1" s="21"/>
      <c r="C1" s="21"/>
      <c r="D1" s="21"/>
      <c r="E1" s="21"/>
      <c r="F1" s="21"/>
      <c r="G1" s="21"/>
    </row>
    <row r="2" spans="1:7" s="12" customFormat="1" ht="20.100000000000001" customHeight="1" x14ac:dyDescent="0.2">
      <c r="A2" s="22" t="s">
        <v>270</v>
      </c>
      <c r="B2" s="22"/>
      <c r="C2" s="22"/>
      <c r="D2" s="22"/>
      <c r="E2" s="22">
        <f>SUBTOTAL(9,E4:E2319)</f>
        <v>151104351</v>
      </c>
      <c r="F2" s="22"/>
      <c r="G2" s="22"/>
    </row>
    <row r="3" spans="1:7" x14ac:dyDescent="0.25">
      <c r="A3" s="23" t="s">
        <v>271</v>
      </c>
      <c r="B3" s="23" t="s">
        <v>174</v>
      </c>
      <c r="C3" s="23" t="s">
        <v>272</v>
      </c>
      <c r="D3" s="23" t="s">
        <v>273</v>
      </c>
      <c r="E3" s="23" t="s">
        <v>274</v>
      </c>
      <c r="F3" s="23" t="s">
        <v>275</v>
      </c>
      <c r="G3" s="23" t="s">
        <v>276</v>
      </c>
    </row>
    <row r="4" spans="1:7" hidden="1" x14ac:dyDescent="0.25">
      <c r="A4" s="24" t="s">
        <v>277</v>
      </c>
      <c r="B4" s="24" t="s">
        <v>6</v>
      </c>
      <c r="C4" s="24" t="s">
        <v>278</v>
      </c>
      <c r="D4" s="25">
        <v>17005</v>
      </c>
      <c r="E4" s="25">
        <v>414210</v>
      </c>
      <c r="F4" s="26">
        <v>47342.2</v>
      </c>
      <c r="G4" s="27">
        <v>11.429516</v>
      </c>
    </row>
    <row r="5" spans="1:7" hidden="1" x14ac:dyDescent="0.25">
      <c r="A5" s="24" t="s">
        <v>279</v>
      </c>
      <c r="B5" s="24" t="s">
        <v>6</v>
      </c>
      <c r="C5" s="24" t="s">
        <v>278</v>
      </c>
      <c r="D5" s="25">
        <v>7866</v>
      </c>
      <c r="E5" s="25">
        <v>65793</v>
      </c>
      <c r="F5" s="26">
        <v>17957</v>
      </c>
      <c r="G5" s="27">
        <v>27.293177</v>
      </c>
    </row>
    <row r="6" spans="1:7" hidden="1" x14ac:dyDescent="0.25">
      <c r="A6" s="24" t="s">
        <v>280</v>
      </c>
      <c r="B6" s="24" t="s">
        <v>6</v>
      </c>
      <c r="C6" s="24" t="s">
        <v>281</v>
      </c>
      <c r="D6" s="25">
        <v>11414</v>
      </c>
      <c r="E6" s="25">
        <v>115837</v>
      </c>
      <c r="F6" s="26">
        <v>45588</v>
      </c>
      <c r="G6" s="27">
        <v>39.355300999999997</v>
      </c>
    </row>
    <row r="7" spans="1:7" hidden="1" x14ac:dyDescent="0.25">
      <c r="A7" s="24" t="s">
        <v>282</v>
      </c>
      <c r="B7" s="24" t="s">
        <v>6</v>
      </c>
      <c r="C7" s="24" t="s">
        <v>283</v>
      </c>
      <c r="D7" s="25">
        <v>31072</v>
      </c>
      <c r="E7" s="25">
        <v>966678</v>
      </c>
      <c r="F7" s="26">
        <v>166730.4</v>
      </c>
      <c r="G7" s="27">
        <v>17.247769999999999</v>
      </c>
    </row>
    <row r="8" spans="1:7" hidden="1" x14ac:dyDescent="0.25">
      <c r="A8" s="24" t="s">
        <v>284</v>
      </c>
      <c r="B8" s="24" t="s">
        <v>6</v>
      </c>
      <c r="C8" s="24" t="s">
        <v>281</v>
      </c>
      <c r="D8" s="25">
        <v>2013</v>
      </c>
      <c r="E8" s="25">
        <v>49165</v>
      </c>
      <c r="F8" s="26">
        <v>5955.4</v>
      </c>
      <c r="G8" s="27">
        <v>12.113089</v>
      </c>
    </row>
    <row r="9" spans="1:7" hidden="1" x14ac:dyDescent="0.25">
      <c r="A9" s="24" t="s">
        <v>285</v>
      </c>
      <c r="B9" s="24" t="s">
        <v>6</v>
      </c>
      <c r="C9" s="24" t="s">
        <v>281</v>
      </c>
      <c r="D9" s="25">
        <v>80927</v>
      </c>
      <c r="E9" s="25">
        <v>1105173</v>
      </c>
      <c r="F9" s="26">
        <v>198079.3</v>
      </c>
      <c r="G9" s="27">
        <v>17.922922</v>
      </c>
    </row>
    <row r="10" spans="1:7" hidden="1" x14ac:dyDescent="0.25">
      <c r="A10" s="24" t="s">
        <v>286</v>
      </c>
      <c r="B10" s="24" t="s">
        <v>6</v>
      </c>
      <c r="C10" s="24" t="s">
        <v>283</v>
      </c>
      <c r="D10" s="25">
        <v>5777</v>
      </c>
      <c r="E10" s="25">
        <v>105299</v>
      </c>
      <c r="F10" s="26">
        <v>16237.8</v>
      </c>
      <c r="G10" s="27">
        <v>15.420659000000001</v>
      </c>
    </row>
    <row r="11" spans="1:7" hidden="1" x14ac:dyDescent="0.25">
      <c r="A11" s="24" t="s">
        <v>287</v>
      </c>
      <c r="B11" s="24" t="s">
        <v>6</v>
      </c>
      <c r="C11" s="24" t="s">
        <v>283</v>
      </c>
      <c r="D11" s="25">
        <v>987</v>
      </c>
      <c r="E11" s="25">
        <v>56862</v>
      </c>
      <c r="F11" s="26">
        <v>17937.099999999999</v>
      </c>
      <c r="G11" s="27">
        <v>31.544968999999998</v>
      </c>
    </row>
    <row r="12" spans="1:7" hidden="1" x14ac:dyDescent="0.25">
      <c r="A12" s="24" t="s">
        <v>288</v>
      </c>
      <c r="B12" s="24" t="s">
        <v>6</v>
      </c>
      <c r="C12" s="24" t="s">
        <v>283</v>
      </c>
      <c r="D12" s="25">
        <v>2095</v>
      </c>
      <c r="E12" s="25">
        <v>35323</v>
      </c>
      <c r="F12" s="26">
        <v>4046</v>
      </c>
      <c r="G12" s="27">
        <v>11.454293</v>
      </c>
    </row>
    <row r="13" spans="1:7" hidden="1" x14ac:dyDescent="0.25">
      <c r="A13" s="24" t="s">
        <v>289</v>
      </c>
      <c r="B13" s="24" t="s">
        <v>6</v>
      </c>
      <c r="C13" s="24" t="s">
        <v>281</v>
      </c>
      <c r="D13" s="25">
        <v>3797</v>
      </c>
      <c r="E13" s="25">
        <v>82814</v>
      </c>
      <c r="F13" s="26">
        <v>19814</v>
      </c>
      <c r="G13" s="27">
        <v>23.925906000000001</v>
      </c>
    </row>
    <row r="14" spans="1:7" hidden="1" x14ac:dyDescent="0.25">
      <c r="A14" s="24" t="s">
        <v>290</v>
      </c>
      <c r="B14" s="24" t="s">
        <v>6</v>
      </c>
      <c r="C14" s="24" t="s">
        <v>281</v>
      </c>
      <c r="D14" s="25">
        <v>1629</v>
      </c>
      <c r="E14" s="25">
        <v>26368</v>
      </c>
      <c r="F14" s="26">
        <v>7324</v>
      </c>
      <c r="G14" s="27">
        <v>27.776091999999998</v>
      </c>
    </row>
    <row r="15" spans="1:7" hidden="1" x14ac:dyDescent="0.25">
      <c r="A15" s="24" t="s">
        <v>291</v>
      </c>
      <c r="B15" s="24" t="s">
        <v>6</v>
      </c>
      <c r="C15" s="24" t="s">
        <v>281</v>
      </c>
      <c r="D15" s="25">
        <v>46080</v>
      </c>
      <c r="E15" s="25">
        <v>1236374</v>
      </c>
      <c r="F15" s="26">
        <v>239739.3</v>
      </c>
      <c r="G15" s="27">
        <v>19.390516000000002</v>
      </c>
    </row>
    <row r="16" spans="1:7" hidden="1" x14ac:dyDescent="0.25">
      <c r="A16" s="24" t="s">
        <v>292</v>
      </c>
      <c r="B16" s="24" t="s">
        <v>6</v>
      </c>
      <c r="C16" s="24" t="s">
        <v>281</v>
      </c>
      <c r="D16" s="25">
        <v>31470</v>
      </c>
      <c r="E16" s="25">
        <v>479189</v>
      </c>
      <c r="F16" s="26">
        <v>98775.2</v>
      </c>
      <c r="G16" s="27">
        <v>20.612994</v>
      </c>
    </row>
    <row r="17" spans="1:7" hidden="1" x14ac:dyDescent="0.25">
      <c r="A17" s="24" t="s">
        <v>293</v>
      </c>
      <c r="B17" s="24" t="s">
        <v>6</v>
      </c>
      <c r="C17" s="24" t="s">
        <v>283</v>
      </c>
      <c r="D17" s="25">
        <v>7799</v>
      </c>
      <c r="E17" s="25">
        <v>175448</v>
      </c>
      <c r="F17" s="26">
        <v>17846.3</v>
      </c>
      <c r="G17" s="27">
        <v>10.171846</v>
      </c>
    </row>
    <row r="18" spans="1:7" hidden="1" x14ac:dyDescent="0.25">
      <c r="A18" s="24" t="s">
        <v>294</v>
      </c>
      <c r="B18" s="24" t="s">
        <v>6</v>
      </c>
      <c r="C18" s="24" t="s">
        <v>281</v>
      </c>
      <c r="D18" s="25">
        <v>5895</v>
      </c>
      <c r="E18" s="25">
        <v>150829</v>
      </c>
      <c r="F18" s="26">
        <v>24389</v>
      </c>
      <c r="G18" s="27">
        <v>16.169967</v>
      </c>
    </row>
    <row r="19" spans="1:7" hidden="1" x14ac:dyDescent="0.25">
      <c r="A19" s="24" t="s">
        <v>295</v>
      </c>
      <c r="B19" s="24" t="s">
        <v>6</v>
      </c>
      <c r="C19" s="24" t="s">
        <v>281</v>
      </c>
      <c r="D19" s="25">
        <v>1249</v>
      </c>
      <c r="E19" s="25">
        <v>19408</v>
      </c>
      <c r="F19" s="26">
        <v>7026.3</v>
      </c>
      <c r="G19" s="27">
        <v>36.203111999999997</v>
      </c>
    </row>
    <row r="20" spans="1:7" hidden="1" x14ac:dyDescent="0.25">
      <c r="A20" s="24" t="s">
        <v>296</v>
      </c>
      <c r="B20" s="24" t="s">
        <v>6</v>
      </c>
      <c r="C20" s="24" t="s">
        <v>281</v>
      </c>
      <c r="D20" s="25">
        <v>63775</v>
      </c>
      <c r="E20" s="25">
        <v>751416</v>
      </c>
      <c r="F20" s="26">
        <v>145939.1</v>
      </c>
      <c r="G20" s="27">
        <v>19.421878</v>
      </c>
    </row>
    <row r="21" spans="1:7" hidden="1" x14ac:dyDescent="0.25">
      <c r="A21" s="24" t="s">
        <v>297</v>
      </c>
      <c r="B21" s="24" t="s">
        <v>6</v>
      </c>
      <c r="C21" s="24" t="s">
        <v>283</v>
      </c>
      <c r="D21" s="25">
        <v>2203</v>
      </c>
      <c r="E21" s="25">
        <v>29010</v>
      </c>
      <c r="F21" s="26">
        <v>9221</v>
      </c>
      <c r="G21" s="27">
        <v>31.785591</v>
      </c>
    </row>
    <row r="22" spans="1:7" hidden="1" x14ac:dyDescent="0.25">
      <c r="A22" s="24" t="s">
        <v>298</v>
      </c>
      <c r="B22" s="24" t="s">
        <v>6</v>
      </c>
      <c r="C22" s="24" t="s">
        <v>283</v>
      </c>
      <c r="D22" s="25">
        <v>1214</v>
      </c>
      <c r="E22" s="25">
        <v>31543</v>
      </c>
      <c r="F22" s="26">
        <v>8287.7999999999993</v>
      </c>
      <c r="G22" s="27">
        <v>26.274609000000002</v>
      </c>
    </row>
    <row r="23" spans="1:7" hidden="1" x14ac:dyDescent="0.25">
      <c r="A23" s="24" t="s">
        <v>299</v>
      </c>
      <c r="B23" s="24" t="s">
        <v>6</v>
      </c>
      <c r="C23" s="24" t="s">
        <v>283</v>
      </c>
      <c r="D23" s="25">
        <v>2147</v>
      </c>
      <c r="E23" s="25">
        <v>52407</v>
      </c>
      <c r="F23" s="26">
        <v>5644.8</v>
      </c>
      <c r="G23" s="27">
        <v>10.77108</v>
      </c>
    </row>
    <row r="24" spans="1:7" hidden="1" x14ac:dyDescent="0.25">
      <c r="A24" s="24" t="s">
        <v>300</v>
      </c>
      <c r="B24" s="24" t="s">
        <v>6</v>
      </c>
      <c r="C24" s="24" t="s">
        <v>278</v>
      </c>
      <c r="D24" s="25">
        <v>166</v>
      </c>
      <c r="E24" s="25">
        <v>63132</v>
      </c>
      <c r="F24" s="26">
        <v>14478</v>
      </c>
      <c r="G24" s="27">
        <v>22.932901999999999</v>
      </c>
    </row>
    <row r="25" spans="1:7" hidden="1" x14ac:dyDescent="0.25">
      <c r="A25" s="24" t="s">
        <v>301</v>
      </c>
      <c r="B25" s="24" t="s">
        <v>3</v>
      </c>
      <c r="C25" s="24" t="s">
        <v>278</v>
      </c>
      <c r="D25" s="25">
        <v>1475042</v>
      </c>
      <c r="E25" s="25">
        <v>53709666</v>
      </c>
      <c r="F25" s="26">
        <v>5457826</v>
      </c>
      <c r="G25" s="27">
        <v>10.161720000000001</v>
      </c>
    </row>
    <row r="26" spans="1:7" hidden="1" x14ac:dyDescent="0.25">
      <c r="A26" s="24" t="s">
        <v>302</v>
      </c>
      <c r="B26" s="24" t="s">
        <v>3</v>
      </c>
      <c r="C26" s="24" t="s">
        <v>283</v>
      </c>
      <c r="D26" s="25">
        <v>10183</v>
      </c>
      <c r="E26" s="25">
        <v>585580</v>
      </c>
      <c r="F26" s="26">
        <v>46505</v>
      </c>
      <c r="G26" s="27">
        <v>7.9416988000000002</v>
      </c>
    </row>
    <row r="27" spans="1:7" hidden="1" x14ac:dyDescent="0.25">
      <c r="A27" s="24" t="s">
        <v>303</v>
      </c>
      <c r="B27" s="24" t="s">
        <v>3</v>
      </c>
      <c r="C27" s="24" t="s">
        <v>281</v>
      </c>
      <c r="D27" s="25">
        <v>15473</v>
      </c>
      <c r="E27" s="25">
        <v>288438</v>
      </c>
      <c r="F27" s="26">
        <v>31823</v>
      </c>
      <c r="G27" s="27">
        <v>11.032874</v>
      </c>
    </row>
    <row r="28" spans="1:7" hidden="1" x14ac:dyDescent="0.25">
      <c r="A28" s="24" t="s">
        <v>304</v>
      </c>
      <c r="B28" s="24" t="s">
        <v>3</v>
      </c>
      <c r="C28" s="24" t="s">
        <v>281</v>
      </c>
      <c r="D28" s="25">
        <v>74865</v>
      </c>
      <c r="E28" s="25">
        <v>1347727</v>
      </c>
      <c r="F28" s="26">
        <v>152638</v>
      </c>
      <c r="G28" s="27">
        <v>11.325587000000001</v>
      </c>
    </row>
    <row r="29" spans="1:7" hidden="1" x14ac:dyDescent="0.25">
      <c r="A29" s="24" t="s">
        <v>305</v>
      </c>
      <c r="B29" s="24" t="s">
        <v>3</v>
      </c>
      <c r="C29" s="24" t="s">
        <v>281</v>
      </c>
      <c r="D29" s="25">
        <v>26623</v>
      </c>
      <c r="E29" s="25">
        <v>367409</v>
      </c>
      <c r="F29" s="26">
        <v>40278.300000000003</v>
      </c>
      <c r="G29" s="27">
        <v>10.962796000000001</v>
      </c>
    </row>
    <row r="30" spans="1:7" hidden="1" x14ac:dyDescent="0.25">
      <c r="A30" s="24" t="s">
        <v>306</v>
      </c>
      <c r="B30" s="24" t="s">
        <v>3</v>
      </c>
      <c r="C30" s="24" t="s">
        <v>281</v>
      </c>
      <c r="D30" s="25">
        <v>43150</v>
      </c>
      <c r="E30" s="25">
        <v>671079</v>
      </c>
      <c r="F30" s="26">
        <v>86144</v>
      </c>
      <c r="G30" s="27">
        <v>12.836641</v>
      </c>
    </row>
    <row r="31" spans="1:7" hidden="1" x14ac:dyDescent="0.25">
      <c r="A31" s="24" t="s">
        <v>307</v>
      </c>
      <c r="B31" s="24" t="s">
        <v>3</v>
      </c>
      <c r="C31" s="24" t="s">
        <v>281</v>
      </c>
      <c r="D31" s="25">
        <v>23668</v>
      </c>
      <c r="E31" s="25">
        <v>479819</v>
      </c>
      <c r="F31" s="26">
        <v>55674</v>
      </c>
      <c r="G31" s="27">
        <v>11.603125</v>
      </c>
    </row>
    <row r="32" spans="1:7" hidden="1" x14ac:dyDescent="0.25">
      <c r="A32" s="24" t="s">
        <v>308</v>
      </c>
      <c r="B32" s="24" t="s">
        <v>3</v>
      </c>
      <c r="C32" s="24" t="s">
        <v>283</v>
      </c>
      <c r="D32" s="25">
        <v>6144</v>
      </c>
      <c r="E32" s="25">
        <v>123075</v>
      </c>
      <c r="F32" s="26">
        <v>13107</v>
      </c>
      <c r="G32" s="27">
        <v>10.649604</v>
      </c>
    </row>
    <row r="33" spans="1:7" hidden="1" x14ac:dyDescent="0.25">
      <c r="A33" s="24" t="s">
        <v>309</v>
      </c>
      <c r="B33" s="24" t="s">
        <v>3</v>
      </c>
      <c r="C33" s="24" t="s">
        <v>283</v>
      </c>
      <c r="D33" s="25">
        <v>4594</v>
      </c>
      <c r="E33" s="25">
        <v>369185</v>
      </c>
      <c r="F33" s="26">
        <v>27337</v>
      </c>
      <c r="G33" s="27">
        <v>7.4046887000000003</v>
      </c>
    </row>
    <row r="34" spans="1:7" hidden="1" x14ac:dyDescent="0.25">
      <c r="A34" s="24" t="s">
        <v>310</v>
      </c>
      <c r="B34" s="24" t="s">
        <v>3</v>
      </c>
      <c r="C34" s="24" t="s">
        <v>283</v>
      </c>
      <c r="D34" s="25">
        <v>45917</v>
      </c>
      <c r="E34" s="25">
        <v>1093809</v>
      </c>
      <c r="F34" s="26">
        <v>103405</v>
      </c>
      <c r="G34" s="27">
        <v>9.4536615000000008</v>
      </c>
    </row>
    <row r="35" spans="1:7" hidden="1" x14ac:dyDescent="0.25">
      <c r="A35" s="24" t="s">
        <v>311</v>
      </c>
      <c r="B35" s="24" t="s">
        <v>3</v>
      </c>
      <c r="C35" s="24" t="s">
        <v>283</v>
      </c>
      <c r="D35" s="25">
        <v>11152</v>
      </c>
      <c r="E35" s="25">
        <v>286940</v>
      </c>
      <c r="F35" s="26">
        <v>31284</v>
      </c>
      <c r="G35" s="27">
        <v>10.902628</v>
      </c>
    </row>
    <row r="36" spans="1:7" hidden="1" x14ac:dyDescent="0.25">
      <c r="A36" s="24" t="s">
        <v>312</v>
      </c>
      <c r="B36" s="24" t="s">
        <v>3</v>
      </c>
      <c r="C36" s="24" t="s">
        <v>283</v>
      </c>
      <c r="D36" s="25">
        <v>790</v>
      </c>
      <c r="E36" s="25">
        <v>20240</v>
      </c>
      <c r="F36" s="26">
        <v>2056</v>
      </c>
      <c r="G36" s="27">
        <v>10.158103000000001</v>
      </c>
    </row>
    <row r="37" spans="1:7" hidden="1" x14ac:dyDescent="0.25">
      <c r="A37" s="24" t="s">
        <v>313</v>
      </c>
      <c r="B37" s="24" t="s">
        <v>3</v>
      </c>
      <c r="C37" s="24" t="s">
        <v>283</v>
      </c>
      <c r="D37" s="25">
        <v>30581</v>
      </c>
      <c r="E37" s="25">
        <v>971917</v>
      </c>
      <c r="F37" s="26">
        <v>93179</v>
      </c>
      <c r="G37" s="27">
        <v>9.5871355000000005</v>
      </c>
    </row>
    <row r="38" spans="1:7" hidden="1" x14ac:dyDescent="0.25">
      <c r="A38" s="24" t="s">
        <v>314</v>
      </c>
      <c r="B38" s="24" t="s">
        <v>3</v>
      </c>
      <c r="C38" s="24" t="s">
        <v>283</v>
      </c>
      <c r="D38" s="25">
        <v>6829</v>
      </c>
      <c r="E38" s="25">
        <v>167499</v>
      </c>
      <c r="F38" s="26">
        <v>19487</v>
      </c>
      <c r="G38" s="27">
        <v>11.634099000000001</v>
      </c>
    </row>
    <row r="39" spans="1:7" hidden="1" x14ac:dyDescent="0.25">
      <c r="A39" s="24" t="s">
        <v>315</v>
      </c>
      <c r="B39" s="24" t="s">
        <v>3</v>
      </c>
      <c r="C39" s="24" t="s">
        <v>283</v>
      </c>
      <c r="D39" s="25">
        <v>49358</v>
      </c>
      <c r="E39" s="25">
        <v>1144641</v>
      </c>
      <c r="F39" s="26">
        <v>114838.9</v>
      </c>
      <c r="G39" s="27">
        <v>10.032743999999999</v>
      </c>
    </row>
    <row r="40" spans="1:7" hidden="1" x14ac:dyDescent="0.25">
      <c r="A40" s="24" t="s">
        <v>316</v>
      </c>
      <c r="B40" s="24" t="s">
        <v>3</v>
      </c>
      <c r="C40" s="24" t="s">
        <v>283</v>
      </c>
      <c r="D40" s="25">
        <v>5536</v>
      </c>
      <c r="E40" s="25">
        <v>140218</v>
      </c>
      <c r="F40" s="26">
        <v>14156</v>
      </c>
      <c r="G40" s="27">
        <v>10.095708</v>
      </c>
    </row>
    <row r="41" spans="1:7" hidden="1" x14ac:dyDescent="0.25">
      <c r="A41" s="24" t="s">
        <v>317</v>
      </c>
      <c r="B41" s="24" t="s">
        <v>3</v>
      </c>
      <c r="C41" s="24" t="s">
        <v>283</v>
      </c>
      <c r="D41" s="25">
        <v>182444</v>
      </c>
      <c r="E41" s="25">
        <v>4954927</v>
      </c>
      <c r="F41" s="26">
        <v>473892</v>
      </c>
      <c r="G41" s="27">
        <v>9.5640561000000002</v>
      </c>
    </row>
    <row r="42" spans="1:7" hidden="1" x14ac:dyDescent="0.25">
      <c r="A42" s="24" t="s">
        <v>318</v>
      </c>
      <c r="B42" s="24" t="s">
        <v>3</v>
      </c>
      <c r="C42" s="24" t="s">
        <v>283</v>
      </c>
      <c r="D42" s="25">
        <v>8032</v>
      </c>
      <c r="E42" s="25">
        <v>301655</v>
      </c>
      <c r="F42" s="26">
        <v>28508</v>
      </c>
      <c r="G42" s="27">
        <v>9.4505312000000004</v>
      </c>
    </row>
    <row r="43" spans="1:7" hidden="1" x14ac:dyDescent="0.25">
      <c r="A43" s="24" t="s">
        <v>319</v>
      </c>
      <c r="B43" s="24" t="s">
        <v>3</v>
      </c>
      <c r="C43" s="24" t="s">
        <v>283</v>
      </c>
      <c r="D43" s="25">
        <v>12603</v>
      </c>
      <c r="E43" s="25">
        <v>389046</v>
      </c>
      <c r="F43" s="26">
        <v>45335</v>
      </c>
      <c r="G43" s="27">
        <v>11.652863999999999</v>
      </c>
    </row>
    <row r="44" spans="1:7" hidden="1" x14ac:dyDescent="0.25">
      <c r="A44" s="24" t="s">
        <v>320</v>
      </c>
      <c r="B44" s="24" t="s">
        <v>3</v>
      </c>
      <c r="C44" s="24" t="s">
        <v>283</v>
      </c>
      <c r="D44" s="25">
        <v>5029</v>
      </c>
      <c r="E44" s="25">
        <v>137879</v>
      </c>
      <c r="F44" s="26">
        <v>15339</v>
      </c>
      <c r="G44" s="27">
        <v>11.124972</v>
      </c>
    </row>
    <row r="45" spans="1:7" hidden="1" x14ac:dyDescent="0.25">
      <c r="A45" s="24" t="s">
        <v>321</v>
      </c>
      <c r="B45" s="24" t="s">
        <v>3</v>
      </c>
      <c r="C45" s="24" t="s">
        <v>283</v>
      </c>
      <c r="D45" s="25">
        <v>8253</v>
      </c>
      <c r="E45" s="25">
        <v>313733</v>
      </c>
      <c r="F45" s="26">
        <v>30430</v>
      </c>
      <c r="G45" s="27">
        <v>9.6993302999999997</v>
      </c>
    </row>
    <row r="46" spans="1:7" hidden="1" x14ac:dyDescent="0.25">
      <c r="A46" s="24" t="s">
        <v>322</v>
      </c>
      <c r="B46" s="24" t="s">
        <v>3</v>
      </c>
      <c r="C46" s="24" t="s">
        <v>283</v>
      </c>
      <c r="D46" s="25">
        <v>2762</v>
      </c>
      <c r="E46" s="25">
        <v>60150</v>
      </c>
      <c r="F46" s="26">
        <v>7316</v>
      </c>
      <c r="G46" s="27">
        <v>12.162926000000001</v>
      </c>
    </row>
    <row r="47" spans="1:7" hidden="1" x14ac:dyDescent="0.25">
      <c r="A47" s="24" t="s">
        <v>323</v>
      </c>
      <c r="B47" s="24" t="s">
        <v>3</v>
      </c>
      <c r="C47" s="24" t="s">
        <v>283</v>
      </c>
      <c r="D47" s="25">
        <v>8095</v>
      </c>
      <c r="E47" s="25">
        <v>401914</v>
      </c>
      <c r="F47" s="26">
        <v>32031.9</v>
      </c>
      <c r="G47" s="27">
        <v>7.9698393000000003</v>
      </c>
    </row>
    <row r="48" spans="1:7" hidden="1" x14ac:dyDescent="0.25">
      <c r="A48" s="24" t="s">
        <v>324</v>
      </c>
      <c r="B48" s="24" t="s">
        <v>3</v>
      </c>
      <c r="C48" s="24" t="s">
        <v>283</v>
      </c>
      <c r="D48" s="25">
        <v>4806</v>
      </c>
      <c r="E48" s="25">
        <v>93991</v>
      </c>
      <c r="F48" s="26">
        <v>10365</v>
      </c>
      <c r="G48" s="27">
        <v>11.027652</v>
      </c>
    </row>
    <row r="49" spans="1:7" hidden="1" x14ac:dyDescent="0.25">
      <c r="A49" s="24" t="s">
        <v>325</v>
      </c>
      <c r="B49" s="24" t="s">
        <v>3</v>
      </c>
      <c r="C49" s="24" t="s">
        <v>283</v>
      </c>
      <c r="D49" s="25">
        <v>6638</v>
      </c>
      <c r="E49" s="25">
        <v>154892</v>
      </c>
      <c r="F49" s="26">
        <v>17548</v>
      </c>
      <c r="G49" s="27">
        <v>11.329184</v>
      </c>
    </row>
    <row r="50" spans="1:7" hidden="1" x14ac:dyDescent="0.25">
      <c r="A50" s="24" t="s">
        <v>326</v>
      </c>
      <c r="B50" s="24" t="s">
        <v>3</v>
      </c>
      <c r="C50" s="24" t="s">
        <v>281</v>
      </c>
      <c r="D50" s="25">
        <v>20008</v>
      </c>
      <c r="E50" s="25">
        <v>262217</v>
      </c>
      <c r="F50" s="26">
        <v>33143</v>
      </c>
      <c r="G50" s="27">
        <v>12.639531</v>
      </c>
    </row>
    <row r="51" spans="1:7" hidden="1" x14ac:dyDescent="0.25">
      <c r="A51" s="24" t="s">
        <v>327</v>
      </c>
      <c r="B51" s="24" t="s">
        <v>3</v>
      </c>
      <c r="C51" s="24" t="s">
        <v>281</v>
      </c>
      <c r="D51" s="25">
        <v>16690</v>
      </c>
      <c r="E51" s="25">
        <v>289284</v>
      </c>
      <c r="F51" s="26">
        <v>37623</v>
      </c>
      <c r="G51" s="27">
        <v>13.005559</v>
      </c>
    </row>
    <row r="52" spans="1:7" hidden="1" x14ac:dyDescent="0.25">
      <c r="A52" s="24" t="s">
        <v>328</v>
      </c>
      <c r="B52" s="24" t="s">
        <v>3</v>
      </c>
      <c r="C52" s="24" t="s">
        <v>281</v>
      </c>
      <c r="D52" s="25">
        <v>23123</v>
      </c>
      <c r="E52" s="25">
        <v>366587</v>
      </c>
      <c r="F52" s="26">
        <v>50875</v>
      </c>
      <c r="G52" s="27">
        <v>13.878015</v>
      </c>
    </row>
    <row r="53" spans="1:7" hidden="1" x14ac:dyDescent="0.25">
      <c r="A53" s="24" t="s">
        <v>329</v>
      </c>
      <c r="B53" s="24" t="s">
        <v>3</v>
      </c>
      <c r="C53" s="24" t="s">
        <v>281</v>
      </c>
      <c r="D53" s="25">
        <v>43228</v>
      </c>
      <c r="E53" s="25">
        <v>1000225</v>
      </c>
      <c r="F53" s="26">
        <v>105264</v>
      </c>
      <c r="G53" s="27">
        <v>10.524032</v>
      </c>
    </row>
    <row r="54" spans="1:7" hidden="1" x14ac:dyDescent="0.25">
      <c r="A54" s="24" t="s">
        <v>330</v>
      </c>
      <c r="B54" s="24" t="s">
        <v>3</v>
      </c>
      <c r="C54" s="24" t="s">
        <v>283</v>
      </c>
      <c r="D54" s="25">
        <v>8666</v>
      </c>
      <c r="E54" s="25">
        <v>269068</v>
      </c>
      <c r="F54" s="26">
        <v>29043</v>
      </c>
      <c r="G54" s="27">
        <v>10.793926000000001</v>
      </c>
    </row>
    <row r="55" spans="1:7" hidden="1" x14ac:dyDescent="0.25">
      <c r="A55" s="24" t="s">
        <v>331</v>
      </c>
      <c r="B55" s="24" t="s">
        <v>3</v>
      </c>
      <c r="C55" s="24" t="s">
        <v>283</v>
      </c>
      <c r="D55" s="25">
        <v>26594</v>
      </c>
      <c r="E55" s="25">
        <v>1176787</v>
      </c>
      <c r="F55" s="26">
        <v>90715</v>
      </c>
      <c r="G55" s="27">
        <v>7.7087016999999998</v>
      </c>
    </row>
    <row r="56" spans="1:7" hidden="1" x14ac:dyDescent="0.25">
      <c r="A56" s="24" t="s">
        <v>332</v>
      </c>
      <c r="B56" s="24" t="s">
        <v>3</v>
      </c>
      <c r="C56" s="24" t="s">
        <v>281</v>
      </c>
      <c r="D56" s="25">
        <v>664</v>
      </c>
      <c r="E56" s="25">
        <v>8576</v>
      </c>
      <c r="F56" s="26">
        <v>1177.3</v>
      </c>
      <c r="G56" s="27">
        <v>13.727845</v>
      </c>
    </row>
    <row r="57" spans="1:7" hidden="1" x14ac:dyDescent="0.25">
      <c r="A57" s="24" t="s">
        <v>333</v>
      </c>
      <c r="B57" s="24" t="s">
        <v>3</v>
      </c>
      <c r="C57" s="24" t="s">
        <v>281</v>
      </c>
      <c r="D57" s="25">
        <v>23769</v>
      </c>
      <c r="E57" s="25">
        <v>504597</v>
      </c>
      <c r="F57" s="26">
        <v>58496</v>
      </c>
      <c r="G57" s="27">
        <v>11.592617000000001</v>
      </c>
    </row>
    <row r="58" spans="1:7" hidden="1" x14ac:dyDescent="0.25">
      <c r="A58" s="24" t="s">
        <v>334</v>
      </c>
      <c r="B58" s="24" t="s">
        <v>3</v>
      </c>
      <c r="C58" s="24" t="s">
        <v>283</v>
      </c>
      <c r="D58" s="25">
        <v>46784</v>
      </c>
      <c r="E58" s="25">
        <v>1017565</v>
      </c>
      <c r="F58" s="26">
        <v>118025</v>
      </c>
      <c r="G58" s="27">
        <v>11.598768</v>
      </c>
    </row>
    <row r="59" spans="1:7" hidden="1" x14ac:dyDescent="0.25">
      <c r="A59" s="24" t="s">
        <v>335</v>
      </c>
      <c r="B59" s="24" t="s">
        <v>3</v>
      </c>
      <c r="C59" s="24" t="s">
        <v>283</v>
      </c>
      <c r="D59" s="25">
        <v>8489</v>
      </c>
      <c r="E59" s="25">
        <v>300610</v>
      </c>
      <c r="F59" s="26">
        <v>28844</v>
      </c>
      <c r="G59" s="27">
        <v>9.5951564999999999</v>
      </c>
    </row>
    <row r="60" spans="1:7" hidden="1" x14ac:dyDescent="0.25">
      <c r="A60" s="24" t="s">
        <v>336</v>
      </c>
      <c r="B60" s="24" t="s">
        <v>3</v>
      </c>
      <c r="C60" s="24" t="s">
        <v>281</v>
      </c>
      <c r="D60" s="25">
        <v>7759</v>
      </c>
      <c r="E60" s="25">
        <v>209840</v>
      </c>
      <c r="F60" s="26">
        <v>24245</v>
      </c>
      <c r="G60" s="27">
        <v>11.554041</v>
      </c>
    </row>
    <row r="61" spans="1:7" hidden="1" x14ac:dyDescent="0.25">
      <c r="A61" s="24" t="s">
        <v>337</v>
      </c>
      <c r="B61" s="24" t="s">
        <v>3</v>
      </c>
      <c r="C61" s="24" t="s">
        <v>283</v>
      </c>
      <c r="D61" s="25">
        <v>6439</v>
      </c>
      <c r="E61" s="25">
        <v>230124</v>
      </c>
      <c r="F61" s="26">
        <v>22165</v>
      </c>
      <c r="G61" s="27">
        <v>9.6317637000000005</v>
      </c>
    </row>
    <row r="62" spans="1:7" hidden="1" x14ac:dyDescent="0.25">
      <c r="A62" s="24" t="s">
        <v>338</v>
      </c>
      <c r="B62" s="24" t="s">
        <v>3</v>
      </c>
      <c r="C62" s="24" t="s">
        <v>281</v>
      </c>
      <c r="D62" s="25">
        <v>43226</v>
      </c>
      <c r="E62" s="25">
        <v>1627200</v>
      </c>
      <c r="F62" s="26">
        <v>141877</v>
      </c>
      <c r="G62" s="27">
        <v>8.7190879999999993</v>
      </c>
    </row>
    <row r="63" spans="1:7" hidden="1" x14ac:dyDescent="0.25">
      <c r="A63" s="24" t="s">
        <v>339</v>
      </c>
      <c r="B63" s="24" t="s">
        <v>3</v>
      </c>
      <c r="C63" s="24" t="s">
        <v>281</v>
      </c>
      <c r="D63" s="25">
        <v>19681</v>
      </c>
      <c r="E63" s="25">
        <v>403964</v>
      </c>
      <c r="F63" s="26">
        <v>45027</v>
      </c>
      <c r="G63" s="27">
        <v>11.14629</v>
      </c>
    </row>
    <row r="64" spans="1:7" hidden="1" x14ac:dyDescent="0.25">
      <c r="A64" s="24" t="s">
        <v>340</v>
      </c>
      <c r="B64" s="24" t="s">
        <v>3</v>
      </c>
      <c r="C64" s="24" t="s">
        <v>281</v>
      </c>
      <c r="D64" s="25">
        <v>18196</v>
      </c>
      <c r="E64" s="25">
        <v>360943</v>
      </c>
      <c r="F64" s="26">
        <v>38042</v>
      </c>
      <c r="G64" s="27">
        <v>10.539614</v>
      </c>
    </row>
    <row r="65" spans="1:7" hidden="1" x14ac:dyDescent="0.25">
      <c r="A65" s="24" t="s">
        <v>341</v>
      </c>
      <c r="B65" s="24" t="s">
        <v>3</v>
      </c>
      <c r="C65" s="24" t="s">
        <v>281</v>
      </c>
      <c r="D65" s="25">
        <v>18783</v>
      </c>
      <c r="E65" s="25">
        <v>296549</v>
      </c>
      <c r="F65" s="26">
        <v>36457.9</v>
      </c>
      <c r="G65" s="27">
        <v>12.294055999999999</v>
      </c>
    </row>
    <row r="66" spans="1:7" hidden="1" x14ac:dyDescent="0.25">
      <c r="A66" s="24" t="s">
        <v>342</v>
      </c>
      <c r="B66" s="24" t="s">
        <v>3</v>
      </c>
      <c r="C66" s="24" t="s">
        <v>281</v>
      </c>
      <c r="D66" s="25">
        <v>12854</v>
      </c>
      <c r="E66" s="25">
        <v>168401</v>
      </c>
      <c r="F66" s="26">
        <v>26877</v>
      </c>
      <c r="G66" s="27">
        <v>15.960119000000001</v>
      </c>
    </row>
    <row r="67" spans="1:7" hidden="1" x14ac:dyDescent="0.25">
      <c r="A67" s="24" t="s">
        <v>343</v>
      </c>
      <c r="B67" s="24" t="s">
        <v>3</v>
      </c>
      <c r="C67" s="24" t="s">
        <v>281</v>
      </c>
      <c r="D67" s="25">
        <v>31324</v>
      </c>
      <c r="E67" s="25">
        <v>590910</v>
      </c>
      <c r="F67" s="26">
        <v>65047</v>
      </c>
      <c r="G67" s="27">
        <v>11.007937</v>
      </c>
    </row>
    <row r="68" spans="1:7" hidden="1" x14ac:dyDescent="0.25">
      <c r="A68" s="24" t="s">
        <v>344</v>
      </c>
      <c r="B68" s="24" t="s">
        <v>3</v>
      </c>
      <c r="C68" s="24" t="s">
        <v>283</v>
      </c>
      <c r="D68" s="25">
        <v>18892</v>
      </c>
      <c r="E68" s="25">
        <v>715053</v>
      </c>
      <c r="F68" s="26">
        <v>58636</v>
      </c>
      <c r="G68" s="27">
        <v>8.2002313000000004</v>
      </c>
    </row>
    <row r="69" spans="1:7" hidden="1" x14ac:dyDescent="0.25">
      <c r="A69" s="24" t="s">
        <v>345</v>
      </c>
      <c r="B69" s="24" t="s">
        <v>3</v>
      </c>
      <c r="C69" s="24" t="s">
        <v>281</v>
      </c>
      <c r="D69" s="25">
        <v>330</v>
      </c>
      <c r="E69" s="25">
        <v>4710</v>
      </c>
      <c r="F69" s="26">
        <v>543.5</v>
      </c>
      <c r="G69" s="27">
        <v>11.539277999999999</v>
      </c>
    </row>
    <row r="70" spans="1:7" hidden="1" x14ac:dyDescent="0.25">
      <c r="A70" s="24" t="s">
        <v>346</v>
      </c>
      <c r="B70" s="24" t="s">
        <v>3</v>
      </c>
      <c r="C70" s="24" t="s">
        <v>281</v>
      </c>
      <c r="D70" s="25">
        <v>16478</v>
      </c>
      <c r="E70" s="25">
        <v>311768</v>
      </c>
      <c r="F70" s="26">
        <v>38482</v>
      </c>
      <c r="G70" s="27">
        <v>12.343152999999999</v>
      </c>
    </row>
    <row r="71" spans="1:7" hidden="1" x14ac:dyDescent="0.25">
      <c r="A71" s="24" t="s">
        <v>347</v>
      </c>
      <c r="B71" s="24" t="s">
        <v>3</v>
      </c>
      <c r="C71" s="24" t="s">
        <v>281</v>
      </c>
      <c r="D71" s="25">
        <v>21490</v>
      </c>
      <c r="E71" s="25">
        <v>457343</v>
      </c>
      <c r="F71" s="26">
        <v>48132</v>
      </c>
      <c r="G71" s="27">
        <v>10.524267</v>
      </c>
    </row>
    <row r="72" spans="1:7" hidden="1" x14ac:dyDescent="0.25">
      <c r="A72" s="24" t="s">
        <v>348</v>
      </c>
      <c r="B72" s="24" t="s">
        <v>3</v>
      </c>
      <c r="C72" s="24" t="s">
        <v>283</v>
      </c>
      <c r="D72" s="25">
        <v>6144</v>
      </c>
      <c r="E72" s="25">
        <v>188756</v>
      </c>
      <c r="F72" s="26">
        <v>18014</v>
      </c>
      <c r="G72" s="27">
        <v>9.5435376999999999</v>
      </c>
    </row>
    <row r="73" spans="1:7" hidden="1" x14ac:dyDescent="0.25">
      <c r="A73" s="24" t="s">
        <v>349</v>
      </c>
      <c r="B73" s="24" t="s">
        <v>3</v>
      </c>
      <c r="C73" s="24" t="s">
        <v>281</v>
      </c>
      <c r="D73" s="25">
        <v>26860</v>
      </c>
      <c r="E73" s="25">
        <v>517241</v>
      </c>
      <c r="F73" s="26">
        <v>57435</v>
      </c>
      <c r="G73" s="27">
        <v>11.104108</v>
      </c>
    </row>
    <row r="74" spans="1:7" hidden="1" x14ac:dyDescent="0.25">
      <c r="A74" s="24" t="s">
        <v>350</v>
      </c>
      <c r="B74" s="24" t="s">
        <v>3</v>
      </c>
      <c r="C74" s="24" t="s">
        <v>351</v>
      </c>
      <c r="D74" s="25">
        <v>11</v>
      </c>
      <c r="E74" s="25">
        <v>5436705</v>
      </c>
      <c r="F74" s="26">
        <v>235717</v>
      </c>
      <c r="G74" s="27">
        <v>4.3356592000000003</v>
      </c>
    </row>
    <row r="75" spans="1:7" hidden="1" x14ac:dyDescent="0.25">
      <c r="A75" s="24" t="s">
        <v>352</v>
      </c>
      <c r="B75" s="24" t="s">
        <v>3</v>
      </c>
      <c r="C75" s="24" t="s">
        <v>281</v>
      </c>
      <c r="D75" s="25">
        <v>9341</v>
      </c>
      <c r="E75" s="25">
        <v>108106</v>
      </c>
      <c r="F75" s="26">
        <v>14810</v>
      </c>
      <c r="G75" s="27">
        <v>13.699517</v>
      </c>
    </row>
    <row r="76" spans="1:7" hidden="1" x14ac:dyDescent="0.25">
      <c r="A76" s="24" t="s">
        <v>353</v>
      </c>
      <c r="B76" s="24" t="s">
        <v>3</v>
      </c>
      <c r="C76" s="24" t="s">
        <v>281</v>
      </c>
      <c r="D76" s="25">
        <v>24330</v>
      </c>
      <c r="E76" s="25">
        <v>354556</v>
      </c>
      <c r="F76" s="26">
        <v>46278</v>
      </c>
      <c r="G76" s="27">
        <v>13.052381</v>
      </c>
    </row>
    <row r="77" spans="1:7" hidden="1" x14ac:dyDescent="0.25">
      <c r="A77" s="24" t="s">
        <v>354</v>
      </c>
      <c r="B77" s="24" t="s">
        <v>12</v>
      </c>
      <c r="C77" s="24" t="s">
        <v>281</v>
      </c>
      <c r="D77" s="25">
        <v>54743</v>
      </c>
      <c r="E77" s="25">
        <v>1103168</v>
      </c>
      <c r="F77" s="26">
        <v>105332.1</v>
      </c>
      <c r="G77" s="27">
        <v>9.5481467999999996</v>
      </c>
    </row>
    <row r="78" spans="1:7" hidden="1" x14ac:dyDescent="0.25">
      <c r="A78" s="24" t="s">
        <v>355</v>
      </c>
      <c r="B78" s="24" t="s">
        <v>12</v>
      </c>
      <c r="C78" s="24" t="s">
        <v>281</v>
      </c>
      <c r="D78" s="25">
        <v>22100</v>
      </c>
      <c r="E78" s="25">
        <v>333512</v>
      </c>
      <c r="F78" s="26">
        <v>38575</v>
      </c>
      <c r="G78" s="27">
        <v>11.5663</v>
      </c>
    </row>
    <row r="79" spans="1:7" hidden="1" x14ac:dyDescent="0.25">
      <c r="A79" s="24" t="s">
        <v>356</v>
      </c>
      <c r="B79" s="24" t="s">
        <v>12</v>
      </c>
      <c r="C79" s="24" t="s">
        <v>281</v>
      </c>
      <c r="D79" s="25">
        <v>86564</v>
      </c>
      <c r="E79" s="25">
        <v>1742173</v>
      </c>
      <c r="F79" s="26">
        <v>155052</v>
      </c>
      <c r="G79" s="27">
        <v>8.8999197999999993</v>
      </c>
    </row>
    <row r="80" spans="1:7" hidden="1" x14ac:dyDescent="0.25">
      <c r="A80" s="24" t="s">
        <v>357</v>
      </c>
      <c r="B80" s="24" t="s">
        <v>12</v>
      </c>
      <c r="C80" s="24" t="s">
        <v>283</v>
      </c>
      <c r="D80" s="25">
        <v>36658</v>
      </c>
      <c r="E80" s="25">
        <v>1293452</v>
      </c>
      <c r="F80" s="26">
        <v>84103</v>
      </c>
      <c r="G80" s="27">
        <v>6.5022127000000003</v>
      </c>
    </row>
    <row r="81" spans="1:7" hidden="1" x14ac:dyDescent="0.25">
      <c r="A81" s="24" t="s">
        <v>358</v>
      </c>
      <c r="B81" s="24" t="s">
        <v>12</v>
      </c>
      <c r="C81" s="24" t="s">
        <v>283</v>
      </c>
      <c r="D81" s="25">
        <v>15048</v>
      </c>
      <c r="E81" s="25">
        <v>249400</v>
      </c>
      <c r="F81" s="26">
        <v>21769.3</v>
      </c>
      <c r="G81" s="27">
        <v>8.7286687999999995</v>
      </c>
    </row>
    <row r="82" spans="1:7" hidden="1" x14ac:dyDescent="0.25">
      <c r="A82" s="24" t="s">
        <v>359</v>
      </c>
      <c r="B82" s="24" t="s">
        <v>12</v>
      </c>
      <c r="C82" s="24" t="s">
        <v>283</v>
      </c>
      <c r="D82" s="25">
        <v>22361</v>
      </c>
      <c r="E82" s="25">
        <v>649067</v>
      </c>
      <c r="F82" s="26">
        <v>61780</v>
      </c>
      <c r="G82" s="27">
        <v>9.5182777999999999</v>
      </c>
    </row>
    <row r="83" spans="1:7" hidden="1" x14ac:dyDescent="0.25">
      <c r="A83" s="24" t="s">
        <v>360</v>
      </c>
      <c r="B83" s="24" t="s">
        <v>12</v>
      </c>
      <c r="C83" s="24" t="s">
        <v>283</v>
      </c>
      <c r="D83" s="25">
        <v>9403</v>
      </c>
      <c r="E83" s="25">
        <v>270583</v>
      </c>
      <c r="F83" s="26">
        <v>27351</v>
      </c>
      <c r="G83" s="27">
        <v>10.108174</v>
      </c>
    </row>
    <row r="84" spans="1:7" hidden="1" x14ac:dyDescent="0.25">
      <c r="A84" s="24" t="s">
        <v>361</v>
      </c>
      <c r="B84" s="24" t="s">
        <v>12</v>
      </c>
      <c r="C84" s="24" t="s">
        <v>283</v>
      </c>
      <c r="D84" s="25">
        <v>38579</v>
      </c>
      <c r="E84" s="25">
        <v>882590</v>
      </c>
      <c r="F84" s="26">
        <v>90095</v>
      </c>
      <c r="G84" s="27">
        <v>10.208024</v>
      </c>
    </row>
    <row r="85" spans="1:7" hidden="1" x14ac:dyDescent="0.25">
      <c r="A85" s="24" t="s">
        <v>362</v>
      </c>
      <c r="B85" s="24" t="s">
        <v>12</v>
      </c>
      <c r="C85" s="24" t="s">
        <v>283</v>
      </c>
      <c r="D85" s="25">
        <v>3345</v>
      </c>
      <c r="E85" s="25">
        <v>149350</v>
      </c>
      <c r="F85" s="26">
        <v>15300</v>
      </c>
      <c r="G85" s="27">
        <v>10.244391999999999</v>
      </c>
    </row>
    <row r="86" spans="1:7" hidden="1" x14ac:dyDescent="0.25">
      <c r="A86" s="24" t="s">
        <v>363</v>
      </c>
      <c r="B86" s="24" t="s">
        <v>12</v>
      </c>
      <c r="C86" s="24" t="s">
        <v>283</v>
      </c>
      <c r="D86" s="25">
        <v>7695</v>
      </c>
      <c r="E86" s="25">
        <v>257096</v>
      </c>
      <c r="F86" s="26">
        <v>22154</v>
      </c>
      <c r="G86" s="27">
        <v>8.6170147000000004</v>
      </c>
    </row>
    <row r="87" spans="1:7" hidden="1" x14ac:dyDescent="0.25">
      <c r="A87" s="24" t="s">
        <v>364</v>
      </c>
      <c r="B87" s="24" t="s">
        <v>12</v>
      </c>
      <c r="C87" s="24" t="s">
        <v>283</v>
      </c>
      <c r="D87" s="25">
        <v>11944</v>
      </c>
      <c r="E87" s="25">
        <v>360977</v>
      </c>
      <c r="F87" s="26">
        <v>25801</v>
      </c>
      <c r="G87" s="27">
        <v>7.1475467999999998</v>
      </c>
    </row>
    <row r="88" spans="1:7" hidden="1" x14ac:dyDescent="0.25">
      <c r="A88" s="24" t="s">
        <v>365</v>
      </c>
      <c r="B88" s="24" t="s">
        <v>12</v>
      </c>
      <c r="C88" s="24" t="s">
        <v>283</v>
      </c>
      <c r="D88" s="25">
        <v>4543</v>
      </c>
      <c r="E88" s="25">
        <v>242029</v>
      </c>
      <c r="F88" s="26">
        <v>18943</v>
      </c>
      <c r="G88" s="27">
        <v>7.8267480000000003</v>
      </c>
    </row>
    <row r="89" spans="1:7" hidden="1" x14ac:dyDescent="0.25">
      <c r="A89" s="24" t="s">
        <v>366</v>
      </c>
      <c r="B89" s="24" t="s">
        <v>12</v>
      </c>
      <c r="C89" s="24" t="s">
        <v>281</v>
      </c>
      <c r="D89" s="25">
        <v>12789</v>
      </c>
      <c r="E89" s="25">
        <v>245978</v>
      </c>
      <c r="F89" s="26">
        <v>29346.400000000001</v>
      </c>
      <c r="G89" s="27">
        <v>11.930498</v>
      </c>
    </row>
    <row r="90" spans="1:7" hidden="1" x14ac:dyDescent="0.25">
      <c r="A90" s="24" t="s">
        <v>367</v>
      </c>
      <c r="B90" s="24" t="s">
        <v>12</v>
      </c>
      <c r="C90" s="24" t="s">
        <v>283</v>
      </c>
      <c r="D90" s="25">
        <v>30474</v>
      </c>
      <c r="E90" s="25">
        <v>966189</v>
      </c>
      <c r="F90" s="26">
        <v>56535</v>
      </c>
      <c r="G90" s="27">
        <v>5.8513396000000002</v>
      </c>
    </row>
    <row r="91" spans="1:7" hidden="1" x14ac:dyDescent="0.25">
      <c r="A91" s="24" t="s">
        <v>368</v>
      </c>
      <c r="B91" s="24" t="s">
        <v>12</v>
      </c>
      <c r="C91" s="24" t="s">
        <v>281</v>
      </c>
      <c r="D91" s="25">
        <v>30382</v>
      </c>
      <c r="E91" s="25">
        <v>531201</v>
      </c>
      <c r="F91" s="26">
        <v>55513</v>
      </c>
      <c r="G91" s="27">
        <v>10.450469999999999</v>
      </c>
    </row>
    <row r="92" spans="1:7" hidden="1" x14ac:dyDescent="0.25">
      <c r="A92" s="24" t="s">
        <v>369</v>
      </c>
      <c r="B92" s="24" t="s">
        <v>12</v>
      </c>
      <c r="C92" s="24" t="s">
        <v>278</v>
      </c>
      <c r="D92" s="25">
        <v>4537</v>
      </c>
      <c r="E92" s="25">
        <v>170907</v>
      </c>
      <c r="F92" s="26">
        <v>15213.5</v>
      </c>
      <c r="G92" s="27">
        <v>8.9016248999999998</v>
      </c>
    </row>
    <row r="93" spans="1:7" hidden="1" x14ac:dyDescent="0.25">
      <c r="A93" s="24" t="s">
        <v>370</v>
      </c>
      <c r="B93" s="24" t="s">
        <v>12</v>
      </c>
      <c r="C93" s="24" t="s">
        <v>278</v>
      </c>
      <c r="D93" s="25">
        <v>708855</v>
      </c>
      <c r="E93" s="25">
        <v>20888407</v>
      </c>
      <c r="F93" s="26">
        <v>1739538.7</v>
      </c>
      <c r="G93" s="27">
        <v>8.3277710000000003</v>
      </c>
    </row>
    <row r="94" spans="1:7" hidden="1" x14ac:dyDescent="0.25">
      <c r="A94" s="24" t="s">
        <v>371</v>
      </c>
      <c r="B94" s="24" t="s">
        <v>12</v>
      </c>
      <c r="C94" s="24" t="s">
        <v>281</v>
      </c>
      <c r="D94" s="25">
        <v>93357</v>
      </c>
      <c r="E94" s="25">
        <v>1828715</v>
      </c>
      <c r="F94" s="26">
        <v>178010.5</v>
      </c>
      <c r="G94" s="27">
        <v>9.7341849000000007</v>
      </c>
    </row>
    <row r="95" spans="1:7" hidden="1" x14ac:dyDescent="0.25">
      <c r="A95" s="24" t="s">
        <v>372</v>
      </c>
      <c r="B95" s="24" t="s">
        <v>12</v>
      </c>
      <c r="C95" s="24" t="s">
        <v>281</v>
      </c>
      <c r="D95" s="25">
        <v>4866</v>
      </c>
      <c r="E95" s="25">
        <v>3093971</v>
      </c>
      <c r="F95" s="26">
        <v>148619</v>
      </c>
      <c r="G95" s="27">
        <v>4.8035033</v>
      </c>
    </row>
    <row r="96" spans="1:7" hidden="1" x14ac:dyDescent="0.25">
      <c r="A96" s="24" t="s">
        <v>373</v>
      </c>
      <c r="B96" s="24" t="s">
        <v>12</v>
      </c>
      <c r="C96" s="24" t="s">
        <v>281</v>
      </c>
      <c r="D96" s="25">
        <v>36651</v>
      </c>
      <c r="E96" s="25">
        <v>571407</v>
      </c>
      <c r="F96" s="26">
        <v>62879.7</v>
      </c>
      <c r="G96" s="27">
        <v>11.004363</v>
      </c>
    </row>
    <row r="97" spans="1:7" hidden="1" x14ac:dyDescent="0.25">
      <c r="A97" s="24" t="s">
        <v>374</v>
      </c>
      <c r="B97" s="24" t="s">
        <v>12</v>
      </c>
      <c r="C97" s="24" t="s">
        <v>278</v>
      </c>
      <c r="D97" s="25">
        <v>66825</v>
      </c>
      <c r="E97" s="25">
        <v>2547850</v>
      </c>
      <c r="F97" s="26">
        <v>180679.1</v>
      </c>
      <c r="G97" s="27">
        <v>7.0914339999999996</v>
      </c>
    </row>
    <row r="98" spans="1:7" hidden="1" x14ac:dyDescent="0.25">
      <c r="A98" s="24" t="s">
        <v>375</v>
      </c>
      <c r="B98" s="24" t="s">
        <v>12</v>
      </c>
      <c r="C98" s="24" t="s">
        <v>281</v>
      </c>
      <c r="D98" s="25">
        <v>9388</v>
      </c>
      <c r="E98" s="25">
        <v>207840</v>
      </c>
      <c r="F98" s="26">
        <v>22787</v>
      </c>
      <c r="G98" s="27">
        <v>10.963722000000001</v>
      </c>
    </row>
    <row r="99" spans="1:7" hidden="1" x14ac:dyDescent="0.25">
      <c r="A99" s="24" t="s">
        <v>376</v>
      </c>
      <c r="B99" s="24" t="s">
        <v>12</v>
      </c>
      <c r="C99" s="24" t="s">
        <v>281</v>
      </c>
      <c r="D99" s="25">
        <v>62405</v>
      </c>
      <c r="E99" s="25">
        <v>1154075</v>
      </c>
      <c r="F99" s="26">
        <v>113805</v>
      </c>
      <c r="G99" s="27">
        <v>9.8611442</v>
      </c>
    </row>
    <row r="100" spans="1:7" hidden="1" x14ac:dyDescent="0.25">
      <c r="A100" s="24" t="s">
        <v>377</v>
      </c>
      <c r="B100" s="24" t="s">
        <v>12</v>
      </c>
      <c r="C100" s="24" t="s">
        <v>283</v>
      </c>
      <c r="D100" s="25">
        <v>13557</v>
      </c>
      <c r="E100" s="25">
        <v>569444</v>
      </c>
      <c r="F100" s="26">
        <v>39979</v>
      </c>
      <c r="G100" s="27">
        <v>7.0207078999999997</v>
      </c>
    </row>
    <row r="101" spans="1:7" hidden="1" x14ac:dyDescent="0.25">
      <c r="A101" s="24" t="s">
        <v>378</v>
      </c>
      <c r="B101" s="24" t="s">
        <v>12</v>
      </c>
      <c r="C101" s="24" t="s">
        <v>281</v>
      </c>
      <c r="D101" s="25">
        <v>19931</v>
      </c>
      <c r="E101" s="25">
        <v>275975</v>
      </c>
      <c r="F101" s="26">
        <v>29356</v>
      </c>
      <c r="G101" s="27">
        <v>10.637195</v>
      </c>
    </row>
    <row r="102" spans="1:7" hidden="1" x14ac:dyDescent="0.25">
      <c r="A102" s="24" t="s">
        <v>379</v>
      </c>
      <c r="B102" s="24" t="s">
        <v>12</v>
      </c>
      <c r="C102" s="24" t="s">
        <v>281</v>
      </c>
      <c r="D102" s="25">
        <v>8363</v>
      </c>
      <c r="E102" s="25">
        <v>131063</v>
      </c>
      <c r="F102" s="26">
        <v>14344</v>
      </c>
      <c r="G102" s="27">
        <v>10.944355</v>
      </c>
    </row>
    <row r="103" spans="1:7" hidden="1" x14ac:dyDescent="0.25">
      <c r="A103" s="24" t="s">
        <v>380</v>
      </c>
      <c r="B103" s="24" t="s">
        <v>12</v>
      </c>
      <c r="C103" s="24" t="s">
        <v>281</v>
      </c>
      <c r="D103" s="25">
        <v>10109</v>
      </c>
      <c r="E103" s="25">
        <v>240118</v>
      </c>
      <c r="F103" s="26">
        <v>23534</v>
      </c>
      <c r="G103" s="27">
        <v>9.8010145000000009</v>
      </c>
    </row>
    <row r="104" spans="1:7" hidden="1" x14ac:dyDescent="0.25">
      <c r="A104" s="24" t="s">
        <v>381</v>
      </c>
      <c r="B104" s="24" t="s">
        <v>12</v>
      </c>
      <c r="C104" s="24" t="s">
        <v>281</v>
      </c>
      <c r="D104" s="25">
        <v>26908</v>
      </c>
      <c r="E104" s="25">
        <v>650933</v>
      </c>
      <c r="F104" s="26">
        <v>60552.4</v>
      </c>
      <c r="G104" s="27">
        <v>9.3024012999999997</v>
      </c>
    </row>
    <row r="105" spans="1:7" hidden="1" x14ac:dyDescent="0.25">
      <c r="A105" s="24" t="s">
        <v>382</v>
      </c>
      <c r="B105" s="24" t="s">
        <v>12</v>
      </c>
      <c r="C105" s="24" t="s">
        <v>278</v>
      </c>
      <c r="D105" s="25">
        <v>119159</v>
      </c>
      <c r="E105" s="25">
        <v>3775037</v>
      </c>
      <c r="F105" s="26">
        <v>288452.59999999998</v>
      </c>
      <c r="G105" s="27">
        <v>7.6410536000000002</v>
      </c>
    </row>
    <row r="106" spans="1:7" hidden="1" x14ac:dyDescent="0.25">
      <c r="A106" s="24" t="s">
        <v>383</v>
      </c>
      <c r="B106" s="24" t="s">
        <v>12</v>
      </c>
      <c r="C106" s="24" t="s">
        <v>281</v>
      </c>
      <c r="D106" s="25">
        <v>19332</v>
      </c>
      <c r="E106" s="25">
        <v>368808</v>
      </c>
      <c r="F106" s="26">
        <v>40332.800000000003</v>
      </c>
      <c r="G106" s="27">
        <v>10.935988</v>
      </c>
    </row>
    <row r="107" spans="1:7" hidden="1" x14ac:dyDescent="0.25">
      <c r="A107" s="24" t="s">
        <v>384</v>
      </c>
      <c r="B107" s="24" t="s">
        <v>8</v>
      </c>
      <c r="C107" s="24" t="s">
        <v>385</v>
      </c>
      <c r="D107" s="25">
        <v>584</v>
      </c>
      <c r="E107" s="25">
        <v>17534</v>
      </c>
      <c r="F107" s="26">
        <v>1383</v>
      </c>
      <c r="G107" s="27">
        <v>7.8875327999999998</v>
      </c>
    </row>
    <row r="108" spans="1:7" hidden="1" x14ac:dyDescent="0.25">
      <c r="A108" s="24" t="s">
        <v>386</v>
      </c>
      <c r="B108" s="24" t="s">
        <v>8</v>
      </c>
      <c r="C108" s="24" t="s">
        <v>278</v>
      </c>
      <c r="D108" s="25">
        <v>980</v>
      </c>
      <c r="E108" s="25">
        <v>7596</v>
      </c>
      <c r="F108" s="26">
        <v>826.3</v>
      </c>
      <c r="G108" s="27">
        <v>10.878094000000001</v>
      </c>
    </row>
    <row r="109" spans="1:7" hidden="1" x14ac:dyDescent="0.25">
      <c r="A109" s="24" t="s">
        <v>387</v>
      </c>
      <c r="B109" s="24" t="s">
        <v>8</v>
      </c>
      <c r="C109" s="24" t="s">
        <v>174</v>
      </c>
      <c r="D109" s="25">
        <v>457</v>
      </c>
      <c r="E109" s="25">
        <v>37027</v>
      </c>
      <c r="F109" s="26">
        <v>3042.3</v>
      </c>
      <c r="G109" s="27">
        <v>8.2164366999999991</v>
      </c>
    </row>
    <row r="110" spans="1:7" hidden="1" x14ac:dyDescent="0.25">
      <c r="A110" s="24" t="s">
        <v>388</v>
      </c>
      <c r="B110" s="24" t="s">
        <v>8</v>
      </c>
      <c r="C110" s="24" t="s">
        <v>278</v>
      </c>
      <c r="D110" s="25">
        <v>1214627</v>
      </c>
      <c r="E110" s="25">
        <v>28018011</v>
      </c>
      <c r="F110" s="26">
        <v>3407017</v>
      </c>
      <c r="G110" s="27">
        <v>12.160095999999999</v>
      </c>
    </row>
    <row r="111" spans="1:7" hidden="1" x14ac:dyDescent="0.25">
      <c r="A111" s="24" t="s">
        <v>389</v>
      </c>
      <c r="B111" s="24" t="s">
        <v>8</v>
      </c>
      <c r="C111" s="24" t="s">
        <v>283</v>
      </c>
      <c r="D111" s="25">
        <v>16716</v>
      </c>
      <c r="E111" s="25">
        <v>323885</v>
      </c>
      <c r="F111" s="26">
        <v>32395.8</v>
      </c>
      <c r="G111" s="27">
        <v>10.002254000000001</v>
      </c>
    </row>
    <row r="112" spans="1:7" hidden="1" x14ac:dyDescent="0.25">
      <c r="A112" s="24" t="s">
        <v>390</v>
      </c>
      <c r="B112" s="24" t="s">
        <v>8</v>
      </c>
      <c r="C112" s="24" t="s">
        <v>281</v>
      </c>
      <c r="D112" s="25">
        <v>490</v>
      </c>
      <c r="E112" s="25">
        <v>6171</v>
      </c>
      <c r="F112" s="26">
        <v>890.3</v>
      </c>
      <c r="G112" s="27">
        <v>14.427159</v>
      </c>
    </row>
    <row r="113" spans="1:7" hidden="1" x14ac:dyDescent="0.25">
      <c r="A113" s="24" t="s">
        <v>391</v>
      </c>
      <c r="B113" s="24" t="s">
        <v>8</v>
      </c>
      <c r="C113" s="24" t="s">
        <v>392</v>
      </c>
      <c r="D113" s="25">
        <v>9</v>
      </c>
      <c r="E113" s="25">
        <v>62556</v>
      </c>
      <c r="F113" s="26">
        <v>6499.3</v>
      </c>
      <c r="G113" s="27">
        <v>10.389571</v>
      </c>
    </row>
    <row r="114" spans="1:7" hidden="1" x14ac:dyDescent="0.25">
      <c r="A114" s="24" t="s">
        <v>393</v>
      </c>
      <c r="B114" s="24" t="s">
        <v>8</v>
      </c>
      <c r="C114" s="24" t="s">
        <v>281</v>
      </c>
      <c r="D114" s="25">
        <v>2378</v>
      </c>
      <c r="E114" s="25">
        <v>32134</v>
      </c>
      <c r="F114" s="26">
        <v>2493.3000000000002</v>
      </c>
      <c r="G114" s="27">
        <v>7.7590713999999998</v>
      </c>
    </row>
    <row r="115" spans="1:7" hidden="1" x14ac:dyDescent="0.25">
      <c r="A115" s="24" t="s">
        <v>394</v>
      </c>
      <c r="B115" s="24" t="s">
        <v>8</v>
      </c>
      <c r="C115" s="24" t="s">
        <v>385</v>
      </c>
      <c r="D115" s="25">
        <v>4964</v>
      </c>
      <c r="E115" s="25">
        <v>253030</v>
      </c>
      <c r="F115" s="26">
        <v>22224</v>
      </c>
      <c r="G115" s="27">
        <v>8.7831481999999994</v>
      </c>
    </row>
    <row r="116" spans="1:7" hidden="1" x14ac:dyDescent="0.25">
      <c r="A116" s="24" t="s">
        <v>395</v>
      </c>
      <c r="B116" s="24" t="s">
        <v>8</v>
      </c>
      <c r="C116" s="24" t="s">
        <v>385</v>
      </c>
      <c r="D116" s="25">
        <v>23974</v>
      </c>
      <c r="E116" s="25">
        <v>680826</v>
      </c>
      <c r="F116" s="26">
        <v>69858</v>
      </c>
      <c r="G116" s="27">
        <v>10.260771</v>
      </c>
    </row>
    <row r="117" spans="1:7" hidden="1" x14ac:dyDescent="0.25">
      <c r="A117" s="24" t="s">
        <v>396</v>
      </c>
      <c r="B117" s="24" t="s">
        <v>8</v>
      </c>
      <c r="C117" s="24" t="s">
        <v>385</v>
      </c>
      <c r="D117" s="25">
        <v>2335</v>
      </c>
      <c r="E117" s="25">
        <v>189164</v>
      </c>
      <c r="F117" s="26">
        <v>12118</v>
      </c>
      <c r="G117" s="27">
        <v>6.4060815</v>
      </c>
    </row>
    <row r="118" spans="1:7" hidden="1" x14ac:dyDescent="0.25">
      <c r="A118" s="24" t="s">
        <v>397</v>
      </c>
      <c r="B118" s="24" t="s">
        <v>8</v>
      </c>
      <c r="C118" s="24" t="s">
        <v>385</v>
      </c>
      <c r="D118" s="25">
        <v>606</v>
      </c>
      <c r="E118" s="25">
        <v>346688</v>
      </c>
      <c r="F118" s="26">
        <v>18959</v>
      </c>
      <c r="G118" s="27">
        <v>5.4686057999999997</v>
      </c>
    </row>
    <row r="119" spans="1:7" hidden="1" x14ac:dyDescent="0.25">
      <c r="A119" s="24" t="s">
        <v>398</v>
      </c>
      <c r="B119" s="24" t="s">
        <v>8</v>
      </c>
      <c r="C119" s="24" t="s">
        <v>281</v>
      </c>
      <c r="D119" s="25">
        <v>1409</v>
      </c>
      <c r="E119" s="25">
        <v>35442</v>
      </c>
      <c r="F119" s="26">
        <v>3578</v>
      </c>
      <c r="G119" s="27">
        <v>10.095367</v>
      </c>
    </row>
    <row r="120" spans="1:7" hidden="1" x14ac:dyDescent="0.25">
      <c r="A120" s="24" t="s">
        <v>399</v>
      </c>
      <c r="B120" s="24" t="s">
        <v>8</v>
      </c>
      <c r="C120" s="24" t="s">
        <v>281</v>
      </c>
      <c r="D120" s="25">
        <v>8104</v>
      </c>
      <c r="E120" s="25">
        <v>128892</v>
      </c>
      <c r="F120" s="26">
        <v>15024.4</v>
      </c>
      <c r="G120" s="27">
        <v>11.656580999999999</v>
      </c>
    </row>
    <row r="121" spans="1:7" hidden="1" x14ac:dyDescent="0.25">
      <c r="A121" s="24" t="s">
        <v>400</v>
      </c>
      <c r="B121" s="24" t="s">
        <v>8</v>
      </c>
      <c r="C121" s="24" t="s">
        <v>392</v>
      </c>
      <c r="D121" s="25">
        <v>493</v>
      </c>
      <c r="E121" s="25">
        <v>5194</v>
      </c>
      <c r="F121" s="26">
        <v>444</v>
      </c>
      <c r="G121" s="27">
        <v>8.5483250000000002</v>
      </c>
    </row>
    <row r="122" spans="1:7" hidden="1" x14ac:dyDescent="0.25">
      <c r="A122" s="24" t="s">
        <v>401</v>
      </c>
      <c r="B122" s="24" t="s">
        <v>8</v>
      </c>
      <c r="C122" s="24" t="s">
        <v>392</v>
      </c>
      <c r="D122" s="25">
        <v>1</v>
      </c>
      <c r="E122" s="25">
        <v>460</v>
      </c>
      <c r="F122" s="26">
        <v>51.1</v>
      </c>
      <c r="G122" s="27">
        <v>11.108696</v>
      </c>
    </row>
    <row r="123" spans="1:7" hidden="1" x14ac:dyDescent="0.25">
      <c r="A123" s="24" t="s">
        <v>402</v>
      </c>
      <c r="B123" s="24" t="s">
        <v>8</v>
      </c>
      <c r="C123" s="24" t="s">
        <v>281</v>
      </c>
      <c r="D123" s="25">
        <v>40836</v>
      </c>
      <c r="E123" s="25">
        <v>689996</v>
      </c>
      <c r="F123" s="26">
        <v>72225.2</v>
      </c>
      <c r="G123" s="27">
        <v>10.467480999999999</v>
      </c>
    </row>
    <row r="124" spans="1:7" hidden="1" x14ac:dyDescent="0.25">
      <c r="A124" s="24" t="s">
        <v>403</v>
      </c>
      <c r="B124" s="24" t="s">
        <v>8</v>
      </c>
      <c r="C124" s="24" t="s">
        <v>278</v>
      </c>
      <c r="D124" s="25">
        <v>2696</v>
      </c>
      <c r="E124" s="25">
        <v>2675904</v>
      </c>
      <c r="F124" s="26">
        <v>108256.8</v>
      </c>
      <c r="G124" s="27">
        <v>4.0456159999999999</v>
      </c>
    </row>
    <row r="125" spans="1:7" hidden="1" x14ac:dyDescent="0.25">
      <c r="A125" s="24" t="s">
        <v>404</v>
      </c>
      <c r="B125" s="24" t="s">
        <v>8</v>
      </c>
      <c r="C125" s="24" t="s">
        <v>174</v>
      </c>
      <c r="D125" s="25">
        <v>29065</v>
      </c>
      <c r="E125" s="25">
        <v>490442</v>
      </c>
      <c r="F125" s="26">
        <v>57463</v>
      </c>
      <c r="G125" s="27">
        <v>11.716574</v>
      </c>
    </row>
    <row r="126" spans="1:7" hidden="1" x14ac:dyDescent="0.25">
      <c r="A126" s="24" t="s">
        <v>405</v>
      </c>
      <c r="B126" s="24" t="s">
        <v>8</v>
      </c>
      <c r="C126" s="24" t="s">
        <v>281</v>
      </c>
      <c r="D126" s="25">
        <v>39307</v>
      </c>
      <c r="E126" s="25">
        <v>378669</v>
      </c>
      <c r="F126" s="26">
        <v>47075</v>
      </c>
      <c r="G126" s="27">
        <v>12.431702</v>
      </c>
    </row>
    <row r="127" spans="1:7" hidden="1" x14ac:dyDescent="0.25">
      <c r="A127" s="24" t="s">
        <v>406</v>
      </c>
      <c r="B127" s="24" t="s">
        <v>8</v>
      </c>
      <c r="C127" s="24" t="s">
        <v>283</v>
      </c>
      <c r="D127" s="25">
        <v>4342</v>
      </c>
      <c r="E127" s="25">
        <v>109641</v>
      </c>
      <c r="F127" s="26">
        <v>8431.4</v>
      </c>
      <c r="G127" s="27">
        <v>7.6900065</v>
      </c>
    </row>
    <row r="128" spans="1:7" hidden="1" x14ac:dyDescent="0.25">
      <c r="A128" s="24" t="s">
        <v>407</v>
      </c>
      <c r="B128" s="24" t="s">
        <v>8</v>
      </c>
      <c r="C128" s="24" t="s">
        <v>385</v>
      </c>
      <c r="D128" s="25">
        <v>1044846</v>
      </c>
      <c r="E128" s="25">
        <v>28367551</v>
      </c>
      <c r="F128" s="26">
        <v>2826922.1</v>
      </c>
      <c r="G128" s="27">
        <v>9.9653372000000005</v>
      </c>
    </row>
    <row r="129" spans="1:7" hidden="1" x14ac:dyDescent="0.25">
      <c r="A129" s="24" t="s">
        <v>408</v>
      </c>
      <c r="B129" s="24" t="s">
        <v>8</v>
      </c>
      <c r="C129" s="24" t="s">
        <v>392</v>
      </c>
      <c r="D129" s="25">
        <v>37743</v>
      </c>
      <c r="E129" s="25">
        <v>536325</v>
      </c>
      <c r="F129" s="26">
        <v>57156.7</v>
      </c>
      <c r="G129" s="27">
        <v>10.657102</v>
      </c>
    </row>
    <row r="130" spans="1:7" hidden="1" x14ac:dyDescent="0.25">
      <c r="A130" s="24" t="s">
        <v>409</v>
      </c>
      <c r="B130" s="24" t="s">
        <v>8</v>
      </c>
      <c r="C130" s="24" t="s">
        <v>392</v>
      </c>
      <c r="D130" s="25">
        <v>841</v>
      </c>
      <c r="E130" s="25">
        <v>10190</v>
      </c>
      <c r="F130" s="26">
        <v>1180</v>
      </c>
      <c r="G130" s="27">
        <v>11.579980000000001</v>
      </c>
    </row>
    <row r="131" spans="1:7" hidden="1" x14ac:dyDescent="0.25">
      <c r="A131" s="24" t="s">
        <v>410</v>
      </c>
      <c r="B131" s="24" t="s">
        <v>8</v>
      </c>
      <c r="C131" s="24" t="s">
        <v>281</v>
      </c>
      <c r="D131" s="25">
        <v>51716</v>
      </c>
      <c r="E131" s="25">
        <v>826539</v>
      </c>
      <c r="F131" s="26">
        <v>104200</v>
      </c>
      <c r="G131" s="27">
        <v>12.606786</v>
      </c>
    </row>
    <row r="132" spans="1:7" hidden="1" x14ac:dyDescent="0.25">
      <c r="A132" s="24" t="s">
        <v>411</v>
      </c>
      <c r="B132" s="24" t="s">
        <v>8</v>
      </c>
      <c r="C132" s="24" t="s">
        <v>392</v>
      </c>
      <c r="D132" s="25">
        <v>485</v>
      </c>
      <c r="E132" s="25">
        <v>19994</v>
      </c>
      <c r="F132" s="26">
        <v>1858.4</v>
      </c>
      <c r="G132" s="27">
        <v>9.2947883999999998</v>
      </c>
    </row>
    <row r="133" spans="1:7" hidden="1" x14ac:dyDescent="0.25">
      <c r="A133" s="24" t="s">
        <v>412</v>
      </c>
      <c r="B133" s="24" t="s">
        <v>8</v>
      </c>
      <c r="C133" s="24" t="s">
        <v>392</v>
      </c>
      <c r="D133" s="25">
        <v>1132</v>
      </c>
      <c r="E133" s="25">
        <v>17514</v>
      </c>
      <c r="F133" s="26">
        <v>1570.7</v>
      </c>
      <c r="G133" s="27">
        <v>8.9682539999999999</v>
      </c>
    </row>
    <row r="134" spans="1:7" hidden="1" x14ac:dyDescent="0.25">
      <c r="A134" s="24" t="s">
        <v>413</v>
      </c>
      <c r="B134" s="24" t="s">
        <v>8</v>
      </c>
      <c r="C134" s="24" t="s">
        <v>392</v>
      </c>
      <c r="D134" s="25">
        <v>7011</v>
      </c>
      <c r="E134" s="25">
        <v>102822</v>
      </c>
      <c r="F134" s="26">
        <v>8070.6</v>
      </c>
      <c r="G134" s="27">
        <v>7.8490983999999999</v>
      </c>
    </row>
    <row r="135" spans="1:7" hidden="1" x14ac:dyDescent="0.25">
      <c r="A135" s="24" t="s">
        <v>414</v>
      </c>
      <c r="B135" s="24" t="s">
        <v>8</v>
      </c>
      <c r="C135" s="24" t="s">
        <v>392</v>
      </c>
      <c r="D135" s="25">
        <v>1401</v>
      </c>
      <c r="E135" s="25">
        <v>14993</v>
      </c>
      <c r="F135" s="26">
        <v>2806.3</v>
      </c>
      <c r="G135" s="27">
        <v>18.717400999999999</v>
      </c>
    </row>
    <row r="136" spans="1:7" hidden="1" x14ac:dyDescent="0.25">
      <c r="A136" s="24" t="s">
        <v>415</v>
      </c>
      <c r="B136" s="24" t="s">
        <v>8</v>
      </c>
      <c r="C136" s="24" t="s">
        <v>392</v>
      </c>
      <c r="D136" s="25">
        <v>8037</v>
      </c>
      <c r="E136" s="25">
        <v>101889</v>
      </c>
      <c r="F136" s="26">
        <v>13903.2</v>
      </c>
      <c r="G136" s="27">
        <v>13.645438</v>
      </c>
    </row>
    <row r="137" spans="1:7" hidden="1" x14ac:dyDescent="0.25">
      <c r="A137" s="24" t="s">
        <v>416</v>
      </c>
      <c r="B137" s="24" t="s">
        <v>8</v>
      </c>
      <c r="C137" s="24" t="s">
        <v>392</v>
      </c>
      <c r="D137" s="25">
        <v>28</v>
      </c>
      <c r="E137" s="25">
        <v>8884</v>
      </c>
      <c r="F137" s="26">
        <v>998</v>
      </c>
      <c r="G137" s="27">
        <v>11.233679</v>
      </c>
    </row>
    <row r="138" spans="1:7" hidden="1" x14ac:dyDescent="0.25">
      <c r="A138" s="24" t="s">
        <v>417</v>
      </c>
      <c r="B138" s="24" t="s">
        <v>8</v>
      </c>
      <c r="C138" s="24" t="s">
        <v>281</v>
      </c>
      <c r="D138" s="25">
        <v>45895</v>
      </c>
      <c r="E138" s="25">
        <v>696117</v>
      </c>
      <c r="F138" s="26">
        <v>94244.7</v>
      </c>
      <c r="G138" s="27">
        <v>13.538629</v>
      </c>
    </row>
    <row r="139" spans="1:7" hidden="1" x14ac:dyDescent="0.25">
      <c r="A139" s="24" t="s">
        <v>418</v>
      </c>
      <c r="B139" s="24" t="s">
        <v>8</v>
      </c>
      <c r="C139" s="24" t="s">
        <v>278</v>
      </c>
      <c r="D139" s="25">
        <v>422544</v>
      </c>
      <c r="E139" s="25">
        <v>8925932</v>
      </c>
      <c r="F139" s="26">
        <v>961831.7</v>
      </c>
      <c r="G139" s="27">
        <v>10.775701</v>
      </c>
    </row>
    <row r="140" spans="1:7" hidden="1" x14ac:dyDescent="0.25">
      <c r="A140" s="24" t="s">
        <v>419</v>
      </c>
      <c r="B140" s="24" t="s">
        <v>8</v>
      </c>
      <c r="C140" s="24" t="s">
        <v>278</v>
      </c>
      <c r="D140" s="25">
        <v>96168</v>
      </c>
      <c r="E140" s="25">
        <v>1659423</v>
      </c>
      <c r="F140" s="26">
        <v>160101.5</v>
      </c>
      <c r="G140" s="27">
        <v>9.6480221999999998</v>
      </c>
    </row>
    <row r="141" spans="1:7" hidden="1" x14ac:dyDescent="0.25">
      <c r="A141" s="24" t="s">
        <v>420</v>
      </c>
      <c r="B141" s="24" t="s">
        <v>8</v>
      </c>
      <c r="C141" s="24" t="s">
        <v>351</v>
      </c>
      <c r="D141" s="25">
        <v>12380</v>
      </c>
      <c r="E141" s="25">
        <v>315829</v>
      </c>
      <c r="F141" s="26">
        <v>34260</v>
      </c>
      <c r="G141" s="27">
        <v>10.847642</v>
      </c>
    </row>
    <row r="142" spans="1:7" hidden="1" x14ac:dyDescent="0.25">
      <c r="A142" s="24" t="s">
        <v>421</v>
      </c>
      <c r="B142" s="24" t="s">
        <v>8</v>
      </c>
      <c r="C142" s="24" t="s">
        <v>392</v>
      </c>
      <c r="D142" s="25">
        <v>3178</v>
      </c>
      <c r="E142" s="25">
        <v>46352</v>
      </c>
      <c r="F142" s="26">
        <v>3999.4</v>
      </c>
      <c r="G142" s="27">
        <v>8.6283224000000001</v>
      </c>
    </row>
    <row r="143" spans="1:7" hidden="1" x14ac:dyDescent="0.25">
      <c r="A143" s="24" t="s">
        <v>422</v>
      </c>
      <c r="B143" s="24" t="s">
        <v>8</v>
      </c>
      <c r="C143" s="24" t="s">
        <v>351</v>
      </c>
      <c r="D143" s="25">
        <v>30</v>
      </c>
      <c r="E143" s="25">
        <v>501731</v>
      </c>
      <c r="F143" s="26">
        <v>8994</v>
      </c>
      <c r="G143" s="27">
        <v>1.792594</v>
      </c>
    </row>
    <row r="144" spans="1:7" hidden="1" x14ac:dyDescent="0.25">
      <c r="A144" s="24" t="s">
        <v>423</v>
      </c>
      <c r="B144" s="24" t="s">
        <v>8</v>
      </c>
      <c r="C144" s="24" t="s">
        <v>385</v>
      </c>
      <c r="D144" s="25">
        <v>3549</v>
      </c>
      <c r="E144" s="25">
        <v>68847</v>
      </c>
      <c r="F144" s="26">
        <v>7607</v>
      </c>
      <c r="G144" s="27">
        <v>11.049137999999999</v>
      </c>
    </row>
    <row r="145" spans="1:7" hidden="1" x14ac:dyDescent="0.25">
      <c r="A145" s="24" t="s">
        <v>384</v>
      </c>
      <c r="B145" s="24" t="s">
        <v>15</v>
      </c>
      <c r="C145" s="24" t="s">
        <v>385</v>
      </c>
      <c r="D145" s="25">
        <v>120</v>
      </c>
      <c r="E145" s="25">
        <v>3423</v>
      </c>
      <c r="F145" s="26">
        <v>252</v>
      </c>
      <c r="G145" s="27">
        <v>7.3619631999999999</v>
      </c>
    </row>
    <row r="146" spans="1:7" hidden="1" x14ac:dyDescent="0.25">
      <c r="A146" s="24" t="s">
        <v>424</v>
      </c>
      <c r="B146" s="24" t="s">
        <v>15</v>
      </c>
      <c r="C146" s="24" t="s">
        <v>392</v>
      </c>
      <c r="D146" s="25">
        <v>33</v>
      </c>
      <c r="E146" s="25">
        <v>28909</v>
      </c>
      <c r="F146" s="26">
        <v>5336.1</v>
      </c>
      <c r="G146" s="27">
        <v>18.458265999999998</v>
      </c>
    </row>
    <row r="147" spans="1:7" hidden="1" x14ac:dyDescent="0.25">
      <c r="A147" s="24" t="s">
        <v>425</v>
      </c>
      <c r="B147" s="24" t="s">
        <v>15</v>
      </c>
      <c r="C147" s="24" t="s">
        <v>281</v>
      </c>
      <c r="D147" s="25">
        <v>4671</v>
      </c>
      <c r="E147" s="25">
        <v>59236</v>
      </c>
      <c r="F147" s="26">
        <v>10611</v>
      </c>
      <c r="G147" s="27">
        <v>17.913093</v>
      </c>
    </row>
    <row r="148" spans="1:7" x14ac:dyDescent="0.25">
      <c r="A148" s="24" t="s">
        <v>426</v>
      </c>
      <c r="B148" s="24" t="s">
        <v>15</v>
      </c>
      <c r="C148" s="24" t="s">
        <v>278</v>
      </c>
      <c r="D148" s="25">
        <v>23981</v>
      </c>
      <c r="E148" s="25">
        <v>127219</v>
      </c>
      <c r="F148" s="26">
        <v>33948.699999999997</v>
      </c>
      <c r="G148" s="27">
        <v>26.685244000000001</v>
      </c>
    </row>
    <row r="149" spans="1:7" hidden="1" x14ac:dyDescent="0.25">
      <c r="A149" s="24" t="s">
        <v>427</v>
      </c>
      <c r="B149" s="24" t="s">
        <v>15</v>
      </c>
      <c r="C149" s="24" t="s">
        <v>283</v>
      </c>
      <c r="D149" s="25">
        <v>3244</v>
      </c>
      <c r="E149" s="25">
        <v>957621</v>
      </c>
      <c r="F149" s="26">
        <v>110409.8</v>
      </c>
      <c r="G149" s="27">
        <v>11.529593</v>
      </c>
    </row>
    <row r="150" spans="1:7" hidden="1" x14ac:dyDescent="0.25">
      <c r="A150" s="24" t="s">
        <v>428</v>
      </c>
      <c r="B150" s="24" t="s">
        <v>15</v>
      </c>
      <c r="C150" s="24" t="s">
        <v>283</v>
      </c>
      <c r="D150" s="25">
        <v>35118</v>
      </c>
      <c r="E150" s="25">
        <v>343270</v>
      </c>
      <c r="F150" s="26">
        <v>58111.6</v>
      </c>
      <c r="G150" s="27">
        <v>16.928832</v>
      </c>
    </row>
    <row r="151" spans="1:7" hidden="1" x14ac:dyDescent="0.25">
      <c r="A151" s="24" t="s">
        <v>429</v>
      </c>
      <c r="B151" s="24" t="s">
        <v>15</v>
      </c>
      <c r="C151" s="24" t="s">
        <v>283</v>
      </c>
      <c r="D151" s="25">
        <v>126737</v>
      </c>
      <c r="E151" s="25">
        <v>2344878</v>
      </c>
      <c r="F151" s="26">
        <v>375052</v>
      </c>
      <c r="G151" s="27">
        <v>15.994521000000001</v>
      </c>
    </row>
    <row r="152" spans="1:7" hidden="1" x14ac:dyDescent="0.25">
      <c r="A152" s="24" t="s">
        <v>430</v>
      </c>
      <c r="B152" s="24" t="s">
        <v>15</v>
      </c>
      <c r="C152" s="24" t="s">
        <v>283</v>
      </c>
      <c r="D152" s="25">
        <v>16555</v>
      </c>
      <c r="E152" s="25">
        <v>255975</v>
      </c>
      <c r="F152" s="26">
        <v>36845</v>
      </c>
      <c r="G152" s="27">
        <v>14.393984</v>
      </c>
    </row>
    <row r="153" spans="1:7" hidden="1" x14ac:dyDescent="0.25">
      <c r="A153" s="24" t="s">
        <v>431</v>
      </c>
      <c r="B153" s="24" t="s">
        <v>15</v>
      </c>
      <c r="C153" s="24" t="s">
        <v>283</v>
      </c>
      <c r="D153" s="25">
        <v>12129</v>
      </c>
      <c r="E153" s="25">
        <v>145337</v>
      </c>
      <c r="F153" s="26">
        <v>28758.1</v>
      </c>
      <c r="G153" s="27">
        <v>19.787184</v>
      </c>
    </row>
    <row r="154" spans="1:7" hidden="1" x14ac:dyDescent="0.25">
      <c r="A154" s="24" t="s">
        <v>432</v>
      </c>
      <c r="B154" s="24" t="s">
        <v>15</v>
      </c>
      <c r="C154" s="24" t="s">
        <v>283</v>
      </c>
      <c r="D154" s="25">
        <v>53272</v>
      </c>
      <c r="E154" s="25">
        <v>1079709</v>
      </c>
      <c r="F154" s="26">
        <v>172811</v>
      </c>
      <c r="G154" s="27">
        <v>16.005331000000002</v>
      </c>
    </row>
    <row r="155" spans="1:7" hidden="1" x14ac:dyDescent="0.25">
      <c r="A155" s="24" t="s">
        <v>433</v>
      </c>
      <c r="B155" s="24" t="s">
        <v>15</v>
      </c>
      <c r="C155" s="24" t="s">
        <v>283</v>
      </c>
      <c r="D155" s="25">
        <v>19548</v>
      </c>
      <c r="E155" s="25">
        <v>358037</v>
      </c>
      <c r="F155" s="26">
        <v>57970</v>
      </c>
      <c r="G155" s="27">
        <v>16.191064000000001</v>
      </c>
    </row>
    <row r="156" spans="1:7" hidden="1" x14ac:dyDescent="0.25">
      <c r="A156" s="24" t="s">
        <v>434</v>
      </c>
      <c r="B156" s="24" t="s">
        <v>15</v>
      </c>
      <c r="C156" s="24" t="s">
        <v>283</v>
      </c>
      <c r="D156" s="25">
        <v>1484</v>
      </c>
      <c r="E156" s="25">
        <v>85379</v>
      </c>
      <c r="F156" s="26">
        <v>11737.2</v>
      </c>
      <c r="G156" s="27">
        <v>13.747173999999999</v>
      </c>
    </row>
    <row r="157" spans="1:7" hidden="1" x14ac:dyDescent="0.25">
      <c r="A157" s="24" t="s">
        <v>435</v>
      </c>
      <c r="B157" s="24" t="s">
        <v>15</v>
      </c>
      <c r="C157" s="24" t="s">
        <v>283</v>
      </c>
      <c r="D157" s="25">
        <v>87982</v>
      </c>
      <c r="E157" s="25">
        <v>1070960</v>
      </c>
      <c r="F157" s="26">
        <v>200135.1</v>
      </c>
      <c r="G157" s="27">
        <v>18.687449000000001</v>
      </c>
    </row>
    <row r="158" spans="1:7" hidden="1" x14ac:dyDescent="0.25">
      <c r="A158" s="24" t="s">
        <v>436</v>
      </c>
      <c r="B158" s="24" t="s">
        <v>15</v>
      </c>
      <c r="C158" s="24" t="s">
        <v>283</v>
      </c>
      <c r="D158" s="25">
        <v>5895</v>
      </c>
      <c r="E158" s="25">
        <v>77191</v>
      </c>
      <c r="F158" s="26">
        <v>11896</v>
      </c>
      <c r="G158" s="27">
        <v>15.411123</v>
      </c>
    </row>
    <row r="159" spans="1:7" hidden="1" x14ac:dyDescent="0.25">
      <c r="A159" s="24" t="s">
        <v>437</v>
      </c>
      <c r="B159" s="24" t="s">
        <v>15</v>
      </c>
      <c r="C159" s="24" t="s">
        <v>283</v>
      </c>
      <c r="D159" s="25">
        <v>24093</v>
      </c>
      <c r="E159" s="25">
        <v>429079</v>
      </c>
      <c r="F159" s="26">
        <v>67894</v>
      </c>
      <c r="G159" s="27">
        <v>15.823193</v>
      </c>
    </row>
    <row r="160" spans="1:7" hidden="1" x14ac:dyDescent="0.25">
      <c r="A160" s="24" t="s">
        <v>438</v>
      </c>
      <c r="B160" s="24" t="s">
        <v>15</v>
      </c>
      <c r="C160" s="24" t="s">
        <v>283</v>
      </c>
      <c r="D160" s="25">
        <v>14917</v>
      </c>
      <c r="E160" s="25">
        <v>132573</v>
      </c>
      <c r="F160" s="26">
        <v>22078.5</v>
      </c>
      <c r="G160" s="27">
        <v>16.653843999999999</v>
      </c>
    </row>
    <row r="161" spans="1:7" hidden="1" x14ac:dyDescent="0.25">
      <c r="A161" s="24" t="s">
        <v>439</v>
      </c>
      <c r="B161" s="24" t="s">
        <v>15</v>
      </c>
      <c r="C161" s="24" t="s">
        <v>283</v>
      </c>
      <c r="D161" s="25">
        <v>6301</v>
      </c>
      <c r="E161" s="25">
        <v>204009</v>
      </c>
      <c r="F161" s="26">
        <v>29429.9</v>
      </c>
      <c r="G161" s="27">
        <v>14.425784999999999</v>
      </c>
    </row>
    <row r="162" spans="1:7" hidden="1" x14ac:dyDescent="0.25">
      <c r="A162" s="24" t="s">
        <v>440</v>
      </c>
      <c r="B162" s="24" t="s">
        <v>15</v>
      </c>
      <c r="C162" s="24" t="s">
        <v>283</v>
      </c>
      <c r="D162" s="25">
        <v>29590</v>
      </c>
      <c r="E162" s="25">
        <v>912623</v>
      </c>
      <c r="F162" s="26">
        <v>121317</v>
      </c>
      <c r="G162" s="27">
        <v>13.293222</v>
      </c>
    </row>
    <row r="163" spans="1:7" hidden="1" x14ac:dyDescent="0.25">
      <c r="A163" s="24" t="s">
        <v>441</v>
      </c>
      <c r="B163" s="24" t="s">
        <v>15</v>
      </c>
      <c r="C163" s="24" t="s">
        <v>283</v>
      </c>
      <c r="D163" s="25">
        <v>64249</v>
      </c>
      <c r="E163" s="25">
        <v>1060523</v>
      </c>
      <c r="F163" s="26">
        <v>175202.3</v>
      </c>
      <c r="G163" s="27">
        <v>16.520368000000001</v>
      </c>
    </row>
    <row r="164" spans="1:7" hidden="1" x14ac:dyDescent="0.25">
      <c r="A164" s="24" t="s">
        <v>442</v>
      </c>
      <c r="B164" s="24" t="s">
        <v>15</v>
      </c>
      <c r="C164" s="24" t="s">
        <v>283</v>
      </c>
      <c r="D164" s="25">
        <v>44045</v>
      </c>
      <c r="E164" s="25">
        <v>763781</v>
      </c>
      <c r="F164" s="26">
        <v>128451.6</v>
      </c>
      <c r="G164" s="27">
        <v>16.817857</v>
      </c>
    </row>
    <row r="165" spans="1:7" hidden="1" x14ac:dyDescent="0.25">
      <c r="A165" s="24" t="s">
        <v>443</v>
      </c>
      <c r="B165" s="24" t="s">
        <v>15</v>
      </c>
      <c r="C165" s="24" t="s">
        <v>283</v>
      </c>
      <c r="D165" s="25">
        <v>109260</v>
      </c>
      <c r="E165" s="25">
        <v>2227979</v>
      </c>
      <c r="F165" s="26">
        <v>313480</v>
      </c>
      <c r="G165" s="27">
        <v>14.070150999999999</v>
      </c>
    </row>
    <row r="166" spans="1:7" hidden="1" x14ac:dyDescent="0.25">
      <c r="A166" s="24" t="s">
        <v>444</v>
      </c>
      <c r="B166" s="24" t="s">
        <v>15</v>
      </c>
      <c r="C166" s="24" t="s">
        <v>283</v>
      </c>
      <c r="D166" s="25">
        <v>58968</v>
      </c>
      <c r="E166" s="25">
        <v>1200234</v>
      </c>
      <c r="F166" s="26">
        <v>165022.9</v>
      </c>
      <c r="G166" s="27">
        <v>13.749226999999999</v>
      </c>
    </row>
    <row r="167" spans="1:7" hidden="1" x14ac:dyDescent="0.25">
      <c r="A167" s="24" t="s">
        <v>445</v>
      </c>
      <c r="B167" s="24" t="s">
        <v>15</v>
      </c>
      <c r="C167" s="24" t="s">
        <v>283</v>
      </c>
      <c r="D167" s="25">
        <v>54826</v>
      </c>
      <c r="E167" s="25">
        <v>3499470</v>
      </c>
      <c r="F167" s="26">
        <v>408609.2</v>
      </c>
      <c r="G167" s="27">
        <v>11.676316999999999</v>
      </c>
    </row>
    <row r="168" spans="1:7" hidden="1" x14ac:dyDescent="0.25">
      <c r="A168" s="24" t="s">
        <v>446</v>
      </c>
      <c r="B168" s="24" t="s">
        <v>15</v>
      </c>
      <c r="C168" s="24" t="s">
        <v>283</v>
      </c>
      <c r="D168" s="25">
        <v>4516</v>
      </c>
      <c r="E168" s="25">
        <v>199537</v>
      </c>
      <c r="F168" s="26">
        <v>19705.7</v>
      </c>
      <c r="G168" s="27">
        <v>9.8757123</v>
      </c>
    </row>
    <row r="169" spans="1:7" hidden="1" x14ac:dyDescent="0.25">
      <c r="A169" s="24" t="s">
        <v>447</v>
      </c>
      <c r="B169" s="24" t="s">
        <v>15</v>
      </c>
      <c r="C169" s="24" t="s">
        <v>283</v>
      </c>
      <c r="D169" s="25">
        <v>8018</v>
      </c>
      <c r="E169" s="25">
        <v>111874</v>
      </c>
      <c r="F169" s="26">
        <v>14383</v>
      </c>
      <c r="G169" s="27">
        <v>12.856427999999999</v>
      </c>
    </row>
    <row r="170" spans="1:7" hidden="1" x14ac:dyDescent="0.25">
      <c r="A170" s="24" t="s">
        <v>448</v>
      </c>
      <c r="B170" s="24" t="s">
        <v>15</v>
      </c>
      <c r="C170" s="24" t="s">
        <v>283</v>
      </c>
      <c r="D170" s="25">
        <v>1910</v>
      </c>
      <c r="E170" s="25">
        <v>1078536</v>
      </c>
      <c r="F170" s="26">
        <v>161302.5</v>
      </c>
      <c r="G170" s="27">
        <v>14.955690000000001</v>
      </c>
    </row>
    <row r="171" spans="1:7" hidden="1" x14ac:dyDescent="0.25">
      <c r="A171" s="24" t="s">
        <v>449</v>
      </c>
      <c r="B171" s="24" t="s">
        <v>15</v>
      </c>
      <c r="C171" s="24" t="s">
        <v>283</v>
      </c>
      <c r="D171" s="25">
        <v>65</v>
      </c>
      <c r="E171" s="25">
        <v>93402</v>
      </c>
      <c r="F171" s="26">
        <v>11935</v>
      </c>
      <c r="G171" s="27">
        <v>12.778098999999999</v>
      </c>
    </row>
    <row r="172" spans="1:7" hidden="1" x14ac:dyDescent="0.25">
      <c r="A172" s="24" t="s">
        <v>391</v>
      </c>
      <c r="B172" s="24" t="s">
        <v>15</v>
      </c>
      <c r="C172" s="24" t="s">
        <v>392</v>
      </c>
      <c r="D172" s="25">
        <v>23</v>
      </c>
      <c r="E172" s="25">
        <v>55791</v>
      </c>
      <c r="F172" s="26">
        <v>8714.2000000000007</v>
      </c>
      <c r="G172" s="27">
        <v>15.619365</v>
      </c>
    </row>
    <row r="173" spans="1:7" hidden="1" x14ac:dyDescent="0.25">
      <c r="A173" s="24" t="s">
        <v>400</v>
      </c>
      <c r="B173" s="24" t="s">
        <v>15</v>
      </c>
      <c r="C173" s="24" t="s">
        <v>392</v>
      </c>
      <c r="D173" s="25">
        <v>1278</v>
      </c>
      <c r="E173" s="25">
        <v>8256</v>
      </c>
      <c r="F173" s="26">
        <v>1207</v>
      </c>
      <c r="G173" s="27">
        <v>14.619671</v>
      </c>
    </row>
    <row r="174" spans="1:7" hidden="1" x14ac:dyDescent="0.25">
      <c r="A174" s="24" t="s">
        <v>450</v>
      </c>
      <c r="B174" s="24" t="s">
        <v>15</v>
      </c>
      <c r="C174" s="24" t="s">
        <v>385</v>
      </c>
      <c r="D174" s="25">
        <v>154465</v>
      </c>
      <c r="E174" s="25">
        <v>3441631</v>
      </c>
      <c r="F174" s="26">
        <v>436802</v>
      </c>
      <c r="G174" s="27">
        <v>12.691715</v>
      </c>
    </row>
    <row r="175" spans="1:7" hidden="1" x14ac:dyDescent="0.25">
      <c r="A175" s="24" t="s">
        <v>451</v>
      </c>
      <c r="B175" s="24" t="s">
        <v>15</v>
      </c>
      <c r="C175" s="24" t="s">
        <v>385</v>
      </c>
      <c r="D175" s="25">
        <v>1</v>
      </c>
      <c r="E175" s="25">
        <v>899458</v>
      </c>
      <c r="F175" s="26">
        <v>6870</v>
      </c>
      <c r="G175" s="27">
        <v>0.76379330000000001</v>
      </c>
    </row>
    <row r="176" spans="1:7" hidden="1" x14ac:dyDescent="0.25">
      <c r="A176" s="24" t="s">
        <v>452</v>
      </c>
      <c r="B176" s="24" t="s">
        <v>15</v>
      </c>
      <c r="C176" s="24" t="s">
        <v>283</v>
      </c>
      <c r="D176" s="25">
        <v>12013</v>
      </c>
      <c r="E176" s="25">
        <v>128445</v>
      </c>
      <c r="F176" s="26">
        <v>19758.599999999999</v>
      </c>
      <c r="G176" s="27">
        <v>15.382927</v>
      </c>
    </row>
    <row r="177" spans="1:7" x14ac:dyDescent="0.25">
      <c r="A177" s="24" t="s">
        <v>453</v>
      </c>
      <c r="B177" s="24" t="s">
        <v>15</v>
      </c>
      <c r="C177" s="24" t="s">
        <v>278</v>
      </c>
      <c r="D177" s="25">
        <v>48195</v>
      </c>
      <c r="E177" s="25">
        <v>567672</v>
      </c>
      <c r="F177" s="26">
        <v>78151.899999999994</v>
      </c>
      <c r="G177" s="27">
        <v>13.767087</v>
      </c>
    </row>
    <row r="178" spans="1:7" hidden="1" x14ac:dyDescent="0.25">
      <c r="A178" s="24" t="s">
        <v>401</v>
      </c>
      <c r="B178" s="24" t="s">
        <v>15</v>
      </c>
      <c r="C178" s="24" t="s">
        <v>392</v>
      </c>
      <c r="D178" s="25">
        <v>151</v>
      </c>
      <c r="E178" s="25">
        <v>14151</v>
      </c>
      <c r="F178" s="26">
        <v>2373.1999999999998</v>
      </c>
      <c r="G178" s="27">
        <v>16.770546</v>
      </c>
    </row>
    <row r="179" spans="1:7" hidden="1" x14ac:dyDescent="0.25">
      <c r="A179" s="24" t="s">
        <v>454</v>
      </c>
      <c r="B179" s="24" t="s">
        <v>15</v>
      </c>
      <c r="C179" s="24" t="s">
        <v>283</v>
      </c>
      <c r="D179" s="25">
        <v>1426865</v>
      </c>
      <c r="E179" s="25">
        <v>22678466</v>
      </c>
      <c r="F179" s="26">
        <v>3587659.7</v>
      </c>
      <c r="G179" s="27">
        <v>15.819675</v>
      </c>
    </row>
    <row r="180" spans="1:7" hidden="1" x14ac:dyDescent="0.25">
      <c r="A180" s="24" t="s">
        <v>455</v>
      </c>
      <c r="B180" s="24" t="s">
        <v>15</v>
      </c>
      <c r="C180" s="24" t="s">
        <v>385</v>
      </c>
      <c r="D180" s="25">
        <v>8934</v>
      </c>
      <c r="E180" s="25">
        <v>507963</v>
      </c>
      <c r="F180" s="26">
        <v>56268</v>
      </c>
      <c r="G180" s="27">
        <v>11.077185</v>
      </c>
    </row>
    <row r="181" spans="1:7" hidden="1" x14ac:dyDescent="0.25">
      <c r="A181" s="24" t="s">
        <v>456</v>
      </c>
      <c r="B181" s="24" t="s">
        <v>15</v>
      </c>
      <c r="C181" s="24" t="s">
        <v>385</v>
      </c>
      <c r="D181" s="25">
        <v>122734</v>
      </c>
      <c r="E181" s="25">
        <v>2562021</v>
      </c>
      <c r="F181" s="26">
        <v>362468</v>
      </c>
      <c r="G181" s="27">
        <v>14.147736999999999</v>
      </c>
    </row>
    <row r="182" spans="1:7" x14ac:dyDescent="0.25">
      <c r="A182" s="24" t="s">
        <v>457</v>
      </c>
      <c r="B182" s="24" t="s">
        <v>15</v>
      </c>
      <c r="C182" s="24" t="s">
        <v>278</v>
      </c>
      <c r="D182" s="25">
        <v>45078</v>
      </c>
      <c r="E182" s="25">
        <v>762352</v>
      </c>
      <c r="F182" s="26">
        <v>107859.4</v>
      </c>
      <c r="G182" s="27">
        <v>14.148241000000001</v>
      </c>
    </row>
    <row r="183" spans="1:7" x14ac:dyDescent="0.25">
      <c r="A183" s="24" t="s">
        <v>458</v>
      </c>
      <c r="B183" s="24" t="s">
        <v>15</v>
      </c>
      <c r="C183" s="24" t="s">
        <v>278</v>
      </c>
      <c r="D183" s="25">
        <v>4546272</v>
      </c>
      <c r="E183" s="25">
        <v>61827985</v>
      </c>
      <c r="F183" s="26">
        <v>12401905</v>
      </c>
      <c r="G183" s="27">
        <v>20.058724000000002</v>
      </c>
    </row>
    <row r="184" spans="1:7" hidden="1" x14ac:dyDescent="0.25">
      <c r="A184" s="24" t="s">
        <v>459</v>
      </c>
      <c r="B184" s="24" t="s">
        <v>15</v>
      </c>
      <c r="C184" s="24" t="s">
        <v>283</v>
      </c>
      <c r="D184" s="25">
        <v>574</v>
      </c>
      <c r="E184" s="25">
        <v>21813</v>
      </c>
      <c r="F184" s="26">
        <v>4724</v>
      </c>
      <c r="G184" s="27">
        <v>21.65681</v>
      </c>
    </row>
    <row r="185" spans="1:7" hidden="1" x14ac:dyDescent="0.25">
      <c r="A185" s="24" t="s">
        <v>460</v>
      </c>
      <c r="B185" s="24" t="s">
        <v>15</v>
      </c>
      <c r="C185" s="24" t="s">
        <v>281</v>
      </c>
      <c r="D185" s="25">
        <v>7474</v>
      </c>
      <c r="E185" s="25">
        <v>144033</v>
      </c>
      <c r="F185" s="26">
        <v>23726</v>
      </c>
      <c r="G185" s="27">
        <v>16.472614</v>
      </c>
    </row>
    <row r="186" spans="1:7" hidden="1" x14ac:dyDescent="0.25">
      <c r="A186" s="24" t="s">
        <v>461</v>
      </c>
      <c r="B186" s="24" t="s">
        <v>15</v>
      </c>
      <c r="C186" s="24" t="s">
        <v>283</v>
      </c>
      <c r="D186" s="25">
        <v>136</v>
      </c>
      <c r="E186" s="25">
        <v>55836</v>
      </c>
      <c r="F186" s="26">
        <v>13067.9</v>
      </c>
      <c r="G186" s="27">
        <v>23.404076</v>
      </c>
    </row>
    <row r="187" spans="1:7" hidden="1" x14ac:dyDescent="0.25">
      <c r="A187" s="24" t="s">
        <v>462</v>
      </c>
      <c r="B187" s="24" t="s">
        <v>15</v>
      </c>
      <c r="C187" s="24" t="s">
        <v>283</v>
      </c>
      <c r="D187" s="25">
        <v>95</v>
      </c>
      <c r="E187" s="25">
        <v>16062</v>
      </c>
      <c r="F187" s="26">
        <v>2516</v>
      </c>
      <c r="G187" s="27">
        <v>15.664301</v>
      </c>
    </row>
    <row r="188" spans="1:7" hidden="1" x14ac:dyDescent="0.25">
      <c r="A188" s="24" t="s">
        <v>463</v>
      </c>
      <c r="B188" s="24" t="s">
        <v>15</v>
      </c>
      <c r="C188" s="24" t="s">
        <v>392</v>
      </c>
      <c r="D188" s="25">
        <v>42</v>
      </c>
      <c r="E188" s="25">
        <v>415</v>
      </c>
      <c r="F188" s="26">
        <v>101.4</v>
      </c>
      <c r="G188" s="27">
        <v>24.433734999999999</v>
      </c>
    </row>
    <row r="189" spans="1:7" hidden="1" x14ac:dyDescent="0.25">
      <c r="A189" s="24" t="s">
        <v>464</v>
      </c>
      <c r="B189" s="24" t="s">
        <v>15</v>
      </c>
      <c r="C189" s="24" t="s">
        <v>385</v>
      </c>
      <c r="D189" s="25">
        <v>622774</v>
      </c>
      <c r="E189" s="25">
        <v>10776350</v>
      </c>
      <c r="F189" s="26">
        <v>1431847.1</v>
      </c>
      <c r="G189" s="27">
        <v>13.286939</v>
      </c>
    </row>
    <row r="190" spans="1:7" x14ac:dyDescent="0.25">
      <c r="A190" s="24" t="s">
        <v>465</v>
      </c>
      <c r="B190" s="24" t="s">
        <v>15</v>
      </c>
      <c r="C190" s="24" t="s">
        <v>278</v>
      </c>
      <c r="D190" s="25">
        <v>1434025</v>
      </c>
      <c r="E190" s="25">
        <v>15623082</v>
      </c>
      <c r="F190" s="26">
        <v>3281733.5</v>
      </c>
      <c r="G190" s="27">
        <v>21.005673000000002</v>
      </c>
    </row>
    <row r="191" spans="1:7" hidden="1" x14ac:dyDescent="0.25">
      <c r="A191" s="24" t="s">
        <v>408</v>
      </c>
      <c r="B191" s="24" t="s">
        <v>15</v>
      </c>
      <c r="C191" s="24" t="s">
        <v>392</v>
      </c>
      <c r="D191" s="25">
        <v>134238</v>
      </c>
      <c r="E191" s="25">
        <v>1222599</v>
      </c>
      <c r="F191" s="26">
        <v>191411.5</v>
      </c>
      <c r="G191" s="27">
        <v>15.656115</v>
      </c>
    </row>
    <row r="192" spans="1:7" x14ac:dyDescent="0.25">
      <c r="A192" s="24" t="s">
        <v>466</v>
      </c>
      <c r="B192" s="24" t="s">
        <v>15</v>
      </c>
      <c r="C192" s="24" t="s">
        <v>278</v>
      </c>
      <c r="D192" s="25">
        <v>4971014</v>
      </c>
      <c r="E192" s="25">
        <v>72196041</v>
      </c>
      <c r="F192" s="26">
        <v>10763409</v>
      </c>
      <c r="G192" s="27">
        <v>14.908586</v>
      </c>
    </row>
    <row r="193" spans="1:7" hidden="1" x14ac:dyDescent="0.25">
      <c r="A193" s="24" t="s">
        <v>409</v>
      </c>
      <c r="B193" s="24" t="s">
        <v>15</v>
      </c>
      <c r="C193" s="24" t="s">
        <v>392</v>
      </c>
      <c r="D193" s="25">
        <v>12792</v>
      </c>
      <c r="E193" s="25">
        <v>115558</v>
      </c>
      <c r="F193" s="26">
        <v>21507</v>
      </c>
      <c r="G193" s="27">
        <v>18.611433000000002</v>
      </c>
    </row>
    <row r="194" spans="1:7" hidden="1" x14ac:dyDescent="0.25">
      <c r="A194" s="24" t="s">
        <v>411</v>
      </c>
      <c r="B194" s="24" t="s">
        <v>15</v>
      </c>
      <c r="C194" s="24" t="s">
        <v>392</v>
      </c>
      <c r="D194" s="25">
        <v>1213</v>
      </c>
      <c r="E194" s="25">
        <v>42080</v>
      </c>
      <c r="F194" s="26">
        <v>7164.2</v>
      </c>
      <c r="G194" s="27">
        <v>17.025189999999998</v>
      </c>
    </row>
    <row r="195" spans="1:7" hidden="1" x14ac:dyDescent="0.25">
      <c r="A195" s="24" t="s">
        <v>412</v>
      </c>
      <c r="B195" s="24" t="s">
        <v>15</v>
      </c>
      <c r="C195" s="24" t="s">
        <v>392</v>
      </c>
      <c r="D195" s="25">
        <v>3484</v>
      </c>
      <c r="E195" s="25">
        <v>36855</v>
      </c>
      <c r="F195" s="26">
        <v>7762.9</v>
      </c>
      <c r="G195" s="27">
        <v>21.063355999999999</v>
      </c>
    </row>
    <row r="196" spans="1:7" hidden="1" x14ac:dyDescent="0.25">
      <c r="A196" s="24" t="s">
        <v>413</v>
      </c>
      <c r="B196" s="24" t="s">
        <v>15</v>
      </c>
      <c r="C196" s="24" t="s">
        <v>392</v>
      </c>
      <c r="D196" s="25">
        <v>30126</v>
      </c>
      <c r="E196" s="25">
        <v>349054</v>
      </c>
      <c r="F196" s="26">
        <v>49227.9</v>
      </c>
      <c r="G196" s="27">
        <v>14.103232999999999</v>
      </c>
    </row>
    <row r="197" spans="1:7" hidden="1" x14ac:dyDescent="0.25">
      <c r="A197" s="24" t="s">
        <v>414</v>
      </c>
      <c r="B197" s="24" t="s">
        <v>15</v>
      </c>
      <c r="C197" s="24" t="s">
        <v>392</v>
      </c>
      <c r="D197" s="25">
        <v>10337</v>
      </c>
      <c r="E197" s="25">
        <v>93319</v>
      </c>
      <c r="F197" s="26">
        <v>18485.099999999999</v>
      </c>
      <c r="G197" s="27">
        <v>19.808506000000001</v>
      </c>
    </row>
    <row r="198" spans="1:7" hidden="1" x14ac:dyDescent="0.25">
      <c r="A198" s="24" t="s">
        <v>415</v>
      </c>
      <c r="B198" s="24" t="s">
        <v>15</v>
      </c>
      <c r="C198" s="24" t="s">
        <v>392</v>
      </c>
      <c r="D198" s="25">
        <v>51608</v>
      </c>
      <c r="E198" s="25">
        <v>443005</v>
      </c>
      <c r="F198" s="26">
        <v>99369.600000000006</v>
      </c>
      <c r="G198" s="27">
        <v>22.430807999999999</v>
      </c>
    </row>
    <row r="199" spans="1:7" hidden="1" x14ac:dyDescent="0.25">
      <c r="A199" s="24" t="s">
        <v>467</v>
      </c>
      <c r="B199" s="24" t="s">
        <v>15</v>
      </c>
      <c r="C199" s="24" t="s">
        <v>281</v>
      </c>
      <c r="D199" s="25">
        <v>4715</v>
      </c>
      <c r="E199" s="25">
        <v>97517</v>
      </c>
      <c r="F199" s="26">
        <v>8095.5</v>
      </c>
      <c r="G199" s="27">
        <v>8.3016295000000007</v>
      </c>
    </row>
    <row r="200" spans="1:7" hidden="1" x14ac:dyDescent="0.25">
      <c r="A200" s="24" t="s">
        <v>416</v>
      </c>
      <c r="B200" s="24" t="s">
        <v>15</v>
      </c>
      <c r="C200" s="24" t="s">
        <v>392</v>
      </c>
      <c r="D200" s="25">
        <v>77</v>
      </c>
      <c r="E200" s="25">
        <v>17828</v>
      </c>
      <c r="F200" s="26">
        <v>2950</v>
      </c>
      <c r="G200" s="27">
        <v>16.547004999999999</v>
      </c>
    </row>
    <row r="201" spans="1:7" hidden="1" x14ac:dyDescent="0.25">
      <c r="A201" s="24" t="s">
        <v>468</v>
      </c>
      <c r="B201" s="24" t="s">
        <v>15</v>
      </c>
      <c r="C201" s="24" t="s">
        <v>385</v>
      </c>
      <c r="D201" s="25">
        <v>13768</v>
      </c>
      <c r="E201" s="25">
        <v>156562</v>
      </c>
      <c r="F201" s="26">
        <v>24206</v>
      </c>
      <c r="G201" s="27">
        <v>15.460967999999999</v>
      </c>
    </row>
    <row r="202" spans="1:7" hidden="1" x14ac:dyDescent="0.25">
      <c r="A202" s="24" t="s">
        <v>469</v>
      </c>
      <c r="B202" s="24" t="s">
        <v>15</v>
      </c>
      <c r="C202" s="24" t="s">
        <v>385</v>
      </c>
      <c r="D202" s="25">
        <v>102343</v>
      </c>
      <c r="E202" s="25">
        <v>2047898</v>
      </c>
      <c r="F202" s="26">
        <v>285728</v>
      </c>
      <c r="G202" s="27">
        <v>13.952256999999999</v>
      </c>
    </row>
    <row r="203" spans="1:7" hidden="1" x14ac:dyDescent="0.25">
      <c r="A203" s="24" t="s">
        <v>470</v>
      </c>
      <c r="B203" s="24" t="s">
        <v>15</v>
      </c>
      <c r="C203" s="24" t="s">
        <v>281</v>
      </c>
      <c r="D203" s="25">
        <v>44</v>
      </c>
      <c r="E203" s="25">
        <v>9601</v>
      </c>
      <c r="F203" s="26">
        <v>925.8</v>
      </c>
      <c r="G203" s="27">
        <v>9.6427455000000002</v>
      </c>
    </row>
    <row r="204" spans="1:7" hidden="1" x14ac:dyDescent="0.25">
      <c r="A204" s="24" t="s">
        <v>421</v>
      </c>
      <c r="B204" s="24" t="s">
        <v>15</v>
      </c>
      <c r="C204" s="24" t="s">
        <v>392</v>
      </c>
      <c r="D204" s="25">
        <v>43854</v>
      </c>
      <c r="E204" s="25">
        <v>305664</v>
      </c>
      <c r="F204" s="26">
        <v>47958</v>
      </c>
      <c r="G204" s="27">
        <v>15.689776999999999</v>
      </c>
    </row>
    <row r="205" spans="1:7" hidden="1" x14ac:dyDescent="0.25">
      <c r="A205" s="24" t="s">
        <v>422</v>
      </c>
      <c r="B205" s="24" t="s">
        <v>15</v>
      </c>
      <c r="C205" s="24" t="s">
        <v>351</v>
      </c>
      <c r="D205" s="25">
        <v>82</v>
      </c>
      <c r="E205" s="25">
        <v>2593711</v>
      </c>
      <c r="F205" s="26">
        <v>61340.4</v>
      </c>
      <c r="G205" s="27">
        <v>2.3649665999999998</v>
      </c>
    </row>
    <row r="206" spans="1:7" hidden="1" x14ac:dyDescent="0.25">
      <c r="A206" s="24" t="s">
        <v>471</v>
      </c>
      <c r="B206" s="24" t="s">
        <v>16</v>
      </c>
      <c r="C206" s="24" t="s">
        <v>278</v>
      </c>
      <c r="D206" s="25">
        <v>95951</v>
      </c>
      <c r="E206" s="25">
        <v>1901235</v>
      </c>
      <c r="F206" s="26">
        <v>245968</v>
      </c>
      <c r="G206" s="27">
        <v>12.937275</v>
      </c>
    </row>
    <row r="207" spans="1:7" hidden="1" x14ac:dyDescent="0.25">
      <c r="A207" s="24" t="s">
        <v>472</v>
      </c>
      <c r="B207" s="24" t="s">
        <v>16</v>
      </c>
      <c r="C207" s="24" t="s">
        <v>283</v>
      </c>
      <c r="D207" s="25">
        <v>3022</v>
      </c>
      <c r="E207" s="25">
        <v>64474</v>
      </c>
      <c r="F207" s="26">
        <v>6970</v>
      </c>
      <c r="G207" s="27">
        <v>10.810559</v>
      </c>
    </row>
    <row r="208" spans="1:7" hidden="1" x14ac:dyDescent="0.25">
      <c r="A208" s="24" t="s">
        <v>473</v>
      </c>
      <c r="B208" s="24" t="s">
        <v>16</v>
      </c>
      <c r="C208" s="24" t="s">
        <v>283</v>
      </c>
      <c r="D208" s="25">
        <v>227402</v>
      </c>
      <c r="E208" s="25">
        <v>4556755</v>
      </c>
      <c r="F208" s="26">
        <v>426664.9</v>
      </c>
      <c r="G208" s="27">
        <v>9.3633495999999994</v>
      </c>
    </row>
    <row r="209" spans="1:7" hidden="1" x14ac:dyDescent="0.25">
      <c r="A209" s="24" t="s">
        <v>474</v>
      </c>
      <c r="B209" s="24" t="s">
        <v>16</v>
      </c>
      <c r="C209" s="24" t="s">
        <v>283</v>
      </c>
      <c r="D209" s="25">
        <v>72523</v>
      </c>
      <c r="E209" s="25">
        <v>1499035</v>
      </c>
      <c r="F209" s="26">
        <v>128730.2</v>
      </c>
      <c r="G209" s="27">
        <v>8.5875380000000003</v>
      </c>
    </row>
    <row r="210" spans="1:7" hidden="1" x14ac:dyDescent="0.25">
      <c r="A210" s="24" t="s">
        <v>475</v>
      </c>
      <c r="B210" s="24" t="s">
        <v>16</v>
      </c>
      <c r="C210" s="24" t="s">
        <v>283</v>
      </c>
      <c r="D210" s="25">
        <v>6039</v>
      </c>
      <c r="E210" s="25">
        <v>250150</v>
      </c>
      <c r="F210" s="26">
        <v>22693</v>
      </c>
      <c r="G210" s="27">
        <v>9.0717569000000005</v>
      </c>
    </row>
    <row r="211" spans="1:7" hidden="1" x14ac:dyDescent="0.25">
      <c r="A211" s="24" t="s">
        <v>476</v>
      </c>
      <c r="B211" s="24" t="s">
        <v>16</v>
      </c>
      <c r="C211" s="24" t="s">
        <v>283</v>
      </c>
      <c r="D211" s="25">
        <v>17364</v>
      </c>
      <c r="E211" s="25">
        <v>218116</v>
      </c>
      <c r="F211" s="26">
        <v>21415</v>
      </c>
      <c r="G211" s="27">
        <v>9.8181700999999997</v>
      </c>
    </row>
    <row r="212" spans="1:7" hidden="1" x14ac:dyDescent="0.25">
      <c r="A212" s="24" t="s">
        <v>477</v>
      </c>
      <c r="B212" s="24" t="s">
        <v>16</v>
      </c>
      <c r="C212" s="24" t="s">
        <v>283</v>
      </c>
      <c r="D212" s="25">
        <v>6194</v>
      </c>
      <c r="E212" s="25">
        <v>125618</v>
      </c>
      <c r="F212" s="26">
        <v>13342</v>
      </c>
      <c r="G212" s="27">
        <v>10.621089</v>
      </c>
    </row>
    <row r="213" spans="1:7" hidden="1" x14ac:dyDescent="0.25">
      <c r="A213" s="24" t="s">
        <v>478</v>
      </c>
      <c r="B213" s="24" t="s">
        <v>16</v>
      </c>
      <c r="C213" s="24" t="s">
        <v>283</v>
      </c>
      <c r="D213" s="25">
        <v>4272</v>
      </c>
      <c r="E213" s="25">
        <v>67682</v>
      </c>
      <c r="F213" s="26">
        <v>5657.3</v>
      </c>
      <c r="G213" s="27">
        <v>8.3586478</v>
      </c>
    </row>
    <row r="214" spans="1:7" hidden="1" x14ac:dyDescent="0.25">
      <c r="A214" s="24" t="s">
        <v>479</v>
      </c>
      <c r="B214" s="24" t="s">
        <v>16</v>
      </c>
      <c r="C214" s="24" t="s">
        <v>283</v>
      </c>
      <c r="D214" s="25">
        <v>39217</v>
      </c>
      <c r="E214" s="25">
        <v>784188</v>
      </c>
      <c r="F214" s="26">
        <v>65940.2</v>
      </c>
      <c r="G214" s="27">
        <v>8.4087233999999995</v>
      </c>
    </row>
    <row r="215" spans="1:7" hidden="1" x14ac:dyDescent="0.25">
      <c r="A215" s="24" t="s">
        <v>480</v>
      </c>
      <c r="B215" s="24" t="s">
        <v>16</v>
      </c>
      <c r="C215" s="24" t="s">
        <v>283</v>
      </c>
      <c r="D215" s="25">
        <v>36377</v>
      </c>
      <c r="E215" s="25">
        <v>697579</v>
      </c>
      <c r="F215" s="26">
        <v>61144.4</v>
      </c>
      <c r="G215" s="27">
        <v>8.7652295000000002</v>
      </c>
    </row>
    <row r="216" spans="1:7" hidden="1" x14ac:dyDescent="0.25">
      <c r="A216" s="24" t="s">
        <v>481</v>
      </c>
      <c r="B216" s="24" t="s">
        <v>16</v>
      </c>
      <c r="C216" s="24" t="s">
        <v>281</v>
      </c>
      <c r="D216" s="25">
        <v>33039</v>
      </c>
      <c r="E216" s="25">
        <v>510264</v>
      </c>
      <c r="F216" s="26">
        <v>62181.1</v>
      </c>
      <c r="G216" s="27">
        <v>12.186064</v>
      </c>
    </row>
    <row r="217" spans="1:7" hidden="1" x14ac:dyDescent="0.25">
      <c r="A217" s="24" t="s">
        <v>482</v>
      </c>
      <c r="B217" s="24" t="s">
        <v>16</v>
      </c>
      <c r="C217" s="24" t="s">
        <v>281</v>
      </c>
      <c r="D217" s="25">
        <v>14880</v>
      </c>
      <c r="E217" s="25">
        <v>842294</v>
      </c>
      <c r="F217" s="26">
        <v>74201</v>
      </c>
      <c r="G217" s="27">
        <v>8.8093942999999992</v>
      </c>
    </row>
    <row r="218" spans="1:7" hidden="1" x14ac:dyDescent="0.25">
      <c r="A218" s="24" t="s">
        <v>483</v>
      </c>
      <c r="B218" s="24" t="s">
        <v>16</v>
      </c>
      <c r="C218" s="24" t="s">
        <v>281</v>
      </c>
      <c r="D218" s="25">
        <v>17338</v>
      </c>
      <c r="E218" s="25">
        <v>236516</v>
      </c>
      <c r="F218" s="26">
        <v>31846.5</v>
      </c>
      <c r="G218" s="27">
        <v>13.464840000000001</v>
      </c>
    </row>
    <row r="219" spans="1:7" hidden="1" x14ac:dyDescent="0.25">
      <c r="A219" s="24" t="s">
        <v>400</v>
      </c>
      <c r="B219" s="24" t="s">
        <v>16</v>
      </c>
      <c r="C219" s="24" t="s">
        <v>392</v>
      </c>
      <c r="D219" s="25">
        <v>703</v>
      </c>
      <c r="E219" s="25">
        <v>6736</v>
      </c>
      <c r="F219" s="26">
        <v>512</v>
      </c>
      <c r="G219" s="27">
        <v>7.6009501000000004</v>
      </c>
    </row>
    <row r="220" spans="1:7" hidden="1" x14ac:dyDescent="0.25">
      <c r="A220" s="24" t="s">
        <v>484</v>
      </c>
      <c r="B220" s="24" t="s">
        <v>16</v>
      </c>
      <c r="C220" s="24" t="s">
        <v>281</v>
      </c>
      <c r="D220" s="25">
        <v>10777</v>
      </c>
      <c r="E220" s="25">
        <v>116363</v>
      </c>
      <c r="F220" s="26">
        <v>18055.5</v>
      </c>
      <c r="G220" s="27">
        <v>15.516529999999999</v>
      </c>
    </row>
    <row r="221" spans="1:7" hidden="1" x14ac:dyDescent="0.25">
      <c r="A221" s="24" t="s">
        <v>485</v>
      </c>
      <c r="B221" s="24" t="s">
        <v>16</v>
      </c>
      <c r="C221" s="24" t="s">
        <v>281</v>
      </c>
      <c r="D221" s="25">
        <v>1014</v>
      </c>
      <c r="E221" s="25">
        <v>101945</v>
      </c>
      <c r="F221" s="26">
        <v>12619</v>
      </c>
      <c r="G221" s="27">
        <v>12.378242999999999</v>
      </c>
    </row>
    <row r="222" spans="1:7" hidden="1" x14ac:dyDescent="0.25">
      <c r="A222" s="24" t="s">
        <v>486</v>
      </c>
      <c r="B222" s="24" t="s">
        <v>16</v>
      </c>
      <c r="C222" s="24" t="s">
        <v>281</v>
      </c>
      <c r="D222" s="25">
        <v>8342</v>
      </c>
      <c r="E222" s="25">
        <v>367213</v>
      </c>
      <c r="F222" s="26">
        <v>41435.1</v>
      </c>
      <c r="G222" s="27">
        <v>11.283669</v>
      </c>
    </row>
    <row r="223" spans="1:7" hidden="1" x14ac:dyDescent="0.25">
      <c r="A223" s="24" t="s">
        <v>487</v>
      </c>
      <c r="B223" s="24" t="s">
        <v>16</v>
      </c>
      <c r="C223" s="24" t="s">
        <v>281</v>
      </c>
      <c r="D223" s="25">
        <v>56709</v>
      </c>
      <c r="E223" s="25">
        <v>1166453</v>
      </c>
      <c r="F223" s="26">
        <v>118937.7</v>
      </c>
      <c r="G223" s="27">
        <v>10.196527</v>
      </c>
    </row>
    <row r="224" spans="1:7" hidden="1" x14ac:dyDescent="0.25">
      <c r="A224" s="24" t="s">
        <v>488</v>
      </c>
      <c r="B224" s="24" t="s">
        <v>16</v>
      </c>
      <c r="C224" s="24" t="s">
        <v>281</v>
      </c>
      <c r="D224" s="25">
        <v>154542</v>
      </c>
      <c r="E224" s="25">
        <v>2312195</v>
      </c>
      <c r="F224" s="26">
        <v>285934</v>
      </c>
      <c r="G224" s="27">
        <v>12.366345000000001</v>
      </c>
    </row>
    <row r="225" spans="1:7" hidden="1" x14ac:dyDescent="0.25">
      <c r="A225" s="24" t="s">
        <v>489</v>
      </c>
      <c r="B225" s="24" t="s">
        <v>16</v>
      </c>
      <c r="C225" s="24" t="s">
        <v>281</v>
      </c>
      <c r="D225" s="25">
        <v>6464</v>
      </c>
      <c r="E225" s="25">
        <v>179023</v>
      </c>
      <c r="F225" s="26">
        <v>21473.1</v>
      </c>
      <c r="G225" s="27">
        <v>11.994604000000001</v>
      </c>
    </row>
    <row r="226" spans="1:7" hidden="1" x14ac:dyDescent="0.25">
      <c r="A226" s="24" t="s">
        <v>490</v>
      </c>
      <c r="B226" s="24" t="s">
        <v>16</v>
      </c>
      <c r="C226" s="24" t="s">
        <v>281</v>
      </c>
      <c r="D226" s="25">
        <v>42653</v>
      </c>
      <c r="E226" s="25">
        <v>930987</v>
      </c>
      <c r="F226" s="26">
        <v>104721.5</v>
      </c>
      <c r="G226" s="27">
        <v>11.248438</v>
      </c>
    </row>
    <row r="227" spans="1:7" hidden="1" x14ac:dyDescent="0.25">
      <c r="A227" s="24" t="s">
        <v>401</v>
      </c>
      <c r="B227" s="24" t="s">
        <v>16</v>
      </c>
      <c r="C227" s="24" t="s">
        <v>392</v>
      </c>
      <c r="D227" s="25">
        <v>16</v>
      </c>
      <c r="E227" s="25">
        <v>1816</v>
      </c>
      <c r="F227" s="26">
        <v>170</v>
      </c>
      <c r="G227" s="27">
        <v>9.3612335000000009</v>
      </c>
    </row>
    <row r="228" spans="1:7" hidden="1" x14ac:dyDescent="0.25">
      <c r="A228" s="24" t="s">
        <v>491</v>
      </c>
      <c r="B228" s="24" t="s">
        <v>16</v>
      </c>
      <c r="C228" s="24" t="s">
        <v>281</v>
      </c>
      <c r="D228" s="25">
        <v>2269</v>
      </c>
      <c r="E228" s="25">
        <v>473537</v>
      </c>
      <c r="F228" s="26">
        <v>33164.1</v>
      </c>
      <c r="G228" s="27">
        <v>7.0034865000000002</v>
      </c>
    </row>
    <row r="229" spans="1:7" hidden="1" x14ac:dyDescent="0.25">
      <c r="A229" s="24" t="s">
        <v>492</v>
      </c>
      <c r="B229" s="24" t="s">
        <v>16</v>
      </c>
      <c r="C229" s="24" t="s">
        <v>281</v>
      </c>
      <c r="D229" s="25">
        <v>8147</v>
      </c>
      <c r="E229" s="25">
        <v>332686</v>
      </c>
      <c r="F229" s="26">
        <v>37887</v>
      </c>
      <c r="G229" s="27">
        <v>11.388216</v>
      </c>
    </row>
    <row r="230" spans="1:7" hidden="1" x14ac:dyDescent="0.25">
      <c r="A230" s="24" t="s">
        <v>493</v>
      </c>
      <c r="B230" s="24" t="s">
        <v>16</v>
      </c>
      <c r="C230" s="24" t="s">
        <v>281</v>
      </c>
      <c r="D230" s="25">
        <v>20469</v>
      </c>
      <c r="E230" s="25">
        <v>278947</v>
      </c>
      <c r="F230" s="26">
        <v>36243</v>
      </c>
      <c r="G230" s="27">
        <v>12.992791</v>
      </c>
    </row>
    <row r="231" spans="1:7" hidden="1" x14ac:dyDescent="0.25">
      <c r="A231" s="24" t="s">
        <v>494</v>
      </c>
      <c r="B231" s="24" t="s">
        <v>16</v>
      </c>
      <c r="C231" s="24" t="s">
        <v>281</v>
      </c>
      <c r="D231" s="25">
        <v>51497</v>
      </c>
      <c r="E231" s="25">
        <v>852451</v>
      </c>
      <c r="F231" s="26">
        <v>110783</v>
      </c>
      <c r="G231" s="27">
        <v>12.99582</v>
      </c>
    </row>
    <row r="232" spans="1:7" hidden="1" x14ac:dyDescent="0.25">
      <c r="A232" s="24" t="s">
        <v>495</v>
      </c>
      <c r="B232" s="24" t="s">
        <v>16</v>
      </c>
      <c r="C232" s="24" t="s">
        <v>281</v>
      </c>
      <c r="D232" s="25">
        <v>40598</v>
      </c>
      <c r="E232" s="25">
        <v>1255936</v>
      </c>
      <c r="F232" s="26">
        <v>123837.5</v>
      </c>
      <c r="G232" s="27">
        <v>9.8601759999999992</v>
      </c>
    </row>
    <row r="233" spans="1:7" hidden="1" x14ac:dyDescent="0.25">
      <c r="A233" s="24" t="s">
        <v>496</v>
      </c>
      <c r="B233" s="24" t="s">
        <v>16</v>
      </c>
      <c r="C233" s="24" t="s">
        <v>278</v>
      </c>
      <c r="D233" s="25">
        <v>1459117</v>
      </c>
      <c r="E233" s="25">
        <v>28628812</v>
      </c>
      <c r="F233" s="26">
        <v>2693212.8</v>
      </c>
      <c r="G233" s="27">
        <v>9.4073509000000008</v>
      </c>
    </row>
    <row r="234" spans="1:7" hidden="1" x14ac:dyDescent="0.25">
      <c r="A234" s="24" t="s">
        <v>497</v>
      </c>
      <c r="B234" s="24" t="s">
        <v>16</v>
      </c>
      <c r="C234" s="24" t="s">
        <v>281</v>
      </c>
      <c r="D234" s="25">
        <v>24048</v>
      </c>
      <c r="E234" s="25">
        <v>458127</v>
      </c>
      <c r="F234" s="26">
        <v>57237.5</v>
      </c>
      <c r="G234" s="27">
        <v>12.493805999999999</v>
      </c>
    </row>
    <row r="235" spans="1:7" hidden="1" x14ac:dyDescent="0.25">
      <c r="A235" s="24" t="s">
        <v>498</v>
      </c>
      <c r="B235" s="24" t="s">
        <v>16</v>
      </c>
      <c r="C235" s="24" t="s">
        <v>281</v>
      </c>
      <c r="D235" s="25">
        <v>12520</v>
      </c>
      <c r="E235" s="25">
        <v>204748</v>
      </c>
      <c r="F235" s="26">
        <v>33170</v>
      </c>
      <c r="G235" s="27">
        <v>16.200402</v>
      </c>
    </row>
    <row r="236" spans="1:7" hidden="1" x14ac:dyDescent="0.25">
      <c r="A236" s="24" t="s">
        <v>499</v>
      </c>
      <c r="B236" s="24" t="s">
        <v>16</v>
      </c>
      <c r="C236" s="24" t="s">
        <v>281</v>
      </c>
      <c r="D236" s="25">
        <v>13473</v>
      </c>
      <c r="E236" s="25">
        <v>189439</v>
      </c>
      <c r="F236" s="26">
        <v>27772.9</v>
      </c>
      <c r="G236" s="27">
        <v>14.660603</v>
      </c>
    </row>
    <row r="237" spans="1:7" hidden="1" x14ac:dyDescent="0.25">
      <c r="A237" s="24" t="s">
        <v>500</v>
      </c>
      <c r="B237" s="24" t="s">
        <v>16</v>
      </c>
      <c r="C237" s="24" t="s">
        <v>281</v>
      </c>
      <c r="D237" s="25">
        <v>12207</v>
      </c>
      <c r="E237" s="25">
        <v>112268</v>
      </c>
      <c r="F237" s="26">
        <v>18630</v>
      </c>
      <c r="G237" s="27">
        <v>16.594221000000001</v>
      </c>
    </row>
    <row r="238" spans="1:7" hidden="1" x14ac:dyDescent="0.25">
      <c r="A238" s="24" t="s">
        <v>408</v>
      </c>
      <c r="B238" s="24" t="s">
        <v>16</v>
      </c>
      <c r="C238" s="24" t="s">
        <v>392</v>
      </c>
      <c r="D238" s="25">
        <v>13148</v>
      </c>
      <c r="E238" s="25">
        <v>110468</v>
      </c>
      <c r="F238" s="26">
        <v>10792.2</v>
      </c>
      <c r="G238" s="27">
        <v>9.7695260000000008</v>
      </c>
    </row>
    <row r="239" spans="1:7" hidden="1" x14ac:dyDescent="0.25">
      <c r="A239" s="24" t="s">
        <v>501</v>
      </c>
      <c r="B239" s="24" t="s">
        <v>16</v>
      </c>
      <c r="C239" s="24" t="s">
        <v>281</v>
      </c>
      <c r="D239" s="25">
        <v>10331</v>
      </c>
      <c r="E239" s="25">
        <v>178385</v>
      </c>
      <c r="F239" s="26">
        <v>26563.7</v>
      </c>
      <c r="G239" s="27">
        <v>14.891218</v>
      </c>
    </row>
    <row r="240" spans="1:7" hidden="1" x14ac:dyDescent="0.25">
      <c r="A240" s="24" t="s">
        <v>502</v>
      </c>
      <c r="B240" s="24" t="s">
        <v>16</v>
      </c>
      <c r="C240" s="24" t="s">
        <v>281</v>
      </c>
      <c r="D240" s="25">
        <v>7</v>
      </c>
      <c r="E240" s="25">
        <v>63</v>
      </c>
      <c r="F240" s="26">
        <v>12.5</v>
      </c>
      <c r="G240" s="27">
        <v>19.841270000000002</v>
      </c>
    </row>
    <row r="241" spans="1:7" hidden="1" x14ac:dyDescent="0.25">
      <c r="A241" s="24" t="s">
        <v>409</v>
      </c>
      <c r="B241" s="24" t="s">
        <v>16</v>
      </c>
      <c r="C241" s="24" t="s">
        <v>392</v>
      </c>
      <c r="D241" s="25">
        <v>762</v>
      </c>
      <c r="E241" s="25">
        <v>7327</v>
      </c>
      <c r="F241" s="26">
        <v>681</v>
      </c>
      <c r="G241" s="27">
        <v>9.2943905999999998</v>
      </c>
    </row>
    <row r="242" spans="1:7" hidden="1" x14ac:dyDescent="0.25">
      <c r="A242" s="24" t="s">
        <v>411</v>
      </c>
      <c r="B242" s="24" t="s">
        <v>16</v>
      </c>
      <c r="C242" s="24" t="s">
        <v>392</v>
      </c>
      <c r="D242" s="25">
        <v>679</v>
      </c>
      <c r="E242" s="25">
        <v>6782</v>
      </c>
      <c r="F242" s="26">
        <v>415.3</v>
      </c>
      <c r="G242" s="27">
        <v>6.1235624</v>
      </c>
    </row>
    <row r="243" spans="1:7" hidden="1" x14ac:dyDescent="0.25">
      <c r="A243" s="24" t="s">
        <v>412</v>
      </c>
      <c r="B243" s="24" t="s">
        <v>16</v>
      </c>
      <c r="C243" s="24" t="s">
        <v>392</v>
      </c>
      <c r="D243" s="25">
        <v>639</v>
      </c>
      <c r="E243" s="25">
        <v>5048</v>
      </c>
      <c r="F243" s="26">
        <v>529.29999999999995</v>
      </c>
      <c r="G243" s="27">
        <v>10.485341</v>
      </c>
    </row>
    <row r="244" spans="1:7" hidden="1" x14ac:dyDescent="0.25">
      <c r="A244" s="24" t="s">
        <v>413</v>
      </c>
      <c r="B244" s="24" t="s">
        <v>16</v>
      </c>
      <c r="C244" s="24" t="s">
        <v>392</v>
      </c>
      <c r="D244" s="25">
        <v>515</v>
      </c>
      <c r="E244" s="25">
        <v>4995</v>
      </c>
      <c r="F244" s="26">
        <v>318</v>
      </c>
      <c r="G244" s="27">
        <v>6.3663664000000004</v>
      </c>
    </row>
    <row r="245" spans="1:7" hidden="1" x14ac:dyDescent="0.25">
      <c r="A245" s="24" t="s">
        <v>414</v>
      </c>
      <c r="B245" s="24" t="s">
        <v>16</v>
      </c>
      <c r="C245" s="24" t="s">
        <v>392</v>
      </c>
      <c r="D245" s="25">
        <v>10</v>
      </c>
      <c r="E245" s="25">
        <v>143</v>
      </c>
      <c r="F245" s="26">
        <v>13.8</v>
      </c>
      <c r="G245" s="27">
        <v>9.6503496999999996</v>
      </c>
    </row>
    <row r="246" spans="1:7" hidden="1" x14ac:dyDescent="0.25">
      <c r="A246" s="24" t="s">
        <v>415</v>
      </c>
      <c r="B246" s="24" t="s">
        <v>16</v>
      </c>
      <c r="C246" s="24" t="s">
        <v>392</v>
      </c>
      <c r="D246" s="25">
        <v>2379</v>
      </c>
      <c r="E246" s="25">
        <v>19394</v>
      </c>
      <c r="F246" s="26">
        <v>2400</v>
      </c>
      <c r="G246" s="27">
        <v>12.374961000000001</v>
      </c>
    </row>
    <row r="247" spans="1:7" hidden="1" x14ac:dyDescent="0.25">
      <c r="A247" s="24" t="s">
        <v>416</v>
      </c>
      <c r="B247" s="24" t="s">
        <v>16</v>
      </c>
      <c r="C247" s="24" t="s">
        <v>392</v>
      </c>
      <c r="D247" s="25">
        <v>14</v>
      </c>
      <c r="E247" s="25">
        <v>1115</v>
      </c>
      <c r="F247" s="26">
        <v>74.3</v>
      </c>
      <c r="G247" s="27">
        <v>6.6636771000000001</v>
      </c>
    </row>
    <row r="248" spans="1:7" hidden="1" x14ac:dyDescent="0.25">
      <c r="A248" s="24" t="s">
        <v>503</v>
      </c>
      <c r="B248" s="24" t="s">
        <v>16</v>
      </c>
      <c r="C248" s="24" t="s">
        <v>283</v>
      </c>
      <c r="D248" s="25">
        <v>10546</v>
      </c>
      <c r="E248" s="25">
        <v>124640</v>
      </c>
      <c r="F248" s="26">
        <v>14986</v>
      </c>
      <c r="G248" s="27">
        <v>12.023427</v>
      </c>
    </row>
    <row r="249" spans="1:7" hidden="1" x14ac:dyDescent="0.25">
      <c r="A249" s="24" t="s">
        <v>504</v>
      </c>
      <c r="B249" s="24" t="s">
        <v>16</v>
      </c>
      <c r="C249" s="24" t="s">
        <v>283</v>
      </c>
      <c r="D249" s="25">
        <v>2366</v>
      </c>
      <c r="E249" s="25">
        <v>28571</v>
      </c>
      <c r="F249" s="26">
        <v>3379</v>
      </c>
      <c r="G249" s="27">
        <v>11.826677</v>
      </c>
    </row>
    <row r="250" spans="1:7" hidden="1" x14ac:dyDescent="0.25">
      <c r="A250" s="24" t="s">
        <v>505</v>
      </c>
      <c r="B250" s="24" t="s">
        <v>16</v>
      </c>
      <c r="C250" s="24" t="s">
        <v>281</v>
      </c>
      <c r="D250" s="25">
        <v>33</v>
      </c>
      <c r="E250" s="25">
        <v>143</v>
      </c>
      <c r="F250" s="26">
        <v>28.4</v>
      </c>
      <c r="G250" s="27">
        <v>19.860140000000001</v>
      </c>
    </row>
    <row r="251" spans="1:7" hidden="1" x14ac:dyDescent="0.25">
      <c r="A251" s="24" t="s">
        <v>506</v>
      </c>
      <c r="B251" s="24" t="s">
        <v>16</v>
      </c>
      <c r="C251" s="24" t="s">
        <v>281</v>
      </c>
      <c r="D251" s="25">
        <v>83323</v>
      </c>
      <c r="E251" s="25">
        <v>2182274</v>
      </c>
      <c r="F251" s="26">
        <v>225677</v>
      </c>
      <c r="G251" s="27">
        <v>10.341369</v>
      </c>
    </row>
    <row r="252" spans="1:7" hidden="1" x14ac:dyDescent="0.25">
      <c r="A252" s="24" t="s">
        <v>422</v>
      </c>
      <c r="B252" s="24" t="s">
        <v>16</v>
      </c>
      <c r="C252" s="24" t="s">
        <v>351</v>
      </c>
      <c r="D252" s="25">
        <v>14</v>
      </c>
      <c r="E252" s="25">
        <v>94625</v>
      </c>
      <c r="F252" s="26">
        <v>2821.5</v>
      </c>
      <c r="G252" s="27">
        <v>2.9817700999999999</v>
      </c>
    </row>
    <row r="253" spans="1:7" hidden="1" x14ac:dyDescent="0.25">
      <c r="A253" s="24" t="s">
        <v>507</v>
      </c>
      <c r="B253" s="24" t="s">
        <v>16</v>
      </c>
      <c r="C253" s="24" t="s">
        <v>281</v>
      </c>
      <c r="D253" s="25">
        <v>65</v>
      </c>
      <c r="E253" s="25">
        <v>1981</v>
      </c>
      <c r="F253" s="26">
        <v>221</v>
      </c>
      <c r="G253" s="27">
        <v>11.155982</v>
      </c>
    </row>
    <row r="254" spans="1:7" hidden="1" x14ac:dyDescent="0.25">
      <c r="A254" s="24" t="s">
        <v>508</v>
      </c>
      <c r="B254" s="24" t="s">
        <v>16</v>
      </c>
      <c r="C254" s="24" t="s">
        <v>281</v>
      </c>
      <c r="D254" s="25">
        <v>3341</v>
      </c>
      <c r="E254" s="25">
        <v>780808</v>
      </c>
      <c r="F254" s="26">
        <v>64660.5</v>
      </c>
      <c r="G254" s="27">
        <v>8.2812292000000003</v>
      </c>
    </row>
    <row r="255" spans="1:7" hidden="1" x14ac:dyDescent="0.25">
      <c r="A255" s="24" t="s">
        <v>509</v>
      </c>
      <c r="B255" s="24" t="s">
        <v>16</v>
      </c>
      <c r="C255" s="24" t="s">
        <v>281</v>
      </c>
      <c r="D255" s="25">
        <v>8758</v>
      </c>
      <c r="E255" s="25">
        <v>328190</v>
      </c>
      <c r="F255" s="26">
        <v>40911</v>
      </c>
      <c r="G255" s="27">
        <v>12.465645</v>
      </c>
    </row>
    <row r="256" spans="1:7" hidden="1" x14ac:dyDescent="0.25">
      <c r="A256" s="24" t="s">
        <v>510</v>
      </c>
      <c r="B256" s="24" t="s">
        <v>16</v>
      </c>
      <c r="C256" s="24" t="s">
        <v>281</v>
      </c>
      <c r="D256" s="25">
        <v>26149</v>
      </c>
      <c r="E256" s="25">
        <v>553643</v>
      </c>
      <c r="F256" s="26">
        <v>54597.9</v>
      </c>
      <c r="G256" s="27">
        <v>9.8615714000000008</v>
      </c>
    </row>
    <row r="257" spans="1:7" hidden="1" x14ac:dyDescent="0.25">
      <c r="A257" s="24" t="s">
        <v>511</v>
      </c>
      <c r="B257" s="24" t="s">
        <v>19</v>
      </c>
      <c r="C257" s="24" t="s">
        <v>283</v>
      </c>
      <c r="D257" s="25">
        <v>2801</v>
      </c>
      <c r="E257" s="25">
        <v>209538</v>
      </c>
      <c r="F257" s="26">
        <v>16089</v>
      </c>
      <c r="G257" s="27">
        <v>7.6783209000000001</v>
      </c>
    </row>
    <row r="258" spans="1:7" hidden="1" x14ac:dyDescent="0.25">
      <c r="A258" s="24" t="s">
        <v>512</v>
      </c>
      <c r="B258" s="24" t="s">
        <v>19</v>
      </c>
      <c r="C258" s="24" t="s">
        <v>283</v>
      </c>
      <c r="D258" s="25">
        <v>2175</v>
      </c>
      <c r="E258" s="25">
        <v>21945</v>
      </c>
      <c r="F258" s="26">
        <v>3648.9</v>
      </c>
      <c r="G258" s="27">
        <v>16.627478</v>
      </c>
    </row>
    <row r="259" spans="1:7" hidden="1" x14ac:dyDescent="0.25">
      <c r="A259" s="24" t="s">
        <v>513</v>
      </c>
      <c r="B259" s="24" t="s">
        <v>19</v>
      </c>
      <c r="C259" s="24" t="s">
        <v>283</v>
      </c>
      <c r="D259" s="25">
        <v>20175</v>
      </c>
      <c r="E259" s="25">
        <v>306459</v>
      </c>
      <c r="F259" s="26">
        <v>52921.7</v>
      </c>
      <c r="G259" s="27">
        <v>17.26877</v>
      </c>
    </row>
    <row r="260" spans="1:7" hidden="1" x14ac:dyDescent="0.25">
      <c r="A260" s="24" t="s">
        <v>514</v>
      </c>
      <c r="B260" s="24" t="s">
        <v>19</v>
      </c>
      <c r="C260" s="24" t="s">
        <v>283</v>
      </c>
      <c r="D260" s="25">
        <v>6725</v>
      </c>
      <c r="E260" s="25">
        <v>85836</v>
      </c>
      <c r="F260" s="26">
        <v>14025.8</v>
      </c>
      <c r="G260" s="27">
        <v>16.340229999999998</v>
      </c>
    </row>
    <row r="261" spans="1:7" hidden="1" x14ac:dyDescent="0.25">
      <c r="A261" s="24" t="s">
        <v>515</v>
      </c>
      <c r="B261" s="24" t="s">
        <v>19</v>
      </c>
      <c r="C261" s="24" t="s">
        <v>278</v>
      </c>
      <c r="D261" s="25">
        <v>889945</v>
      </c>
      <c r="E261" s="25">
        <v>8715266</v>
      </c>
      <c r="F261" s="26">
        <v>1628232</v>
      </c>
      <c r="G261" s="27">
        <v>18.682528000000001</v>
      </c>
    </row>
    <row r="262" spans="1:7" hidden="1" x14ac:dyDescent="0.25">
      <c r="A262" s="24" t="s">
        <v>391</v>
      </c>
      <c r="B262" s="24" t="s">
        <v>19</v>
      </c>
      <c r="C262" s="24" t="s">
        <v>392</v>
      </c>
      <c r="D262" s="25">
        <v>2</v>
      </c>
      <c r="E262" s="25">
        <v>729</v>
      </c>
      <c r="F262" s="26">
        <v>87.4</v>
      </c>
      <c r="G262" s="27">
        <v>11.989026000000001</v>
      </c>
    </row>
    <row r="263" spans="1:7" hidden="1" x14ac:dyDescent="0.25">
      <c r="A263" s="24" t="s">
        <v>400</v>
      </c>
      <c r="B263" s="24" t="s">
        <v>19</v>
      </c>
      <c r="C263" s="24" t="s">
        <v>392</v>
      </c>
      <c r="D263" s="25">
        <v>599</v>
      </c>
      <c r="E263" s="25">
        <v>4948</v>
      </c>
      <c r="F263" s="26">
        <v>443</v>
      </c>
      <c r="G263" s="27">
        <v>8.9531124000000002</v>
      </c>
    </row>
    <row r="264" spans="1:7" hidden="1" x14ac:dyDescent="0.25">
      <c r="A264" s="24" t="s">
        <v>516</v>
      </c>
      <c r="B264" s="24" t="s">
        <v>19</v>
      </c>
      <c r="C264" s="24" t="s">
        <v>283</v>
      </c>
      <c r="D264" s="25">
        <v>13628</v>
      </c>
      <c r="E264" s="25">
        <v>440320</v>
      </c>
      <c r="F264" s="26">
        <v>53300.6</v>
      </c>
      <c r="G264" s="27">
        <v>12.104969000000001</v>
      </c>
    </row>
    <row r="265" spans="1:7" hidden="1" x14ac:dyDescent="0.25">
      <c r="A265" s="24" t="s">
        <v>401</v>
      </c>
      <c r="B265" s="24" t="s">
        <v>19</v>
      </c>
      <c r="C265" s="24" t="s">
        <v>392</v>
      </c>
      <c r="D265" s="25">
        <v>7</v>
      </c>
      <c r="E265" s="25">
        <v>390</v>
      </c>
      <c r="F265" s="26">
        <v>46.1</v>
      </c>
      <c r="G265" s="27">
        <v>11.820513</v>
      </c>
    </row>
    <row r="266" spans="1:7" hidden="1" x14ac:dyDescent="0.25">
      <c r="A266" s="24" t="s">
        <v>517</v>
      </c>
      <c r="B266" s="24" t="s">
        <v>19</v>
      </c>
      <c r="C266" s="24" t="s">
        <v>385</v>
      </c>
      <c r="D266" s="25">
        <v>80</v>
      </c>
      <c r="E266" s="25">
        <v>130839</v>
      </c>
      <c r="F266" s="26">
        <v>11579</v>
      </c>
      <c r="G266" s="27">
        <v>8.8498078000000007</v>
      </c>
    </row>
    <row r="267" spans="1:7" hidden="1" x14ac:dyDescent="0.25">
      <c r="A267" s="24" t="s">
        <v>518</v>
      </c>
      <c r="B267" s="24" t="s">
        <v>19</v>
      </c>
      <c r="C267" s="24" t="s">
        <v>283</v>
      </c>
      <c r="D267" s="25">
        <v>3845</v>
      </c>
      <c r="E267" s="25">
        <v>58876</v>
      </c>
      <c r="F267" s="26">
        <v>10266</v>
      </c>
      <c r="G267" s="27">
        <v>17.436647000000001</v>
      </c>
    </row>
    <row r="268" spans="1:7" hidden="1" x14ac:dyDescent="0.25">
      <c r="A268" s="24" t="s">
        <v>408</v>
      </c>
      <c r="B268" s="24" t="s">
        <v>19</v>
      </c>
      <c r="C268" s="24" t="s">
        <v>392</v>
      </c>
      <c r="D268" s="25">
        <v>8662</v>
      </c>
      <c r="E268" s="25">
        <v>67880</v>
      </c>
      <c r="F268" s="26">
        <v>8958.4</v>
      </c>
      <c r="G268" s="27">
        <v>13.197407</v>
      </c>
    </row>
    <row r="269" spans="1:7" hidden="1" x14ac:dyDescent="0.25">
      <c r="A269" s="24" t="s">
        <v>409</v>
      </c>
      <c r="B269" s="24" t="s">
        <v>19</v>
      </c>
      <c r="C269" s="24" t="s">
        <v>392</v>
      </c>
      <c r="D269" s="25">
        <v>164</v>
      </c>
      <c r="E269" s="25">
        <v>1532</v>
      </c>
      <c r="F269" s="26">
        <v>212</v>
      </c>
      <c r="G269" s="27">
        <v>13.83812</v>
      </c>
    </row>
    <row r="270" spans="1:7" hidden="1" x14ac:dyDescent="0.25">
      <c r="A270" s="24" t="s">
        <v>411</v>
      </c>
      <c r="B270" s="24" t="s">
        <v>19</v>
      </c>
      <c r="C270" s="24" t="s">
        <v>392</v>
      </c>
      <c r="D270" s="25">
        <v>36</v>
      </c>
      <c r="E270" s="25">
        <v>1519</v>
      </c>
      <c r="F270" s="26">
        <v>212.5</v>
      </c>
      <c r="G270" s="27">
        <v>13.989466999999999</v>
      </c>
    </row>
    <row r="271" spans="1:7" hidden="1" x14ac:dyDescent="0.25">
      <c r="A271" s="24" t="s">
        <v>413</v>
      </c>
      <c r="B271" s="24" t="s">
        <v>19</v>
      </c>
      <c r="C271" s="24" t="s">
        <v>392</v>
      </c>
      <c r="D271" s="25">
        <v>246</v>
      </c>
      <c r="E271" s="25">
        <v>1739</v>
      </c>
      <c r="F271" s="26">
        <v>207.1</v>
      </c>
      <c r="G271" s="27">
        <v>11.909143</v>
      </c>
    </row>
    <row r="272" spans="1:7" hidden="1" x14ac:dyDescent="0.25">
      <c r="A272" s="24" t="s">
        <v>414</v>
      </c>
      <c r="B272" s="24" t="s">
        <v>19</v>
      </c>
      <c r="C272" s="24" t="s">
        <v>392</v>
      </c>
      <c r="D272" s="25">
        <v>854</v>
      </c>
      <c r="E272" s="25">
        <v>7027</v>
      </c>
      <c r="F272" s="26">
        <v>1118.3</v>
      </c>
      <c r="G272" s="27">
        <v>15.91433</v>
      </c>
    </row>
    <row r="273" spans="1:7" hidden="1" x14ac:dyDescent="0.25">
      <c r="A273" s="24" t="s">
        <v>415</v>
      </c>
      <c r="B273" s="24" t="s">
        <v>19</v>
      </c>
      <c r="C273" s="24" t="s">
        <v>392</v>
      </c>
      <c r="D273" s="25">
        <v>3084</v>
      </c>
      <c r="E273" s="25">
        <v>21340</v>
      </c>
      <c r="F273" s="26">
        <v>4317</v>
      </c>
      <c r="G273" s="27">
        <v>20.229616</v>
      </c>
    </row>
    <row r="274" spans="1:7" hidden="1" x14ac:dyDescent="0.25">
      <c r="A274" s="24" t="s">
        <v>416</v>
      </c>
      <c r="B274" s="24" t="s">
        <v>19</v>
      </c>
      <c r="C274" s="24" t="s">
        <v>392</v>
      </c>
      <c r="D274" s="25">
        <v>7</v>
      </c>
      <c r="E274" s="25">
        <v>514</v>
      </c>
      <c r="F274" s="26">
        <v>66</v>
      </c>
      <c r="G274" s="27">
        <v>12.840467</v>
      </c>
    </row>
    <row r="275" spans="1:7" hidden="1" x14ac:dyDescent="0.25">
      <c r="A275" s="24" t="s">
        <v>519</v>
      </c>
      <c r="B275" s="24" t="s">
        <v>19</v>
      </c>
      <c r="C275" s="24" t="s">
        <v>283</v>
      </c>
      <c r="D275" s="25">
        <v>24923</v>
      </c>
      <c r="E275" s="25">
        <v>581702</v>
      </c>
      <c r="F275" s="26">
        <v>69312.800000000003</v>
      </c>
      <c r="G275" s="27">
        <v>11.915516999999999</v>
      </c>
    </row>
    <row r="276" spans="1:7" hidden="1" x14ac:dyDescent="0.25">
      <c r="A276" s="24" t="s">
        <v>520</v>
      </c>
      <c r="B276" s="24" t="s">
        <v>19</v>
      </c>
      <c r="C276" s="24" t="s">
        <v>278</v>
      </c>
      <c r="D276" s="25">
        <v>208104</v>
      </c>
      <c r="E276" s="25">
        <v>1735379</v>
      </c>
      <c r="F276" s="26">
        <v>378017</v>
      </c>
      <c r="G276" s="27">
        <v>21.782965000000001</v>
      </c>
    </row>
    <row r="277" spans="1:7" hidden="1" x14ac:dyDescent="0.25">
      <c r="A277" s="24" t="s">
        <v>421</v>
      </c>
      <c r="B277" s="24" t="s">
        <v>19</v>
      </c>
      <c r="C277" s="24" t="s">
        <v>392</v>
      </c>
      <c r="D277" s="25">
        <v>1484</v>
      </c>
      <c r="E277" s="25">
        <v>8863</v>
      </c>
      <c r="F277" s="26">
        <v>1213.8</v>
      </c>
      <c r="G277" s="27">
        <v>13.695137000000001</v>
      </c>
    </row>
    <row r="278" spans="1:7" hidden="1" x14ac:dyDescent="0.25">
      <c r="A278" s="24" t="s">
        <v>391</v>
      </c>
      <c r="B278" s="24" t="s">
        <v>184</v>
      </c>
      <c r="C278" s="24" t="s">
        <v>392</v>
      </c>
      <c r="D278" s="25">
        <v>1</v>
      </c>
      <c r="E278" s="25">
        <v>552</v>
      </c>
      <c r="F278" s="26">
        <v>49.1</v>
      </c>
      <c r="G278" s="27">
        <v>8.8949274999999997</v>
      </c>
    </row>
    <row r="279" spans="1:7" hidden="1" x14ac:dyDescent="0.25">
      <c r="A279" s="24" t="s">
        <v>521</v>
      </c>
      <c r="B279" s="24" t="s">
        <v>184</v>
      </c>
      <c r="C279" s="24" t="s">
        <v>278</v>
      </c>
      <c r="D279" s="25">
        <v>244068</v>
      </c>
      <c r="E279" s="25">
        <v>2893957</v>
      </c>
      <c r="F279" s="26">
        <v>351595.5</v>
      </c>
      <c r="G279" s="27">
        <v>12.149298999999999</v>
      </c>
    </row>
    <row r="280" spans="1:7" hidden="1" x14ac:dyDescent="0.25">
      <c r="A280" s="24" t="s">
        <v>408</v>
      </c>
      <c r="B280" s="24" t="s">
        <v>184</v>
      </c>
      <c r="C280" s="24" t="s">
        <v>392</v>
      </c>
      <c r="D280" s="25">
        <v>477</v>
      </c>
      <c r="E280" s="25">
        <v>2216</v>
      </c>
      <c r="F280" s="26">
        <v>235</v>
      </c>
      <c r="G280" s="27">
        <v>10.604692999999999</v>
      </c>
    </row>
    <row r="281" spans="1:7" hidden="1" x14ac:dyDescent="0.25">
      <c r="A281" s="24" t="s">
        <v>415</v>
      </c>
      <c r="B281" s="24" t="s">
        <v>184</v>
      </c>
      <c r="C281" s="24" t="s">
        <v>392</v>
      </c>
      <c r="D281" s="25">
        <v>13</v>
      </c>
      <c r="E281" s="25">
        <v>69</v>
      </c>
      <c r="F281" s="26">
        <v>5.6</v>
      </c>
      <c r="G281" s="27">
        <v>8.1159420000000004</v>
      </c>
    </row>
    <row r="282" spans="1:7" hidden="1" x14ac:dyDescent="0.25">
      <c r="A282" s="24" t="s">
        <v>522</v>
      </c>
      <c r="B282" s="24" t="s">
        <v>22</v>
      </c>
      <c r="C282" s="24" t="s">
        <v>283</v>
      </c>
      <c r="D282" s="25">
        <v>24002</v>
      </c>
      <c r="E282" s="25">
        <v>728955</v>
      </c>
      <c r="F282" s="26">
        <v>76979</v>
      </c>
      <c r="G282" s="27">
        <v>10.560185000000001</v>
      </c>
    </row>
    <row r="283" spans="1:7" hidden="1" x14ac:dyDescent="0.25">
      <c r="A283" s="24" t="s">
        <v>523</v>
      </c>
      <c r="B283" s="24" t="s">
        <v>22</v>
      </c>
      <c r="C283" s="24" t="s">
        <v>283</v>
      </c>
      <c r="D283" s="25">
        <v>7029</v>
      </c>
      <c r="E283" s="25">
        <v>211035</v>
      </c>
      <c r="F283" s="26">
        <v>24967.9</v>
      </c>
      <c r="G283" s="27">
        <v>11.831165</v>
      </c>
    </row>
    <row r="284" spans="1:7" hidden="1" x14ac:dyDescent="0.25">
      <c r="A284" s="24" t="s">
        <v>524</v>
      </c>
      <c r="B284" s="24" t="s">
        <v>22</v>
      </c>
      <c r="C284" s="24" t="s">
        <v>283</v>
      </c>
      <c r="D284" s="25">
        <v>12823</v>
      </c>
      <c r="E284" s="25">
        <v>413594</v>
      </c>
      <c r="F284" s="26">
        <v>52181</v>
      </c>
      <c r="G284" s="27">
        <v>12.616479</v>
      </c>
    </row>
    <row r="285" spans="1:7" hidden="1" x14ac:dyDescent="0.25">
      <c r="A285" s="24" t="s">
        <v>525</v>
      </c>
      <c r="B285" s="24" t="s">
        <v>22</v>
      </c>
      <c r="C285" s="24" t="s">
        <v>283</v>
      </c>
      <c r="D285" s="25">
        <v>3886</v>
      </c>
      <c r="E285" s="25">
        <v>104962</v>
      </c>
      <c r="F285" s="26">
        <v>14099.3</v>
      </c>
      <c r="G285" s="27">
        <v>13.432766000000001</v>
      </c>
    </row>
    <row r="286" spans="1:7" hidden="1" x14ac:dyDescent="0.25">
      <c r="A286" s="24" t="s">
        <v>526</v>
      </c>
      <c r="B286" s="24" t="s">
        <v>22</v>
      </c>
      <c r="C286" s="24" t="s">
        <v>281</v>
      </c>
      <c r="D286" s="25">
        <v>95602</v>
      </c>
      <c r="E286" s="25">
        <v>1340159</v>
      </c>
      <c r="F286" s="26">
        <v>154266</v>
      </c>
      <c r="G286" s="27">
        <v>11.511022000000001</v>
      </c>
    </row>
    <row r="287" spans="1:7" hidden="1" x14ac:dyDescent="0.25">
      <c r="A287" s="24" t="s">
        <v>527</v>
      </c>
      <c r="B287" s="24" t="s">
        <v>22</v>
      </c>
      <c r="C287" s="24" t="s">
        <v>278</v>
      </c>
      <c r="D287" s="25">
        <v>274453</v>
      </c>
      <c r="E287" s="25">
        <v>3543824</v>
      </c>
      <c r="F287" s="26">
        <v>468760.1</v>
      </c>
      <c r="G287" s="27">
        <v>13.227522</v>
      </c>
    </row>
    <row r="288" spans="1:7" hidden="1" x14ac:dyDescent="0.25">
      <c r="A288" s="24" t="s">
        <v>528</v>
      </c>
      <c r="B288" s="24" t="s">
        <v>22</v>
      </c>
      <c r="C288" s="24" t="s">
        <v>283</v>
      </c>
      <c r="D288" s="25">
        <v>2735</v>
      </c>
      <c r="E288" s="25">
        <v>76860</v>
      </c>
      <c r="F288" s="26">
        <v>9346</v>
      </c>
      <c r="G288" s="27">
        <v>12.159770999999999</v>
      </c>
    </row>
    <row r="289" spans="1:7" hidden="1" x14ac:dyDescent="0.25">
      <c r="A289" s="24" t="s">
        <v>408</v>
      </c>
      <c r="B289" s="24" t="s">
        <v>22</v>
      </c>
      <c r="C289" s="24" t="s">
        <v>392</v>
      </c>
      <c r="D289" s="25">
        <v>2707</v>
      </c>
      <c r="E289" s="25">
        <v>27205</v>
      </c>
      <c r="F289" s="26">
        <v>3445.3</v>
      </c>
      <c r="G289" s="27">
        <v>12.664216</v>
      </c>
    </row>
    <row r="290" spans="1:7" hidden="1" x14ac:dyDescent="0.25">
      <c r="A290" s="24" t="s">
        <v>414</v>
      </c>
      <c r="B290" s="24" t="s">
        <v>22</v>
      </c>
      <c r="C290" s="24" t="s">
        <v>392</v>
      </c>
      <c r="D290" s="25">
        <v>2</v>
      </c>
      <c r="E290" s="25">
        <v>3</v>
      </c>
      <c r="F290" s="26">
        <v>0.4</v>
      </c>
      <c r="G290" s="27">
        <v>13.333333</v>
      </c>
    </row>
    <row r="291" spans="1:7" hidden="1" x14ac:dyDescent="0.25">
      <c r="A291" s="24" t="s">
        <v>415</v>
      </c>
      <c r="B291" s="24" t="s">
        <v>22</v>
      </c>
      <c r="C291" s="24" t="s">
        <v>392</v>
      </c>
      <c r="D291" s="25">
        <v>415</v>
      </c>
      <c r="E291" s="25">
        <v>3942</v>
      </c>
      <c r="F291" s="26">
        <v>408.9</v>
      </c>
      <c r="G291" s="27">
        <v>10.372907</v>
      </c>
    </row>
    <row r="292" spans="1:7" hidden="1" x14ac:dyDescent="0.25">
      <c r="A292" s="24" t="s">
        <v>529</v>
      </c>
      <c r="B292" s="24" t="s">
        <v>22</v>
      </c>
      <c r="C292" s="24" t="s">
        <v>283</v>
      </c>
      <c r="D292" s="25">
        <v>1390</v>
      </c>
      <c r="E292" s="25">
        <v>18634</v>
      </c>
      <c r="F292" s="26">
        <v>2770.7</v>
      </c>
      <c r="G292" s="27">
        <v>14.869057</v>
      </c>
    </row>
    <row r="293" spans="1:7" hidden="1" x14ac:dyDescent="0.25">
      <c r="A293" s="24" t="s">
        <v>530</v>
      </c>
      <c r="B293" s="24" t="s">
        <v>22</v>
      </c>
      <c r="C293" s="24" t="s">
        <v>283</v>
      </c>
      <c r="D293" s="25">
        <v>8391</v>
      </c>
      <c r="E293" s="25">
        <v>219786</v>
      </c>
      <c r="F293" s="26">
        <v>25012</v>
      </c>
      <c r="G293" s="27">
        <v>11.380160999999999</v>
      </c>
    </row>
    <row r="294" spans="1:7" hidden="1" x14ac:dyDescent="0.25">
      <c r="A294" s="24" t="s">
        <v>531</v>
      </c>
      <c r="B294" s="24" t="s">
        <v>22</v>
      </c>
      <c r="C294" s="24" t="s">
        <v>283</v>
      </c>
      <c r="D294" s="25">
        <v>5620</v>
      </c>
      <c r="E294" s="25">
        <v>106952</v>
      </c>
      <c r="F294" s="26">
        <v>13615.2</v>
      </c>
      <c r="G294" s="27">
        <v>12.730197</v>
      </c>
    </row>
    <row r="295" spans="1:7" hidden="1" x14ac:dyDescent="0.25">
      <c r="A295" s="24" t="s">
        <v>532</v>
      </c>
      <c r="B295" s="24" t="s">
        <v>24</v>
      </c>
      <c r="C295" s="24" t="s">
        <v>283</v>
      </c>
      <c r="D295" s="25">
        <v>34795</v>
      </c>
      <c r="E295" s="25">
        <v>703946</v>
      </c>
      <c r="F295" s="26">
        <v>82938</v>
      </c>
      <c r="G295" s="27">
        <v>11.78187</v>
      </c>
    </row>
    <row r="296" spans="1:7" hidden="1" x14ac:dyDescent="0.25">
      <c r="A296" s="24" t="s">
        <v>533</v>
      </c>
      <c r="B296" s="24" t="s">
        <v>24</v>
      </c>
      <c r="C296" s="24" t="s">
        <v>281</v>
      </c>
      <c r="D296" s="25">
        <v>33538</v>
      </c>
      <c r="E296" s="25">
        <v>482551</v>
      </c>
      <c r="F296" s="26">
        <v>61440.6</v>
      </c>
      <c r="G296" s="27">
        <v>12.732457</v>
      </c>
    </row>
    <row r="297" spans="1:7" hidden="1" x14ac:dyDescent="0.25">
      <c r="A297" s="24" t="s">
        <v>534</v>
      </c>
      <c r="B297" s="24" t="s">
        <v>24</v>
      </c>
      <c r="C297" s="24" t="s">
        <v>281</v>
      </c>
      <c r="D297" s="25">
        <v>50180</v>
      </c>
      <c r="E297" s="25">
        <v>830572</v>
      </c>
      <c r="F297" s="26">
        <v>91950.399999999994</v>
      </c>
      <c r="G297" s="27">
        <v>11.070732</v>
      </c>
    </row>
    <row r="298" spans="1:7" hidden="1" x14ac:dyDescent="0.25">
      <c r="A298" s="24" t="s">
        <v>535</v>
      </c>
      <c r="B298" s="24" t="s">
        <v>24</v>
      </c>
      <c r="C298" s="24" t="s">
        <v>283</v>
      </c>
      <c r="D298" s="25">
        <v>4506</v>
      </c>
      <c r="E298" s="25">
        <v>127049</v>
      </c>
      <c r="F298" s="26">
        <v>13844</v>
      </c>
      <c r="G298" s="27">
        <v>10.896583</v>
      </c>
    </row>
    <row r="299" spans="1:7" hidden="1" x14ac:dyDescent="0.25">
      <c r="A299" s="24" t="s">
        <v>536</v>
      </c>
      <c r="B299" s="24" t="s">
        <v>24</v>
      </c>
      <c r="C299" s="24" t="s">
        <v>283</v>
      </c>
      <c r="D299" s="25">
        <v>12266</v>
      </c>
      <c r="E299" s="25">
        <v>268964</v>
      </c>
      <c r="F299" s="26">
        <v>34283</v>
      </c>
      <c r="G299" s="27">
        <v>12.746314999999999</v>
      </c>
    </row>
    <row r="300" spans="1:7" hidden="1" x14ac:dyDescent="0.25">
      <c r="A300" s="24" t="s">
        <v>537</v>
      </c>
      <c r="B300" s="24" t="s">
        <v>24</v>
      </c>
      <c r="C300" s="24" t="s">
        <v>283</v>
      </c>
      <c r="D300" s="25">
        <v>4100</v>
      </c>
      <c r="E300" s="25">
        <v>99699</v>
      </c>
      <c r="F300" s="26">
        <v>11394.7</v>
      </c>
      <c r="G300" s="27">
        <v>11.429102</v>
      </c>
    </row>
    <row r="301" spans="1:7" hidden="1" x14ac:dyDescent="0.25">
      <c r="A301" s="24" t="s">
        <v>538</v>
      </c>
      <c r="B301" s="24" t="s">
        <v>24</v>
      </c>
      <c r="C301" s="24" t="s">
        <v>283</v>
      </c>
      <c r="D301" s="25">
        <v>4192</v>
      </c>
      <c r="E301" s="25">
        <v>103808</v>
      </c>
      <c r="F301" s="26">
        <v>11882</v>
      </c>
      <c r="G301" s="27">
        <v>11.446130999999999</v>
      </c>
    </row>
    <row r="302" spans="1:7" hidden="1" x14ac:dyDescent="0.25">
      <c r="A302" s="24" t="s">
        <v>539</v>
      </c>
      <c r="B302" s="24" t="s">
        <v>24</v>
      </c>
      <c r="C302" s="24" t="s">
        <v>283</v>
      </c>
      <c r="D302" s="25">
        <v>24402</v>
      </c>
      <c r="E302" s="25">
        <v>546637</v>
      </c>
      <c r="F302" s="26">
        <v>60846.9</v>
      </c>
      <c r="G302" s="27">
        <v>11.131135</v>
      </c>
    </row>
    <row r="303" spans="1:7" hidden="1" x14ac:dyDescent="0.25">
      <c r="A303" s="24" t="s">
        <v>540</v>
      </c>
      <c r="B303" s="24" t="s">
        <v>24</v>
      </c>
      <c r="C303" s="24" t="s">
        <v>283</v>
      </c>
      <c r="D303" s="25">
        <v>29859</v>
      </c>
      <c r="E303" s="25">
        <v>714631</v>
      </c>
      <c r="F303" s="26">
        <v>88401</v>
      </c>
      <c r="G303" s="27">
        <v>12.37016</v>
      </c>
    </row>
    <row r="304" spans="1:7" hidden="1" x14ac:dyDescent="0.25">
      <c r="A304" s="24" t="s">
        <v>541</v>
      </c>
      <c r="B304" s="24" t="s">
        <v>24</v>
      </c>
      <c r="C304" s="24" t="s">
        <v>283</v>
      </c>
      <c r="D304" s="25">
        <v>27105</v>
      </c>
      <c r="E304" s="25">
        <v>439747</v>
      </c>
      <c r="F304" s="26">
        <v>41619</v>
      </c>
      <c r="G304" s="27">
        <v>9.4643055999999994</v>
      </c>
    </row>
    <row r="305" spans="1:7" hidden="1" x14ac:dyDescent="0.25">
      <c r="A305" s="24" t="s">
        <v>542</v>
      </c>
      <c r="B305" s="24" t="s">
        <v>24</v>
      </c>
      <c r="C305" s="24" t="s">
        <v>283</v>
      </c>
      <c r="D305" s="25">
        <v>129112</v>
      </c>
      <c r="E305" s="25">
        <v>3017651</v>
      </c>
      <c r="F305" s="26">
        <v>284333.2</v>
      </c>
      <c r="G305" s="27">
        <v>9.4223355000000009</v>
      </c>
    </row>
    <row r="306" spans="1:7" hidden="1" x14ac:dyDescent="0.25">
      <c r="A306" s="24" t="s">
        <v>543</v>
      </c>
      <c r="B306" s="24" t="s">
        <v>24</v>
      </c>
      <c r="C306" s="24" t="s">
        <v>283</v>
      </c>
      <c r="D306" s="25">
        <v>25821</v>
      </c>
      <c r="E306" s="25">
        <v>474093</v>
      </c>
      <c r="F306" s="26">
        <v>55220.800000000003</v>
      </c>
      <c r="G306" s="27">
        <v>11.647672999999999</v>
      </c>
    </row>
    <row r="307" spans="1:7" hidden="1" x14ac:dyDescent="0.25">
      <c r="A307" s="24" t="s">
        <v>544</v>
      </c>
      <c r="B307" s="24" t="s">
        <v>24</v>
      </c>
      <c r="C307" s="24" t="s">
        <v>283</v>
      </c>
      <c r="D307" s="25">
        <v>52953</v>
      </c>
      <c r="E307" s="25">
        <v>1261772</v>
      </c>
      <c r="F307" s="26">
        <v>109361.8</v>
      </c>
      <c r="G307" s="27">
        <v>8.6673186999999992</v>
      </c>
    </row>
    <row r="308" spans="1:7" hidden="1" x14ac:dyDescent="0.25">
      <c r="A308" s="24" t="s">
        <v>545</v>
      </c>
      <c r="B308" s="24" t="s">
        <v>24</v>
      </c>
      <c r="C308" s="24" t="s">
        <v>283</v>
      </c>
      <c r="D308" s="25">
        <v>2801</v>
      </c>
      <c r="E308" s="25">
        <v>66628</v>
      </c>
      <c r="F308" s="26">
        <v>8279</v>
      </c>
      <c r="G308" s="27">
        <v>12.425706999999999</v>
      </c>
    </row>
    <row r="309" spans="1:7" hidden="1" x14ac:dyDescent="0.25">
      <c r="A309" s="24" t="s">
        <v>546</v>
      </c>
      <c r="B309" s="24" t="s">
        <v>24</v>
      </c>
      <c r="C309" s="24" t="s">
        <v>283</v>
      </c>
      <c r="D309" s="25">
        <v>115556</v>
      </c>
      <c r="E309" s="25">
        <v>2617331</v>
      </c>
      <c r="F309" s="26">
        <v>249488.6</v>
      </c>
      <c r="G309" s="27">
        <v>9.5321760999999992</v>
      </c>
    </row>
    <row r="310" spans="1:7" hidden="1" x14ac:dyDescent="0.25">
      <c r="A310" s="24" t="s">
        <v>547</v>
      </c>
      <c r="B310" s="24" t="s">
        <v>24</v>
      </c>
      <c r="C310" s="24" t="s">
        <v>283</v>
      </c>
      <c r="D310" s="25">
        <v>35560</v>
      </c>
      <c r="E310" s="25">
        <v>728176</v>
      </c>
      <c r="F310" s="26">
        <v>86720.1</v>
      </c>
      <c r="G310" s="27">
        <v>11.909222</v>
      </c>
    </row>
    <row r="311" spans="1:7" hidden="1" x14ac:dyDescent="0.25">
      <c r="A311" s="24" t="s">
        <v>548</v>
      </c>
      <c r="B311" s="24" t="s">
        <v>24</v>
      </c>
      <c r="C311" s="24" t="s">
        <v>283</v>
      </c>
      <c r="D311" s="25">
        <v>15061</v>
      </c>
      <c r="E311" s="25">
        <v>425029</v>
      </c>
      <c r="F311" s="26">
        <v>41429</v>
      </c>
      <c r="G311" s="27">
        <v>9.7473349000000002</v>
      </c>
    </row>
    <row r="312" spans="1:7" hidden="1" x14ac:dyDescent="0.25">
      <c r="A312" s="24" t="s">
        <v>549</v>
      </c>
      <c r="B312" s="24" t="s">
        <v>24</v>
      </c>
      <c r="C312" s="24" t="s">
        <v>281</v>
      </c>
      <c r="D312" s="25">
        <v>173804</v>
      </c>
      <c r="E312" s="25">
        <v>3226167</v>
      </c>
      <c r="F312" s="26">
        <v>346640.5</v>
      </c>
      <c r="G312" s="27">
        <v>10.744655</v>
      </c>
    </row>
    <row r="313" spans="1:7" hidden="1" x14ac:dyDescent="0.25">
      <c r="A313" s="24" t="s">
        <v>550</v>
      </c>
      <c r="B313" s="24" t="s">
        <v>24</v>
      </c>
      <c r="C313" s="24" t="s">
        <v>278</v>
      </c>
      <c r="D313" s="25">
        <v>1775327</v>
      </c>
      <c r="E313" s="25">
        <v>38024012</v>
      </c>
      <c r="F313" s="26">
        <v>4098421.8</v>
      </c>
      <c r="G313" s="27">
        <v>10.778510000000001</v>
      </c>
    </row>
    <row r="314" spans="1:7" hidden="1" x14ac:dyDescent="0.25">
      <c r="A314" s="24" t="s">
        <v>551</v>
      </c>
      <c r="B314" s="24" t="s">
        <v>24</v>
      </c>
      <c r="C314" s="24" t="s">
        <v>281</v>
      </c>
      <c r="D314" s="25">
        <v>11012</v>
      </c>
      <c r="E314" s="25">
        <v>173239</v>
      </c>
      <c r="F314" s="26">
        <v>23495</v>
      </c>
      <c r="G314" s="27">
        <v>13.562189</v>
      </c>
    </row>
    <row r="315" spans="1:7" hidden="1" x14ac:dyDescent="0.25">
      <c r="A315" s="24" t="s">
        <v>552</v>
      </c>
      <c r="B315" s="24" t="s">
        <v>24</v>
      </c>
      <c r="C315" s="24" t="s">
        <v>281</v>
      </c>
      <c r="D315" s="25">
        <v>32792</v>
      </c>
      <c r="E315" s="25">
        <v>694334</v>
      </c>
      <c r="F315" s="26">
        <v>76089</v>
      </c>
      <c r="G315" s="27">
        <v>10.958558999999999</v>
      </c>
    </row>
    <row r="316" spans="1:7" hidden="1" x14ac:dyDescent="0.25">
      <c r="A316" s="24" t="s">
        <v>553</v>
      </c>
      <c r="B316" s="24" t="s">
        <v>24</v>
      </c>
      <c r="C316" s="24" t="s">
        <v>278</v>
      </c>
      <c r="D316" s="25">
        <v>4901846</v>
      </c>
      <c r="E316" s="25">
        <v>108513594</v>
      </c>
      <c r="F316" s="26">
        <v>10969756</v>
      </c>
      <c r="G316" s="27">
        <v>10.109108000000001</v>
      </c>
    </row>
    <row r="317" spans="1:7" hidden="1" x14ac:dyDescent="0.25">
      <c r="A317" s="24" t="s">
        <v>554</v>
      </c>
      <c r="B317" s="24" t="s">
        <v>24</v>
      </c>
      <c r="C317" s="24" t="s">
        <v>278</v>
      </c>
      <c r="D317" s="25">
        <v>32038</v>
      </c>
      <c r="E317" s="25">
        <v>627135</v>
      </c>
      <c r="F317" s="26">
        <v>88807.9</v>
      </c>
      <c r="G317" s="27">
        <v>14.16089</v>
      </c>
    </row>
    <row r="318" spans="1:7" hidden="1" x14ac:dyDescent="0.25">
      <c r="A318" s="24" t="s">
        <v>555</v>
      </c>
      <c r="B318" s="24" t="s">
        <v>24</v>
      </c>
      <c r="C318" s="24" t="s">
        <v>283</v>
      </c>
      <c r="D318" s="25">
        <v>28257</v>
      </c>
      <c r="E318" s="25">
        <v>555768</v>
      </c>
      <c r="F318" s="26">
        <v>65001</v>
      </c>
      <c r="G318" s="27">
        <v>11.695708</v>
      </c>
    </row>
    <row r="319" spans="1:7" hidden="1" x14ac:dyDescent="0.25">
      <c r="A319" s="24" t="s">
        <v>556</v>
      </c>
      <c r="B319" s="24" t="s">
        <v>24</v>
      </c>
      <c r="C319" s="24" t="s">
        <v>283</v>
      </c>
      <c r="D319" s="25">
        <v>97245</v>
      </c>
      <c r="E319" s="25">
        <v>1773622</v>
      </c>
      <c r="F319" s="26">
        <v>249459.20000000001</v>
      </c>
      <c r="G319" s="27">
        <v>14.064959</v>
      </c>
    </row>
    <row r="320" spans="1:7" hidden="1" x14ac:dyDescent="0.25">
      <c r="A320" s="24" t="s">
        <v>557</v>
      </c>
      <c r="B320" s="24" t="s">
        <v>24</v>
      </c>
      <c r="C320" s="24" t="s">
        <v>281</v>
      </c>
      <c r="D320" s="25">
        <v>16370</v>
      </c>
      <c r="E320" s="25">
        <v>316748</v>
      </c>
      <c r="F320" s="26">
        <v>43572</v>
      </c>
      <c r="G320" s="27">
        <v>13.756046</v>
      </c>
    </row>
    <row r="321" spans="1:7" hidden="1" x14ac:dyDescent="0.25">
      <c r="A321" s="24" t="s">
        <v>400</v>
      </c>
      <c r="B321" s="24" t="s">
        <v>24</v>
      </c>
      <c r="C321" s="24" t="s">
        <v>392</v>
      </c>
      <c r="D321" s="25">
        <v>1</v>
      </c>
      <c r="E321" s="25">
        <v>524</v>
      </c>
      <c r="F321" s="26">
        <v>102</v>
      </c>
      <c r="G321" s="27">
        <v>19.465648999999999</v>
      </c>
    </row>
    <row r="322" spans="1:7" hidden="1" x14ac:dyDescent="0.25">
      <c r="A322" s="24" t="s">
        <v>558</v>
      </c>
      <c r="B322" s="24" t="s">
        <v>24</v>
      </c>
      <c r="C322" s="24" t="s">
        <v>281</v>
      </c>
      <c r="D322" s="25">
        <v>20710</v>
      </c>
      <c r="E322" s="25">
        <v>328655</v>
      </c>
      <c r="F322" s="26">
        <v>39771.199999999997</v>
      </c>
      <c r="G322" s="27">
        <v>12.1012</v>
      </c>
    </row>
    <row r="323" spans="1:7" hidden="1" x14ac:dyDescent="0.25">
      <c r="A323" s="24" t="s">
        <v>559</v>
      </c>
      <c r="B323" s="24" t="s">
        <v>24</v>
      </c>
      <c r="C323" s="24" t="s">
        <v>278</v>
      </c>
      <c r="D323" s="25">
        <v>459049</v>
      </c>
      <c r="E323" s="25">
        <v>10808617</v>
      </c>
      <c r="F323" s="26">
        <v>1280559.1000000001</v>
      </c>
      <c r="G323" s="27">
        <v>11.847576</v>
      </c>
    </row>
    <row r="324" spans="1:7" hidden="1" x14ac:dyDescent="0.25">
      <c r="A324" s="24" t="s">
        <v>560</v>
      </c>
      <c r="B324" s="24" t="s">
        <v>24</v>
      </c>
      <c r="C324" s="24" t="s">
        <v>283</v>
      </c>
      <c r="D324" s="25">
        <v>1458</v>
      </c>
      <c r="E324" s="25">
        <v>22820</v>
      </c>
      <c r="F324" s="26">
        <v>2595</v>
      </c>
      <c r="G324" s="27">
        <v>11.371604</v>
      </c>
    </row>
    <row r="325" spans="1:7" hidden="1" x14ac:dyDescent="0.25">
      <c r="A325" s="24" t="s">
        <v>561</v>
      </c>
      <c r="B325" s="24" t="s">
        <v>24</v>
      </c>
      <c r="C325" s="24" t="s">
        <v>283</v>
      </c>
      <c r="D325" s="25">
        <v>464116</v>
      </c>
      <c r="E325" s="25">
        <v>11825192</v>
      </c>
      <c r="F325" s="26">
        <v>1185944</v>
      </c>
      <c r="G325" s="27">
        <v>10.028962</v>
      </c>
    </row>
    <row r="326" spans="1:7" hidden="1" x14ac:dyDescent="0.25">
      <c r="A326" s="24" t="s">
        <v>562</v>
      </c>
      <c r="B326" s="24" t="s">
        <v>24</v>
      </c>
      <c r="C326" s="24" t="s">
        <v>283</v>
      </c>
      <c r="D326" s="25">
        <v>71770</v>
      </c>
      <c r="E326" s="25">
        <v>1506267</v>
      </c>
      <c r="F326" s="26">
        <v>169828</v>
      </c>
      <c r="G326" s="27">
        <v>11.274761</v>
      </c>
    </row>
    <row r="327" spans="1:7" hidden="1" x14ac:dyDescent="0.25">
      <c r="A327" s="24" t="s">
        <v>563</v>
      </c>
      <c r="B327" s="24" t="s">
        <v>24</v>
      </c>
      <c r="C327" s="24" t="s">
        <v>281</v>
      </c>
      <c r="D327" s="25">
        <v>213636</v>
      </c>
      <c r="E327" s="25">
        <v>3809847</v>
      </c>
      <c r="F327" s="26">
        <v>391872.3</v>
      </c>
      <c r="G327" s="27">
        <v>10.285774999999999</v>
      </c>
    </row>
    <row r="328" spans="1:7" hidden="1" x14ac:dyDescent="0.25">
      <c r="A328" s="24" t="s">
        <v>401</v>
      </c>
      <c r="B328" s="24" t="s">
        <v>24</v>
      </c>
      <c r="C328" s="24" t="s">
        <v>392</v>
      </c>
      <c r="D328" s="25">
        <v>1</v>
      </c>
      <c r="E328" s="25">
        <v>73</v>
      </c>
      <c r="F328" s="26">
        <v>20.6</v>
      </c>
      <c r="G328" s="27">
        <v>28.219177999999999</v>
      </c>
    </row>
    <row r="329" spans="1:7" hidden="1" x14ac:dyDescent="0.25">
      <c r="A329" s="24" t="s">
        <v>564</v>
      </c>
      <c r="B329" s="24" t="s">
        <v>24</v>
      </c>
      <c r="C329" s="24" t="s">
        <v>283</v>
      </c>
      <c r="D329" s="25">
        <v>27644</v>
      </c>
      <c r="E329" s="25">
        <v>406223</v>
      </c>
      <c r="F329" s="26">
        <v>42633</v>
      </c>
      <c r="G329" s="27">
        <v>10.494973999999999</v>
      </c>
    </row>
    <row r="330" spans="1:7" hidden="1" x14ac:dyDescent="0.25">
      <c r="A330" s="24" t="s">
        <v>565</v>
      </c>
      <c r="B330" s="24" t="s">
        <v>24</v>
      </c>
      <c r="C330" s="24" t="s">
        <v>281</v>
      </c>
      <c r="D330" s="25">
        <v>10528</v>
      </c>
      <c r="E330" s="25">
        <v>158872</v>
      </c>
      <c r="F330" s="26">
        <v>19889.2</v>
      </c>
      <c r="G330" s="27">
        <v>12.519009</v>
      </c>
    </row>
    <row r="331" spans="1:7" hidden="1" x14ac:dyDescent="0.25">
      <c r="A331" s="24" t="s">
        <v>566</v>
      </c>
      <c r="B331" s="24" t="s">
        <v>24</v>
      </c>
      <c r="C331" s="24" t="s">
        <v>283</v>
      </c>
      <c r="D331" s="25">
        <v>237158</v>
      </c>
      <c r="E331" s="25">
        <v>6568222</v>
      </c>
      <c r="F331" s="26">
        <v>643520.80000000005</v>
      </c>
      <c r="G331" s="27">
        <v>9.7974885999999994</v>
      </c>
    </row>
    <row r="332" spans="1:7" hidden="1" x14ac:dyDescent="0.25">
      <c r="A332" s="24" t="s">
        <v>567</v>
      </c>
      <c r="B332" s="24" t="s">
        <v>24</v>
      </c>
      <c r="C332" s="24" t="s">
        <v>281</v>
      </c>
      <c r="D332" s="25">
        <v>41123</v>
      </c>
      <c r="E332" s="25">
        <v>736663</v>
      </c>
      <c r="F332" s="26">
        <v>90437.4</v>
      </c>
      <c r="G332" s="27">
        <v>12.276631</v>
      </c>
    </row>
    <row r="333" spans="1:7" hidden="1" x14ac:dyDescent="0.25">
      <c r="A333" s="24" t="s">
        <v>568</v>
      </c>
      <c r="B333" s="24" t="s">
        <v>24</v>
      </c>
      <c r="C333" s="24" t="s">
        <v>283</v>
      </c>
      <c r="D333" s="25">
        <v>1447</v>
      </c>
      <c r="E333" s="25">
        <v>1159767</v>
      </c>
      <c r="F333" s="26">
        <v>97629</v>
      </c>
      <c r="G333" s="27">
        <v>8.4179840000000006</v>
      </c>
    </row>
    <row r="334" spans="1:7" hidden="1" x14ac:dyDescent="0.25">
      <c r="A334" s="24" t="s">
        <v>408</v>
      </c>
      <c r="B334" s="24" t="s">
        <v>24</v>
      </c>
      <c r="C334" s="24" t="s">
        <v>392</v>
      </c>
      <c r="D334" s="25">
        <v>626</v>
      </c>
      <c r="E334" s="25">
        <v>5067</v>
      </c>
      <c r="F334" s="26">
        <v>431.1</v>
      </c>
      <c r="G334" s="27">
        <v>8.5079928999999996</v>
      </c>
    </row>
    <row r="335" spans="1:7" hidden="1" x14ac:dyDescent="0.25">
      <c r="A335" s="24" t="s">
        <v>569</v>
      </c>
      <c r="B335" s="24" t="s">
        <v>24</v>
      </c>
      <c r="C335" s="24" t="s">
        <v>281</v>
      </c>
      <c r="D335" s="25">
        <v>200526</v>
      </c>
      <c r="E335" s="25">
        <v>3232485</v>
      </c>
      <c r="F335" s="26">
        <v>360589</v>
      </c>
      <c r="G335" s="27">
        <v>11.155163999999999</v>
      </c>
    </row>
    <row r="336" spans="1:7" hidden="1" x14ac:dyDescent="0.25">
      <c r="A336" s="24" t="s">
        <v>411</v>
      </c>
      <c r="B336" s="24" t="s">
        <v>24</v>
      </c>
      <c r="C336" s="24" t="s">
        <v>392</v>
      </c>
      <c r="D336" s="25">
        <v>3</v>
      </c>
      <c r="E336" s="25">
        <v>439</v>
      </c>
      <c r="F336" s="26">
        <v>133.80000000000001</v>
      </c>
      <c r="G336" s="27">
        <v>30.478359999999999</v>
      </c>
    </row>
    <row r="337" spans="1:7" hidden="1" x14ac:dyDescent="0.25">
      <c r="A337" s="24" t="s">
        <v>570</v>
      </c>
      <c r="B337" s="24" t="s">
        <v>24</v>
      </c>
      <c r="C337" s="24" t="s">
        <v>281</v>
      </c>
      <c r="D337" s="25">
        <v>25932</v>
      </c>
      <c r="E337" s="25">
        <v>519391</v>
      </c>
      <c r="F337" s="26">
        <v>57504</v>
      </c>
      <c r="G337" s="27">
        <v>11.071427999999999</v>
      </c>
    </row>
    <row r="338" spans="1:7" hidden="1" x14ac:dyDescent="0.25">
      <c r="A338" s="24" t="s">
        <v>571</v>
      </c>
      <c r="B338" s="24" t="s">
        <v>24</v>
      </c>
      <c r="C338" s="24" t="s">
        <v>281</v>
      </c>
      <c r="D338" s="25">
        <v>53832</v>
      </c>
      <c r="E338" s="25">
        <v>937675</v>
      </c>
      <c r="F338" s="26">
        <v>114926</v>
      </c>
      <c r="G338" s="27">
        <v>12.256485</v>
      </c>
    </row>
    <row r="339" spans="1:7" hidden="1" x14ac:dyDescent="0.25">
      <c r="A339" s="24" t="s">
        <v>572</v>
      </c>
      <c r="B339" s="24" t="s">
        <v>24</v>
      </c>
      <c r="C339" s="24" t="s">
        <v>278</v>
      </c>
      <c r="D339" s="25">
        <v>744691</v>
      </c>
      <c r="E339" s="25">
        <v>19186517</v>
      </c>
      <c r="F339" s="26">
        <v>1932818.5</v>
      </c>
      <c r="G339" s="27">
        <v>10.073836999999999</v>
      </c>
    </row>
    <row r="340" spans="1:7" hidden="1" x14ac:dyDescent="0.25">
      <c r="A340" s="24" t="s">
        <v>416</v>
      </c>
      <c r="B340" s="24" t="s">
        <v>24</v>
      </c>
      <c r="C340" s="24" t="s">
        <v>392</v>
      </c>
      <c r="D340" s="25">
        <v>3</v>
      </c>
      <c r="E340" s="25">
        <v>648</v>
      </c>
      <c r="F340" s="26">
        <v>198</v>
      </c>
      <c r="G340" s="27">
        <v>30.555555999999999</v>
      </c>
    </row>
    <row r="341" spans="1:7" hidden="1" x14ac:dyDescent="0.25">
      <c r="A341" s="24" t="s">
        <v>505</v>
      </c>
      <c r="B341" s="24" t="s">
        <v>24</v>
      </c>
      <c r="C341" s="24" t="s">
        <v>281</v>
      </c>
      <c r="D341" s="25">
        <v>18212</v>
      </c>
      <c r="E341" s="25">
        <v>309798</v>
      </c>
      <c r="F341" s="26">
        <v>38082.5</v>
      </c>
      <c r="G341" s="27">
        <v>12.292687000000001</v>
      </c>
    </row>
    <row r="342" spans="1:7" hidden="1" x14ac:dyDescent="0.25">
      <c r="A342" s="24" t="s">
        <v>573</v>
      </c>
      <c r="B342" s="24" t="s">
        <v>24</v>
      </c>
      <c r="C342" s="24" t="s">
        <v>281</v>
      </c>
      <c r="D342" s="25">
        <v>28494</v>
      </c>
      <c r="E342" s="25">
        <v>482902</v>
      </c>
      <c r="F342" s="26">
        <v>56127</v>
      </c>
      <c r="G342" s="27">
        <v>11.622854999999999</v>
      </c>
    </row>
    <row r="343" spans="1:7" hidden="1" x14ac:dyDescent="0.25">
      <c r="A343" s="24" t="s">
        <v>574</v>
      </c>
      <c r="B343" s="24" t="s">
        <v>24</v>
      </c>
      <c r="C343" s="24" t="s">
        <v>281</v>
      </c>
      <c r="D343" s="25">
        <v>214244</v>
      </c>
      <c r="E343" s="25">
        <v>3835764</v>
      </c>
      <c r="F343" s="26">
        <v>408803.8</v>
      </c>
      <c r="G343" s="27">
        <v>10.657689</v>
      </c>
    </row>
    <row r="344" spans="1:7" hidden="1" x14ac:dyDescent="0.25">
      <c r="A344" s="24" t="s">
        <v>575</v>
      </c>
      <c r="B344" s="24" t="s">
        <v>27</v>
      </c>
      <c r="C344" s="24" t="s">
        <v>283</v>
      </c>
      <c r="D344" s="25">
        <v>37083</v>
      </c>
      <c r="E344" s="25">
        <v>876832</v>
      </c>
      <c r="F344" s="26">
        <v>95182</v>
      </c>
      <c r="G344" s="27">
        <v>10.855214999999999</v>
      </c>
    </row>
    <row r="345" spans="1:7" hidden="1" x14ac:dyDescent="0.25">
      <c r="A345" s="24" t="s">
        <v>576</v>
      </c>
      <c r="B345" s="24" t="s">
        <v>27</v>
      </c>
      <c r="C345" s="24" t="s">
        <v>281</v>
      </c>
      <c r="D345" s="25">
        <v>20630</v>
      </c>
      <c r="E345" s="25">
        <v>406461</v>
      </c>
      <c r="F345" s="26">
        <v>49254.9</v>
      </c>
      <c r="G345" s="27">
        <v>12.117989</v>
      </c>
    </row>
    <row r="346" spans="1:7" hidden="1" x14ac:dyDescent="0.25">
      <c r="A346" s="24" t="s">
        <v>577</v>
      </c>
      <c r="B346" s="24" t="s">
        <v>27</v>
      </c>
      <c r="C346" s="24" t="s">
        <v>281</v>
      </c>
      <c r="D346" s="25">
        <v>48382</v>
      </c>
      <c r="E346" s="25">
        <v>698503</v>
      </c>
      <c r="F346" s="26">
        <v>82368.800000000003</v>
      </c>
      <c r="G346" s="27">
        <v>11.79219</v>
      </c>
    </row>
    <row r="347" spans="1:7" hidden="1" x14ac:dyDescent="0.25">
      <c r="A347" s="24" t="s">
        <v>578</v>
      </c>
      <c r="B347" s="24" t="s">
        <v>27</v>
      </c>
      <c r="C347" s="24" t="s">
        <v>281</v>
      </c>
      <c r="D347" s="25">
        <v>34287</v>
      </c>
      <c r="E347" s="25">
        <v>431537</v>
      </c>
      <c r="F347" s="26">
        <v>56853</v>
      </c>
      <c r="G347" s="27">
        <v>13.174537000000001</v>
      </c>
    </row>
    <row r="348" spans="1:7" hidden="1" x14ac:dyDescent="0.25">
      <c r="A348" s="24" t="s">
        <v>579</v>
      </c>
      <c r="B348" s="24" t="s">
        <v>27</v>
      </c>
      <c r="C348" s="24" t="s">
        <v>281</v>
      </c>
      <c r="D348" s="25">
        <v>21447</v>
      </c>
      <c r="E348" s="25">
        <v>403415</v>
      </c>
      <c r="F348" s="26">
        <v>47525.4</v>
      </c>
      <c r="G348" s="27">
        <v>11.780772000000001</v>
      </c>
    </row>
    <row r="349" spans="1:7" hidden="1" x14ac:dyDescent="0.25">
      <c r="A349" s="24" t="s">
        <v>580</v>
      </c>
      <c r="B349" s="24" t="s">
        <v>27</v>
      </c>
      <c r="C349" s="24" t="s">
        <v>281</v>
      </c>
      <c r="D349" s="25">
        <v>50774</v>
      </c>
      <c r="E349" s="25">
        <v>1024485</v>
      </c>
      <c r="F349" s="26">
        <v>107793</v>
      </c>
      <c r="G349" s="27">
        <v>10.521677</v>
      </c>
    </row>
    <row r="350" spans="1:7" hidden="1" x14ac:dyDescent="0.25">
      <c r="A350" s="24" t="s">
        <v>581</v>
      </c>
      <c r="B350" s="24" t="s">
        <v>27</v>
      </c>
      <c r="C350" s="24" t="s">
        <v>281</v>
      </c>
      <c r="D350" s="25">
        <v>56234</v>
      </c>
      <c r="E350" s="25">
        <v>1181453</v>
      </c>
      <c r="F350" s="26">
        <v>105958</v>
      </c>
      <c r="G350" s="27">
        <v>8.9684481999999992</v>
      </c>
    </row>
    <row r="351" spans="1:7" hidden="1" x14ac:dyDescent="0.25">
      <c r="A351" s="24" t="s">
        <v>582</v>
      </c>
      <c r="B351" s="24" t="s">
        <v>27</v>
      </c>
      <c r="C351" s="24" t="s">
        <v>283</v>
      </c>
      <c r="D351" s="25">
        <v>6520</v>
      </c>
      <c r="E351" s="25">
        <v>95288</v>
      </c>
      <c r="F351" s="26">
        <v>13082.7</v>
      </c>
      <c r="G351" s="27">
        <v>13.729641000000001</v>
      </c>
    </row>
    <row r="352" spans="1:7" hidden="1" x14ac:dyDescent="0.25">
      <c r="A352" s="24" t="s">
        <v>583</v>
      </c>
      <c r="B352" s="24" t="s">
        <v>27</v>
      </c>
      <c r="C352" s="24" t="s">
        <v>283</v>
      </c>
      <c r="D352" s="25">
        <v>2628</v>
      </c>
      <c r="E352" s="25">
        <v>115802</v>
      </c>
      <c r="F352" s="26">
        <v>12952</v>
      </c>
      <c r="G352" s="27">
        <v>11.184608000000001</v>
      </c>
    </row>
    <row r="353" spans="1:7" hidden="1" x14ac:dyDescent="0.25">
      <c r="A353" s="24" t="s">
        <v>584</v>
      </c>
      <c r="B353" s="24" t="s">
        <v>27</v>
      </c>
      <c r="C353" s="24" t="s">
        <v>283</v>
      </c>
      <c r="D353" s="25">
        <v>3465</v>
      </c>
      <c r="E353" s="25">
        <v>200420</v>
      </c>
      <c r="F353" s="26">
        <v>20505</v>
      </c>
      <c r="G353" s="27">
        <v>10.231014999999999</v>
      </c>
    </row>
    <row r="354" spans="1:7" hidden="1" x14ac:dyDescent="0.25">
      <c r="A354" s="24" t="s">
        <v>585</v>
      </c>
      <c r="B354" s="24" t="s">
        <v>27</v>
      </c>
      <c r="C354" s="24" t="s">
        <v>283</v>
      </c>
      <c r="D354" s="25">
        <v>4461</v>
      </c>
      <c r="E354" s="25">
        <v>131428</v>
      </c>
      <c r="F354" s="26">
        <v>14938.5</v>
      </c>
      <c r="G354" s="27">
        <v>11.366299</v>
      </c>
    </row>
    <row r="355" spans="1:7" hidden="1" x14ac:dyDescent="0.25">
      <c r="A355" s="24" t="s">
        <v>586</v>
      </c>
      <c r="B355" s="24" t="s">
        <v>27</v>
      </c>
      <c r="C355" s="24" t="s">
        <v>283</v>
      </c>
      <c r="D355" s="25">
        <v>5368</v>
      </c>
      <c r="E355" s="25">
        <v>424495</v>
      </c>
      <c r="F355" s="26">
        <v>35694.699999999997</v>
      </c>
      <c r="G355" s="27">
        <v>8.4087444999999992</v>
      </c>
    </row>
    <row r="356" spans="1:7" hidden="1" x14ac:dyDescent="0.25">
      <c r="A356" s="24" t="s">
        <v>587</v>
      </c>
      <c r="B356" s="24" t="s">
        <v>27</v>
      </c>
      <c r="C356" s="24" t="s">
        <v>283</v>
      </c>
      <c r="D356" s="25">
        <v>2576</v>
      </c>
      <c r="E356" s="25">
        <v>146172</v>
      </c>
      <c r="F356" s="26">
        <v>13717.9</v>
      </c>
      <c r="G356" s="27">
        <v>9.3847658999999997</v>
      </c>
    </row>
    <row r="357" spans="1:7" hidden="1" x14ac:dyDescent="0.25">
      <c r="A357" s="24" t="s">
        <v>588</v>
      </c>
      <c r="B357" s="24" t="s">
        <v>27</v>
      </c>
      <c r="C357" s="24" t="s">
        <v>283</v>
      </c>
      <c r="D357" s="25">
        <v>7508</v>
      </c>
      <c r="E357" s="25">
        <v>561973</v>
      </c>
      <c r="F357" s="26">
        <v>44413</v>
      </c>
      <c r="G357" s="27">
        <v>7.9030487000000003</v>
      </c>
    </row>
    <row r="358" spans="1:7" hidden="1" x14ac:dyDescent="0.25">
      <c r="A358" s="24" t="s">
        <v>589</v>
      </c>
      <c r="B358" s="24" t="s">
        <v>27</v>
      </c>
      <c r="C358" s="24" t="s">
        <v>283</v>
      </c>
      <c r="D358" s="25">
        <v>10701</v>
      </c>
      <c r="E358" s="25">
        <v>186852</v>
      </c>
      <c r="F358" s="26">
        <v>20651</v>
      </c>
      <c r="G358" s="27">
        <v>11.052063</v>
      </c>
    </row>
    <row r="359" spans="1:7" hidden="1" x14ac:dyDescent="0.25">
      <c r="A359" s="24" t="s">
        <v>590</v>
      </c>
      <c r="B359" s="24" t="s">
        <v>27</v>
      </c>
      <c r="C359" s="24" t="s">
        <v>283</v>
      </c>
      <c r="D359" s="25">
        <v>975</v>
      </c>
      <c r="E359" s="25">
        <v>24972</v>
      </c>
      <c r="F359" s="26">
        <v>2737</v>
      </c>
      <c r="G359" s="27">
        <v>10.960276</v>
      </c>
    </row>
    <row r="360" spans="1:7" hidden="1" x14ac:dyDescent="0.25">
      <c r="A360" s="24" t="s">
        <v>591</v>
      </c>
      <c r="B360" s="24" t="s">
        <v>27</v>
      </c>
      <c r="C360" s="24" t="s">
        <v>283</v>
      </c>
      <c r="D360" s="25">
        <v>7571</v>
      </c>
      <c r="E360" s="25">
        <v>266461</v>
      </c>
      <c r="F360" s="26">
        <v>27978.5</v>
      </c>
      <c r="G360" s="27">
        <v>10.500036</v>
      </c>
    </row>
    <row r="361" spans="1:7" hidden="1" x14ac:dyDescent="0.25">
      <c r="A361" s="24" t="s">
        <v>592</v>
      </c>
      <c r="B361" s="24" t="s">
        <v>27</v>
      </c>
      <c r="C361" s="24" t="s">
        <v>283</v>
      </c>
      <c r="D361" s="25">
        <v>11773</v>
      </c>
      <c r="E361" s="25">
        <v>410670</v>
      </c>
      <c r="F361" s="26">
        <v>37651</v>
      </c>
      <c r="G361" s="27">
        <v>9.1681886000000006</v>
      </c>
    </row>
    <row r="362" spans="1:7" hidden="1" x14ac:dyDescent="0.25">
      <c r="A362" s="24" t="s">
        <v>593</v>
      </c>
      <c r="B362" s="24" t="s">
        <v>27</v>
      </c>
      <c r="C362" s="24" t="s">
        <v>283</v>
      </c>
      <c r="D362" s="25">
        <v>5868</v>
      </c>
      <c r="E362" s="25">
        <v>274935</v>
      </c>
      <c r="F362" s="26">
        <v>29119</v>
      </c>
      <c r="G362" s="27">
        <v>10.591231000000001</v>
      </c>
    </row>
    <row r="363" spans="1:7" hidden="1" x14ac:dyDescent="0.25">
      <c r="A363" s="24" t="s">
        <v>594</v>
      </c>
      <c r="B363" s="24" t="s">
        <v>27</v>
      </c>
      <c r="C363" s="24" t="s">
        <v>283</v>
      </c>
      <c r="D363" s="25">
        <v>15682</v>
      </c>
      <c r="E363" s="25">
        <v>362110</v>
      </c>
      <c r="F363" s="26">
        <v>44305.1</v>
      </c>
      <c r="G363" s="27">
        <v>12.23526</v>
      </c>
    </row>
    <row r="364" spans="1:7" hidden="1" x14ac:dyDescent="0.25">
      <c r="A364" s="24" t="s">
        <v>595</v>
      </c>
      <c r="B364" s="24" t="s">
        <v>27</v>
      </c>
      <c r="C364" s="24" t="s">
        <v>283</v>
      </c>
      <c r="D364" s="25">
        <v>4395</v>
      </c>
      <c r="E364" s="25">
        <v>127040</v>
      </c>
      <c r="F364" s="26">
        <v>14105</v>
      </c>
      <c r="G364" s="27">
        <v>11.102802000000001</v>
      </c>
    </row>
    <row r="365" spans="1:7" hidden="1" x14ac:dyDescent="0.25">
      <c r="A365" s="24" t="s">
        <v>596</v>
      </c>
      <c r="B365" s="24" t="s">
        <v>27</v>
      </c>
      <c r="C365" s="24" t="s">
        <v>283</v>
      </c>
      <c r="D365" s="25">
        <v>15019</v>
      </c>
      <c r="E365" s="25">
        <v>395249</v>
      </c>
      <c r="F365" s="26">
        <v>41079</v>
      </c>
      <c r="G365" s="27">
        <v>10.393195</v>
      </c>
    </row>
    <row r="366" spans="1:7" hidden="1" x14ac:dyDescent="0.25">
      <c r="A366" s="24" t="s">
        <v>597</v>
      </c>
      <c r="B366" s="24" t="s">
        <v>27</v>
      </c>
      <c r="C366" s="24" t="s">
        <v>283</v>
      </c>
      <c r="D366" s="25">
        <v>13145</v>
      </c>
      <c r="E366" s="25">
        <v>499502</v>
      </c>
      <c r="F366" s="26">
        <v>43936</v>
      </c>
      <c r="G366" s="27">
        <v>8.7959607999999996</v>
      </c>
    </row>
    <row r="367" spans="1:7" hidden="1" x14ac:dyDescent="0.25">
      <c r="A367" s="24" t="s">
        <v>598</v>
      </c>
      <c r="B367" s="24" t="s">
        <v>27</v>
      </c>
      <c r="C367" s="24" t="s">
        <v>283</v>
      </c>
      <c r="D367" s="25">
        <v>11259</v>
      </c>
      <c r="E367" s="25">
        <v>313756</v>
      </c>
      <c r="F367" s="26">
        <v>31869</v>
      </c>
      <c r="G367" s="27">
        <v>10.157256</v>
      </c>
    </row>
    <row r="368" spans="1:7" hidden="1" x14ac:dyDescent="0.25">
      <c r="A368" s="24" t="s">
        <v>599</v>
      </c>
      <c r="B368" s="24" t="s">
        <v>27</v>
      </c>
      <c r="C368" s="24" t="s">
        <v>283</v>
      </c>
      <c r="D368" s="25">
        <v>41413</v>
      </c>
      <c r="E368" s="25">
        <v>994682</v>
      </c>
      <c r="F368" s="26">
        <v>114450</v>
      </c>
      <c r="G368" s="27">
        <v>11.50619</v>
      </c>
    </row>
    <row r="369" spans="1:7" hidden="1" x14ac:dyDescent="0.25">
      <c r="A369" s="24" t="s">
        <v>600</v>
      </c>
      <c r="B369" s="24" t="s">
        <v>27</v>
      </c>
      <c r="C369" s="24" t="s">
        <v>283</v>
      </c>
      <c r="D369" s="25">
        <v>6286</v>
      </c>
      <c r="E369" s="25">
        <v>146195</v>
      </c>
      <c r="F369" s="26">
        <v>17808</v>
      </c>
      <c r="G369" s="27">
        <v>12.180991000000001</v>
      </c>
    </row>
    <row r="370" spans="1:7" hidden="1" x14ac:dyDescent="0.25">
      <c r="A370" s="24" t="s">
        <v>601</v>
      </c>
      <c r="B370" s="24" t="s">
        <v>27</v>
      </c>
      <c r="C370" s="24" t="s">
        <v>283</v>
      </c>
      <c r="D370" s="25">
        <v>6627</v>
      </c>
      <c r="E370" s="25">
        <v>175909</v>
      </c>
      <c r="F370" s="26">
        <v>22774.400000000001</v>
      </c>
      <c r="G370" s="27">
        <v>12.946694000000001</v>
      </c>
    </row>
    <row r="371" spans="1:7" hidden="1" x14ac:dyDescent="0.25">
      <c r="A371" s="24" t="s">
        <v>602</v>
      </c>
      <c r="B371" s="24" t="s">
        <v>27</v>
      </c>
      <c r="C371" s="24" t="s">
        <v>283</v>
      </c>
      <c r="D371" s="25">
        <v>5076</v>
      </c>
      <c r="E371" s="25">
        <v>112856</v>
      </c>
      <c r="F371" s="26">
        <v>12813</v>
      </c>
      <c r="G371" s="27">
        <v>11.353406</v>
      </c>
    </row>
    <row r="372" spans="1:7" hidden="1" x14ac:dyDescent="0.25">
      <c r="A372" s="24" t="s">
        <v>603</v>
      </c>
      <c r="B372" s="24" t="s">
        <v>27</v>
      </c>
      <c r="C372" s="24" t="s">
        <v>283</v>
      </c>
      <c r="D372" s="25">
        <v>2515</v>
      </c>
      <c r="E372" s="25">
        <v>716362</v>
      </c>
      <c r="F372" s="26">
        <v>28063</v>
      </c>
      <c r="G372" s="27">
        <v>3.9174327999999998</v>
      </c>
    </row>
    <row r="373" spans="1:7" hidden="1" x14ac:dyDescent="0.25">
      <c r="A373" s="24" t="s">
        <v>604</v>
      </c>
      <c r="B373" s="24" t="s">
        <v>27</v>
      </c>
      <c r="C373" s="24" t="s">
        <v>283</v>
      </c>
      <c r="D373" s="25">
        <v>5974</v>
      </c>
      <c r="E373" s="25">
        <v>123204</v>
      </c>
      <c r="F373" s="26">
        <v>12981.8</v>
      </c>
      <c r="G373" s="27">
        <v>10.536833</v>
      </c>
    </row>
    <row r="374" spans="1:7" hidden="1" x14ac:dyDescent="0.25">
      <c r="A374" s="24" t="s">
        <v>605</v>
      </c>
      <c r="B374" s="24" t="s">
        <v>27</v>
      </c>
      <c r="C374" s="24" t="s">
        <v>283</v>
      </c>
      <c r="D374" s="25">
        <v>15620</v>
      </c>
      <c r="E374" s="25">
        <v>480030</v>
      </c>
      <c r="F374" s="26">
        <v>54860</v>
      </c>
      <c r="G374" s="27">
        <v>11.428452</v>
      </c>
    </row>
    <row r="375" spans="1:7" hidden="1" x14ac:dyDescent="0.25">
      <c r="A375" s="24" t="s">
        <v>606</v>
      </c>
      <c r="B375" s="24" t="s">
        <v>27</v>
      </c>
      <c r="C375" s="24" t="s">
        <v>283</v>
      </c>
      <c r="D375" s="25">
        <v>2361</v>
      </c>
      <c r="E375" s="25">
        <v>91230</v>
      </c>
      <c r="F375" s="26">
        <v>10007</v>
      </c>
      <c r="G375" s="27">
        <v>10.96898</v>
      </c>
    </row>
    <row r="376" spans="1:7" hidden="1" x14ac:dyDescent="0.25">
      <c r="A376" s="24" t="s">
        <v>607</v>
      </c>
      <c r="B376" s="24" t="s">
        <v>27</v>
      </c>
      <c r="C376" s="24" t="s">
        <v>281</v>
      </c>
      <c r="D376" s="25">
        <v>18771</v>
      </c>
      <c r="E376" s="25">
        <v>486860</v>
      </c>
      <c r="F376" s="26">
        <v>56499</v>
      </c>
      <c r="G376" s="27">
        <v>11.604773</v>
      </c>
    </row>
    <row r="377" spans="1:7" hidden="1" x14ac:dyDescent="0.25">
      <c r="A377" s="24" t="s">
        <v>608</v>
      </c>
      <c r="B377" s="24" t="s">
        <v>27</v>
      </c>
      <c r="C377" s="24" t="s">
        <v>281</v>
      </c>
      <c r="D377" s="25">
        <v>206122</v>
      </c>
      <c r="E377" s="25">
        <v>3866234</v>
      </c>
      <c r="F377" s="26">
        <v>420036.4</v>
      </c>
      <c r="G377" s="27">
        <v>10.864226</v>
      </c>
    </row>
    <row r="378" spans="1:7" hidden="1" x14ac:dyDescent="0.25">
      <c r="A378" s="24" t="s">
        <v>609</v>
      </c>
      <c r="B378" s="24" t="s">
        <v>27</v>
      </c>
      <c r="C378" s="24" t="s">
        <v>281</v>
      </c>
      <c r="D378" s="25">
        <v>66354</v>
      </c>
      <c r="E378" s="25">
        <v>1198695</v>
      </c>
      <c r="F378" s="26">
        <v>122904.6</v>
      </c>
      <c r="G378" s="27">
        <v>10.2532</v>
      </c>
    </row>
    <row r="379" spans="1:7" hidden="1" x14ac:dyDescent="0.25">
      <c r="A379" s="24" t="s">
        <v>610</v>
      </c>
      <c r="B379" s="24" t="s">
        <v>27</v>
      </c>
      <c r="C379" s="24" t="s">
        <v>281</v>
      </c>
      <c r="D379" s="25">
        <v>79382</v>
      </c>
      <c r="E379" s="25">
        <v>1510244</v>
      </c>
      <c r="F379" s="26">
        <v>158379.9</v>
      </c>
      <c r="G379" s="27">
        <v>10.487041</v>
      </c>
    </row>
    <row r="380" spans="1:7" hidden="1" x14ac:dyDescent="0.25">
      <c r="A380" s="24" t="s">
        <v>611</v>
      </c>
      <c r="B380" s="24" t="s">
        <v>27</v>
      </c>
      <c r="C380" s="24" t="s">
        <v>385</v>
      </c>
      <c r="D380" s="25">
        <v>11948</v>
      </c>
      <c r="E380" s="25">
        <v>421176</v>
      </c>
      <c r="F380" s="26">
        <v>40630.6</v>
      </c>
      <c r="G380" s="27">
        <v>9.6469409000000006</v>
      </c>
    </row>
    <row r="381" spans="1:7" hidden="1" x14ac:dyDescent="0.25">
      <c r="A381" s="24" t="s">
        <v>612</v>
      </c>
      <c r="B381" s="24" t="s">
        <v>27</v>
      </c>
      <c r="C381" s="24" t="s">
        <v>283</v>
      </c>
      <c r="D381" s="25">
        <v>16802</v>
      </c>
      <c r="E381" s="25">
        <v>1679375</v>
      </c>
      <c r="F381" s="26">
        <v>115747</v>
      </c>
      <c r="G381" s="27">
        <v>6.8922664999999999</v>
      </c>
    </row>
    <row r="382" spans="1:7" hidden="1" x14ac:dyDescent="0.25">
      <c r="A382" s="24" t="s">
        <v>332</v>
      </c>
      <c r="B382" s="24" t="s">
        <v>27</v>
      </c>
      <c r="C382" s="24" t="s">
        <v>281</v>
      </c>
      <c r="D382" s="25">
        <v>34291</v>
      </c>
      <c r="E382" s="25">
        <v>658377</v>
      </c>
      <c r="F382" s="26">
        <v>80781.899999999994</v>
      </c>
      <c r="G382" s="27">
        <v>12.269855</v>
      </c>
    </row>
    <row r="383" spans="1:7" hidden="1" x14ac:dyDescent="0.25">
      <c r="A383" s="24" t="s">
        <v>613</v>
      </c>
      <c r="B383" s="24" t="s">
        <v>27</v>
      </c>
      <c r="C383" s="24" t="s">
        <v>281</v>
      </c>
      <c r="D383" s="25">
        <v>22900</v>
      </c>
      <c r="E383" s="25">
        <v>372254</v>
      </c>
      <c r="F383" s="26">
        <v>38750.199999999997</v>
      </c>
      <c r="G383" s="27">
        <v>10.409613</v>
      </c>
    </row>
    <row r="384" spans="1:7" hidden="1" x14ac:dyDescent="0.25">
      <c r="A384" s="24" t="s">
        <v>614</v>
      </c>
      <c r="B384" s="24" t="s">
        <v>27</v>
      </c>
      <c r="C384" s="24" t="s">
        <v>283</v>
      </c>
      <c r="D384" s="25">
        <v>5641</v>
      </c>
      <c r="E384" s="25">
        <v>174766</v>
      </c>
      <c r="F384" s="26">
        <v>21019</v>
      </c>
      <c r="G384" s="27">
        <v>12.026939</v>
      </c>
    </row>
    <row r="385" spans="1:7" hidden="1" x14ac:dyDescent="0.25">
      <c r="A385" s="24" t="s">
        <v>615</v>
      </c>
      <c r="B385" s="24" t="s">
        <v>27</v>
      </c>
      <c r="C385" s="24" t="s">
        <v>281</v>
      </c>
      <c r="D385" s="25">
        <v>85299</v>
      </c>
      <c r="E385" s="25">
        <v>1691329</v>
      </c>
      <c r="F385" s="26">
        <v>204888.7</v>
      </c>
      <c r="G385" s="27">
        <v>12.114065</v>
      </c>
    </row>
    <row r="386" spans="1:7" hidden="1" x14ac:dyDescent="0.25">
      <c r="A386" s="24" t="s">
        <v>616</v>
      </c>
      <c r="B386" s="24" t="s">
        <v>27</v>
      </c>
      <c r="C386" s="24" t="s">
        <v>283</v>
      </c>
      <c r="D386" s="25">
        <v>4623</v>
      </c>
      <c r="E386" s="25">
        <v>115998</v>
      </c>
      <c r="F386" s="26">
        <v>10377</v>
      </c>
      <c r="G386" s="27">
        <v>8.9458438999999998</v>
      </c>
    </row>
    <row r="387" spans="1:7" hidden="1" x14ac:dyDescent="0.25">
      <c r="A387" s="24" t="s">
        <v>617</v>
      </c>
      <c r="B387" s="24" t="s">
        <v>27</v>
      </c>
      <c r="C387" s="24" t="s">
        <v>278</v>
      </c>
      <c r="D387" s="25">
        <v>2501473</v>
      </c>
      <c r="E387" s="25">
        <v>82400878</v>
      </c>
      <c r="F387" s="26">
        <v>7737463.4000000004</v>
      </c>
      <c r="G387" s="27">
        <v>9.3900254000000007</v>
      </c>
    </row>
    <row r="388" spans="1:7" hidden="1" x14ac:dyDescent="0.25">
      <c r="A388" s="24" t="s">
        <v>618</v>
      </c>
      <c r="B388" s="24" t="s">
        <v>27</v>
      </c>
      <c r="C388" s="24" t="s">
        <v>281</v>
      </c>
      <c r="D388" s="25">
        <v>19767</v>
      </c>
      <c r="E388" s="25">
        <v>287124</v>
      </c>
      <c r="F388" s="26">
        <v>39768</v>
      </c>
      <c r="G388" s="27">
        <v>13.850462</v>
      </c>
    </row>
    <row r="389" spans="1:7" hidden="1" x14ac:dyDescent="0.25">
      <c r="A389" s="24" t="s">
        <v>619</v>
      </c>
      <c r="B389" s="24" t="s">
        <v>27</v>
      </c>
      <c r="C389" s="24" t="s">
        <v>281</v>
      </c>
      <c r="D389" s="25">
        <v>130295</v>
      </c>
      <c r="E389" s="25">
        <v>2666125</v>
      </c>
      <c r="F389" s="26">
        <v>253757</v>
      </c>
      <c r="G389" s="27">
        <v>9.5178208000000009</v>
      </c>
    </row>
    <row r="390" spans="1:7" hidden="1" x14ac:dyDescent="0.25">
      <c r="A390" s="24" t="s">
        <v>620</v>
      </c>
      <c r="B390" s="24" t="s">
        <v>27</v>
      </c>
      <c r="C390" s="24" t="s">
        <v>281</v>
      </c>
      <c r="D390" s="25">
        <v>34504</v>
      </c>
      <c r="E390" s="25">
        <v>491785</v>
      </c>
      <c r="F390" s="26">
        <v>63319</v>
      </c>
      <c r="G390" s="27">
        <v>12.875342</v>
      </c>
    </row>
    <row r="391" spans="1:7" hidden="1" x14ac:dyDescent="0.25">
      <c r="A391" s="24" t="s">
        <v>621</v>
      </c>
      <c r="B391" s="24" t="s">
        <v>27</v>
      </c>
      <c r="C391" s="24" t="s">
        <v>281</v>
      </c>
      <c r="D391" s="25">
        <v>36002</v>
      </c>
      <c r="E391" s="25">
        <v>546767</v>
      </c>
      <c r="F391" s="26">
        <v>69065</v>
      </c>
      <c r="G391" s="27">
        <v>12.631523</v>
      </c>
    </row>
    <row r="392" spans="1:7" hidden="1" x14ac:dyDescent="0.25">
      <c r="A392" s="24" t="s">
        <v>622</v>
      </c>
      <c r="B392" s="24" t="s">
        <v>27</v>
      </c>
      <c r="C392" s="24" t="s">
        <v>281</v>
      </c>
      <c r="D392" s="25">
        <v>394</v>
      </c>
      <c r="E392" s="25">
        <v>3004</v>
      </c>
      <c r="F392" s="26">
        <v>471</v>
      </c>
      <c r="G392" s="27">
        <v>15.679095</v>
      </c>
    </row>
    <row r="393" spans="1:7" hidden="1" x14ac:dyDescent="0.25">
      <c r="A393" s="24" t="s">
        <v>623</v>
      </c>
      <c r="B393" s="24" t="s">
        <v>27</v>
      </c>
      <c r="C393" s="24" t="s">
        <v>281</v>
      </c>
      <c r="D393" s="25">
        <v>12413</v>
      </c>
      <c r="E393" s="25">
        <v>188181</v>
      </c>
      <c r="F393" s="26">
        <v>26787.4</v>
      </c>
      <c r="G393" s="27">
        <v>14.234912</v>
      </c>
    </row>
    <row r="394" spans="1:7" hidden="1" x14ac:dyDescent="0.25">
      <c r="A394" s="24" t="s">
        <v>624</v>
      </c>
      <c r="B394" s="24" t="s">
        <v>27</v>
      </c>
      <c r="C394" s="24" t="s">
        <v>281</v>
      </c>
      <c r="D394" s="25">
        <v>225087</v>
      </c>
      <c r="E394" s="25">
        <v>5192316</v>
      </c>
      <c r="F394" s="26">
        <v>512576</v>
      </c>
      <c r="G394" s="27">
        <v>9.8718182999999993</v>
      </c>
    </row>
    <row r="395" spans="1:7" hidden="1" x14ac:dyDescent="0.25">
      <c r="A395" s="24" t="s">
        <v>625</v>
      </c>
      <c r="B395" s="24" t="s">
        <v>27</v>
      </c>
      <c r="C395" s="24" t="s">
        <v>281</v>
      </c>
      <c r="D395" s="25">
        <v>34114</v>
      </c>
      <c r="E395" s="25">
        <v>543219</v>
      </c>
      <c r="F395" s="26">
        <v>67017</v>
      </c>
      <c r="G395" s="27">
        <v>12.337013000000001</v>
      </c>
    </row>
    <row r="396" spans="1:7" hidden="1" x14ac:dyDescent="0.25">
      <c r="A396" s="24" t="s">
        <v>626</v>
      </c>
      <c r="B396" s="24" t="s">
        <v>27</v>
      </c>
      <c r="C396" s="24" t="s">
        <v>281</v>
      </c>
      <c r="D396" s="25">
        <v>11373</v>
      </c>
      <c r="E396" s="25">
        <v>179746</v>
      </c>
      <c r="F396" s="26">
        <v>22013.1</v>
      </c>
      <c r="G396" s="27">
        <v>12.246782</v>
      </c>
    </row>
    <row r="397" spans="1:7" hidden="1" x14ac:dyDescent="0.25">
      <c r="A397" s="24" t="s">
        <v>627</v>
      </c>
      <c r="B397" s="24" t="s">
        <v>27</v>
      </c>
      <c r="C397" s="24" t="s">
        <v>281</v>
      </c>
      <c r="D397" s="25">
        <v>8045</v>
      </c>
      <c r="E397" s="25">
        <v>134403</v>
      </c>
      <c r="F397" s="26">
        <v>18333</v>
      </c>
      <c r="G397" s="27">
        <v>13.640321</v>
      </c>
    </row>
    <row r="398" spans="1:7" hidden="1" x14ac:dyDescent="0.25">
      <c r="A398" s="24" t="s">
        <v>628</v>
      </c>
      <c r="B398" s="24" t="s">
        <v>27</v>
      </c>
      <c r="C398" s="24" t="s">
        <v>281</v>
      </c>
      <c r="D398" s="25">
        <v>25202</v>
      </c>
      <c r="E398" s="25">
        <v>432566</v>
      </c>
      <c r="F398" s="26">
        <v>59174.400000000001</v>
      </c>
      <c r="G398" s="27">
        <v>13.679855</v>
      </c>
    </row>
    <row r="399" spans="1:7" hidden="1" x14ac:dyDescent="0.25">
      <c r="A399" s="24" t="s">
        <v>629</v>
      </c>
      <c r="B399" s="24" t="s">
        <v>27</v>
      </c>
      <c r="C399" s="24" t="s">
        <v>283</v>
      </c>
      <c r="D399" s="25">
        <v>10023</v>
      </c>
      <c r="E399" s="25">
        <v>313410</v>
      </c>
      <c r="F399" s="26">
        <v>34213</v>
      </c>
      <c r="G399" s="27">
        <v>10.916372000000001</v>
      </c>
    </row>
    <row r="400" spans="1:7" hidden="1" x14ac:dyDescent="0.25">
      <c r="A400" s="24" t="s">
        <v>630</v>
      </c>
      <c r="B400" s="24" t="s">
        <v>27</v>
      </c>
      <c r="C400" s="24" t="s">
        <v>281</v>
      </c>
      <c r="D400" s="25">
        <v>99732</v>
      </c>
      <c r="E400" s="25">
        <v>2306810</v>
      </c>
      <c r="F400" s="26">
        <v>228717</v>
      </c>
      <c r="G400" s="27">
        <v>9.9148607999999996</v>
      </c>
    </row>
    <row r="401" spans="1:7" hidden="1" x14ac:dyDescent="0.25">
      <c r="A401" s="24" t="s">
        <v>631</v>
      </c>
      <c r="B401" s="24" t="s">
        <v>27</v>
      </c>
      <c r="C401" s="24" t="s">
        <v>281</v>
      </c>
      <c r="D401" s="25">
        <v>12157</v>
      </c>
      <c r="E401" s="25">
        <v>180691</v>
      </c>
      <c r="F401" s="26">
        <v>21345</v>
      </c>
      <c r="G401" s="27">
        <v>11.812984999999999</v>
      </c>
    </row>
    <row r="402" spans="1:7" hidden="1" x14ac:dyDescent="0.25">
      <c r="A402" s="24" t="s">
        <v>632</v>
      </c>
      <c r="B402" s="24" t="s">
        <v>27</v>
      </c>
      <c r="C402" s="24" t="s">
        <v>281</v>
      </c>
      <c r="D402" s="25">
        <v>12608</v>
      </c>
      <c r="E402" s="25">
        <v>261580</v>
      </c>
      <c r="F402" s="26">
        <v>28228.2</v>
      </c>
      <c r="G402" s="27">
        <v>10.791421</v>
      </c>
    </row>
    <row r="403" spans="1:7" hidden="1" x14ac:dyDescent="0.25">
      <c r="A403" s="24" t="s">
        <v>565</v>
      </c>
      <c r="B403" s="24" t="s">
        <v>27</v>
      </c>
      <c r="C403" s="24" t="s">
        <v>281</v>
      </c>
      <c r="D403" s="25">
        <v>26199</v>
      </c>
      <c r="E403" s="25">
        <v>384402</v>
      </c>
      <c r="F403" s="26">
        <v>48416.5</v>
      </c>
      <c r="G403" s="27">
        <v>12.595278</v>
      </c>
    </row>
    <row r="404" spans="1:7" hidden="1" x14ac:dyDescent="0.25">
      <c r="A404" s="24" t="s">
        <v>633</v>
      </c>
      <c r="B404" s="24" t="s">
        <v>27</v>
      </c>
      <c r="C404" s="24" t="s">
        <v>281</v>
      </c>
      <c r="D404" s="25">
        <v>16923</v>
      </c>
      <c r="E404" s="25">
        <v>262543</v>
      </c>
      <c r="F404" s="26">
        <v>33670</v>
      </c>
      <c r="G404" s="27">
        <v>12.824566000000001</v>
      </c>
    </row>
    <row r="405" spans="1:7" hidden="1" x14ac:dyDescent="0.25">
      <c r="A405" s="24" t="s">
        <v>634</v>
      </c>
      <c r="B405" s="24" t="s">
        <v>27</v>
      </c>
      <c r="C405" s="24" t="s">
        <v>281</v>
      </c>
      <c r="D405" s="25">
        <v>18382</v>
      </c>
      <c r="E405" s="25">
        <v>248511</v>
      </c>
      <c r="F405" s="26">
        <v>34754</v>
      </c>
      <c r="G405" s="27">
        <v>13.984894000000001</v>
      </c>
    </row>
    <row r="406" spans="1:7" hidden="1" x14ac:dyDescent="0.25">
      <c r="A406" s="24" t="s">
        <v>635</v>
      </c>
      <c r="B406" s="24" t="s">
        <v>27</v>
      </c>
      <c r="C406" s="24" t="s">
        <v>281</v>
      </c>
      <c r="D406" s="25">
        <v>55504</v>
      </c>
      <c r="E406" s="25">
        <v>1053174</v>
      </c>
      <c r="F406" s="26">
        <v>109170.2</v>
      </c>
      <c r="G406" s="27">
        <v>10.365826999999999</v>
      </c>
    </row>
    <row r="407" spans="1:7" hidden="1" x14ac:dyDescent="0.25">
      <c r="A407" s="24" t="s">
        <v>636</v>
      </c>
      <c r="B407" s="24" t="s">
        <v>27</v>
      </c>
      <c r="C407" s="24" t="s">
        <v>281</v>
      </c>
      <c r="D407" s="25">
        <v>176599</v>
      </c>
      <c r="E407" s="25">
        <v>3375948</v>
      </c>
      <c r="F407" s="26">
        <v>355047.2</v>
      </c>
      <c r="G407" s="27">
        <v>10.516963000000001</v>
      </c>
    </row>
    <row r="408" spans="1:7" hidden="1" x14ac:dyDescent="0.25">
      <c r="A408" s="24" t="s">
        <v>637</v>
      </c>
      <c r="B408" s="24" t="s">
        <v>27</v>
      </c>
      <c r="C408" s="24" t="s">
        <v>281</v>
      </c>
      <c r="D408" s="25">
        <v>8818</v>
      </c>
      <c r="E408" s="25">
        <v>173013</v>
      </c>
      <c r="F408" s="26">
        <v>20138.400000000001</v>
      </c>
      <c r="G408" s="27">
        <v>11.639818999999999</v>
      </c>
    </row>
    <row r="409" spans="1:7" hidden="1" x14ac:dyDescent="0.25">
      <c r="A409" s="24" t="s">
        <v>638</v>
      </c>
      <c r="B409" s="24" t="s">
        <v>27</v>
      </c>
      <c r="C409" s="24" t="s">
        <v>281</v>
      </c>
      <c r="D409" s="25">
        <v>97980</v>
      </c>
      <c r="E409" s="25">
        <v>1870027</v>
      </c>
      <c r="F409" s="26">
        <v>175769</v>
      </c>
      <c r="G409" s="27">
        <v>9.3992760999999998</v>
      </c>
    </row>
    <row r="410" spans="1:7" hidden="1" x14ac:dyDescent="0.25">
      <c r="A410" s="24" t="s">
        <v>639</v>
      </c>
      <c r="B410" s="24" t="s">
        <v>27</v>
      </c>
      <c r="C410" s="24" t="s">
        <v>281</v>
      </c>
      <c r="D410" s="25">
        <v>19197</v>
      </c>
      <c r="E410" s="25">
        <v>315047</v>
      </c>
      <c r="F410" s="26">
        <v>38707.5</v>
      </c>
      <c r="G410" s="27">
        <v>12.286262000000001</v>
      </c>
    </row>
    <row r="411" spans="1:7" hidden="1" x14ac:dyDescent="0.25">
      <c r="A411" s="24" t="s">
        <v>640</v>
      </c>
      <c r="B411" s="24" t="s">
        <v>27</v>
      </c>
      <c r="C411" s="24" t="s">
        <v>281</v>
      </c>
      <c r="D411" s="25">
        <v>20512</v>
      </c>
      <c r="E411" s="25">
        <v>344507</v>
      </c>
      <c r="F411" s="26">
        <v>45780</v>
      </c>
      <c r="G411" s="27">
        <v>13.288554</v>
      </c>
    </row>
    <row r="412" spans="1:7" hidden="1" x14ac:dyDescent="0.25">
      <c r="A412" s="24" t="s">
        <v>411</v>
      </c>
      <c r="B412" s="24" t="s">
        <v>27</v>
      </c>
      <c r="C412" s="24" t="s">
        <v>392</v>
      </c>
      <c r="D412" s="25">
        <v>2</v>
      </c>
      <c r="E412" s="25">
        <v>1412</v>
      </c>
      <c r="F412" s="26">
        <v>183.5</v>
      </c>
      <c r="G412" s="27">
        <v>12.995751</v>
      </c>
    </row>
    <row r="413" spans="1:7" hidden="1" x14ac:dyDescent="0.25">
      <c r="A413" s="24" t="s">
        <v>416</v>
      </c>
      <c r="B413" s="24" t="s">
        <v>27</v>
      </c>
      <c r="C413" s="24" t="s">
        <v>392</v>
      </c>
      <c r="D413" s="25">
        <v>5</v>
      </c>
      <c r="E413" s="25">
        <v>3344</v>
      </c>
      <c r="F413" s="26">
        <v>377</v>
      </c>
      <c r="G413" s="27">
        <v>11.273923</v>
      </c>
    </row>
    <row r="414" spans="1:7" hidden="1" x14ac:dyDescent="0.25">
      <c r="A414" s="24" t="s">
        <v>641</v>
      </c>
      <c r="B414" s="24" t="s">
        <v>27</v>
      </c>
      <c r="C414" s="24" t="s">
        <v>281</v>
      </c>
      <c r="D414" s="25">
        <v>15291</v>
      </c>
      <c r="E414" s="25">
        <v>214225</v>
      </c>
      <c r="F414" s="26">
        <v>31459</v>
      </c>
      <c r="G414" s="27">
        <v>14.685027</v>
      </c>
    </row>
    <row r="415" spans="1:7" hidden="1" x14ac:dyDescent="0.25">
      <c r="A415" s="24" t="s">
        <v>642</v>
      </c>
      <c r="B415" s="24" t="s">
        <v>27</v>
      </c>
      <c r="C415" s="24" t="s">
        <v>281</v>
      </c>
      <c r="D415" s="25">
        <v>21405</v>
      </c>
      <c r="E415" s="25">
        <v>352733</v>
      </c>
      <c r="F415" s="26">
        <v>40581.699999999997</v>
      </c>
      <c r="G415" s="27">
        <v>11.504934</v>
      </c>
    </row>
    <row r="416" spans="1:7" hidden="1" x14ac:dyDescent="0.25">
      <c r="A416" s="24" t="s">
        <v>643</v>
      </c>
      <c r="B416" s="24" t="s">
        <v>27</v>
      </c>
      <c r="C416" s="24" t="s">
        <v>281</v>
      </c>
      <c r="D416" s="25">
        <v>14285</v>
      </c>
      <c r="E416" s="25">
        <v>210943</v>
      </c>
      <c r="F416" s="26">
        <v>26448</v>
      </c>
      <c r="G416" s="27">
        <v>12.537984</v>
      </c>
    </row>
    <row r="417" spans="1:7" hidden="1" x14ac:dyDescent="0.25">
      <c r="A417" s="24" t="s">
        <v>644</v>
      </c>
      <c r="B417" s="24" t="s">
        <v>27</v>
      </c>
      <c r="C417" s="24" t="s">
        <v>281</v>
      </c>
      <c r="D417" s="25">
        <v>9102</v>
      </c>
      <c r="E417" s="25">
        <v>127448</v>
      </c>
      <c r="F417" s="26">
        <v>13861</v>
      </c>
      <c r="G417" s="27">
        <v>10.875807999999999</v>
      </c>
    </row>
    <row r="418" spans="1:7" hidden="1" x14ac:dyDescent="0.25">
      <c r="A418" s="24" t="s">
        <v>645</v>
      </c>
      <c r="B418" s="24" t="s">
        <v>27</v>
      </c>
      <c r="C418" s="24" t="s">
        <v>281</v>
      </c>
      <c r="D418" s="25">
        <v>127189</v>
      </c>
      <c r="E418" s="25">
        <v>2442111</v>
      </c>
      <c r="F418" s="26">
        <v>267369.59999999998</v>
      </c>
      <c r="G418" s="27">
        <v>10.948297999999999</v>
      </c>
    </row>
    <row r="419" spans="1:7" hidden="1" x14ac:dyDescent="0.25">
      <c r="A419" s="24" t="s">
        <v>646</v>
      </c>
      <c r="B419" s="24" t="s">
        <v>27</v>
      </c>
      <c r="C419" s="24" t="s">
        <v>281</v>
      </c>
      <c r="D419" s="25">
        <v>15469</v>
      </c>
      <c r="E419" s="25">
        <v>361368</v>
      </c>
      <c r="F419" s="26">
        <v>36529</v>
      </c>
      <c r="G419" s="27">
        <v>10.108532</v>
      </c>
    </row>
    <row r="420" spans="1:7" hidden="1" x14ac:dyDescent="0.25">
      <c r="A420" s="24" t="s">
        <v>400</v>
      </c>
      <c r="B420" s="24" t="s">
        <v>29</v>
      </c>
      <c r="C420" s="24" t="s">
        <v>392</v>
      </c>
      <c r="D420" s="25">
        <v>134</v>
      </c>
      <c r="E420" s="25">
        <v>972</v>
      </c>
      <c r="F420" s="26">
        <v>128</v>
      </c>
      <c r="G420" s="27">
        <v>13.168723999999999</v>
      </c>
    </row>
    <row r="421" spans="1:7" hidden="1" x14ac:dyDescent="0.25">
      <c r="A421" s="24" t="s">
        <v>647</v>
      </c>
      <c r="B421" s="24" t="s">
        <v>29</v>
      </c>
      <c r="C421" s="24" t="s">
        <v>278</v>
      </c>
      <c r="D421" s="25">
        <v>85391</v>
      </c>
      <c r="E421" s="25">
        <v>1046950</v>
      </c>
      <c r="F421" s="26">
        <v>331697.40000000002</v>
      </c>
      <c r="G421" s="27">
        <v>31.682258000000001</v>
      </c>
    </row>
    <row r="422" spans="1:7" hidden="1" x14ac:dyDescent="0.25">
      <c r="A422" s="24" t="s">
        <v>648</v>
      </c>
      <c r="B422" s="24" t="s">
        <v>29</v>
      </c>
      <c r="C422" s="24" t="s">
        <v>278</v>
      </c>
      <c r="D422" s="25">
        <v>304948</v>
      </c>
      <c r="E422" s="25">
        <v>6548697</v>
      </c>
      <c r="F422" s="26">
        <v>1592016</v>
      </c>
      <c r="G422" s="27">
        <v>24.310424000000001</v>
      </c>
    </row>
    <row r="423" spans="1:7" hidden="1" x14ac:dyDescent="0.25">
      <c r="A423" s="24" t="s">
        <v>649</v>
      </c>
      <c r="B423" s="24" t="s">
        <v>29</v>
      </c>
      <c r="C423" s="24" t="s">
        <v>281</v>
      </c>
      <c r="D423" s="25">
        <v>33586</v>
      </c>
      <c r="E423" s="25">
        <v>445098</v>
      </c>
      <c r="F423" s="26">
        <v>147375.79999999999</v>
      </c>
      <c r="G423" s="27">
        <v>33.110864999999997</v>
      </c>
    </row>
    <row r="424" spans="1:7" hidden="1" x14ac:dyDescent="0.25">
      <c r="A424" s="24" t="s">
        <v>401</v>
      </c>
      <c r="B424" s="24" t="s">
        <v>29</v>
      </c>
      <c r="C424" s="24" t="s">
        <v>392</v>
      </c>
      <c r="D424" s="25">
        <v>4</v>
      </c>
      <c r="E424" s="25">
        <v>471</v>
      </c>
      <c r="F424" s="26">
        <v>112.7</v>
      </c>
      <c r="G424" s="27">
        <v>23.927813</v>
      </c>
    </row>
    <row r="425" spans="1:7" hidden="1" x14ac:dyDescent="0.25">
      <c r="A425" s="24" t="s">
        <v>650</v>
      </c>
      <c r="B425" s="24" t="s">
        <v>29</v>
      </c>
      <c r="C425" s="24" t="s">
        <v>278</v>
      </c>
      <c r="D425" s="25">
        <v>71027</v>
      </c>
      <c r="E425" s="25">
        <v>1094786</v>
      </c>
      <c r="F425" s="26">
        <v>323881.59999999998</v>
      </c>
      <c r="G425" s="27">
        <v>29.584009999999999</v>
      </c>
    </row>
    <row r="426" spans="1:7" hidden="1" x14ac:dyDescent="0.25">
      <c r="A426" s="24" t="s">
        <v>408</v>
      </c>
      <c r="B426" s="24" t="s">
        <v>29</v>
      </c>
      <c r="C426" s="24" t="s">
        <v>392</v>
      </c>
      <c r="D426" s="25">
        <v>4273</v>
      </c>
      <c r="E426" s="25">
        <v>61652</v>
      </c>
      <c r="F426" s="26">
        <v>7728.9</v>
      </c>
      <c r="G426" s="27">
        <v>12.536333000000001</v>
      </c>
    </row>
    <row r="427" spans="1:7" hidden="1" x14ac:dyDescent="0.25">
      <c r="A427" s="24" t="s">
        <v>409</v>
      </c>
      <c r="B427" s="24" t="s">
        <v>29</v>
      </c>
      <c r="C427" s="24" t="s">
        <v>392</v>
      </c>
      <c r="D427" s="25">
        <v>174</v>
      </c>
      <c r="E427" s="25">
        <v>1997</v>
      </c>
      <c r="F427" s="26">
        <v>387</v>
      </c>
      <c r="G427" s="27">
        <v>19.379069000000001</v>
      </c>
    </row>
    <row r="428" spans="1:7" hidden="1" x14ac:dyDescent="0.25">
      <c r="A428" s="24" t="s">
        <v>411</v>
      </c>
      <c r="B428" s="24" t="s">
        <v>29</v>
      </c>
      <c r="C428" s="24" t="s">
        <v>392</v>
      </c>
      <c r="D428" s="25">
        <v>6</v>
      </c>
      <c r="E428" s="25">
        <v>1985</v>
      </c>
      <c r="F428" s="26">
        <v>437.9</v>
      </c>
      <c r="G428" s="27">
        <v>22.060452999999999</v>
      </c>
    </row>
    <row r="429" spans="1:7" hidden="1" x14ac:dyDescent="0.25">
      <c r="A429" s="24" t="s">
        <v>412</v>
      </c>
      <c r="B429" s="24" t="s">
        <v>29</v>
      </c>
      <c r="C429" s="24" t="s">
        <v>392</v>
      </c>
      <c r="D429" s="25">
        <v>180</v>
      </c>
      <c r="E429" s="25">
        <v>2081</v>
      </c>
      <c r="F429" s="26">
        <v>498.4</v>
      </c>
      <c r="G429" s="27">
        <v>23.950023999999999</v>
      </c>
    </row>
    <row r="430" spans="1:7" hidden="1" x14ac:dyDescent="0.25">
      <c r="A430" s="24" t="s">
        <v>413</v>
      </c>
      <c r="B430" s="24" t="s">
        <v>29</v>
      </c>
      <c r="C430" s="24" t="s">
        <v>392</v>
      </c>
      <c r="D430" s="25">
        <v>973</v>
      </c>
      <c r="E430" s="25">
        <v>9877</v>
      </c>
      <c r="F430" s="26">
        <v>2010.8</v>
      </c>
      <c r="G430" s="27">
        <v>20.358408000000001</v>
      </c>
    </row>
    <row r="431" spans="1:7" hidden="1" x14ac:dyDescent="0.25">
      <c r="A431" s="24" t="s">
        <v>414</v>
      </c>
      <c r="B431" s="24" t="s">
        <v>29</v>
      </c>
      <c r="C431" s="24" t="s">
        <v>392</v>
      </c>
      <c r="D431" s="25">
        <v>326</v>
      </c>
      <c r="E431" s="25">
        <v>3620</v>
      </c>
      <c r="F431" s="26">
        <v>760.9</v>
      </c>
      <c r="G431" s="27">
        <v>21.019337</v>
      </c>
    </row>
    <row r="432" spans="1:7" hidden="1" x14ac:dyDescent="0.25">
      <c r="A432" s="24" t="s">
        <v>415</v>
      </c>
      <c r="B432" s="24" t="s">
        <v>29</v>
      </c>
      <c r="C432" s="24" t="s">
        <v>392</v>
      </c>
      <c r="D432" s="25">
        <v>4220</v>
      </c>
      <c r="E432" s="25">
        <v>44094</v>
      </c>
      <c r="F432" s="26">
        <v>9079.5</v>
      </c>
      <c r="G432" s="27">
        <v>20.591237</v>
      </c>
    </row>
    <row r="433" spans="1:7" hidden="1" x14ac:dyDescent="0.25">
      <c r="A433" s="24" t="s">
        <v>416</v>
      </c>
      <c r="B433" s="24" t="s">
        <v>29</v>
      </c>
      <c r="C433" s="24" t="s">
        <v>392</v>
      </c>
      <c r="D433" s="25">
        <v>9</v>
      </c>
      <c r="E433" s="25">
        <v>758</v>
      </c>
      <c r="F433" s="26">
        <v>159</v>
      </c>
      <c r="G433" s="27">
        <v>20.976253</v>
      </c>
    </row>
    <row r="434" spans="1:7" hidden="1" x14ac:dyDescent="0.25">
      <c r="A434" s="24" t="s">
        <v>421</v>
      </c>
      <c r="B434" s="24" t="s">
        <v>29</v>
      </c>
      <c r="C434" s="24" t="s">
        <v>392</v>
      </c>
      <c r="D434" s="25">
        <v>4578</v>
      </c>
      <c r="E434" s="25">
        <v>39742</v>
      </c>
      <c r="F434" s="26">
        <v>8755.1</v>
      </c>
      <c r="G434" s="27">
        <v>22.029841999999999</v>
      </c>
    </row>
    <row r="435" spans="1:7" hidden="1" x14ac:dyDescent="0.25">
      <c r="A435" s="24" t="s">
        <v>651</v>
      </c>
      <c r="B435" s="24" t="s">
        <v>40</v>
      </c>
      <c r="C435" s="24" t="s">
        <v>281</v>
      </c>
      <c r="D435" s="25">
        <v>8878</v>
      </c>
      <c r="E435" s="25">
        <v>444616</v>
      </c>
      <c r="F435" s="26">
        <v>37215</v>
      </c>
      <c r="G435" s="27">
        <v>8.3701440999999992</v>
      </c>
    </row>
    <row r="436" spans="1:7" hidden="1" x14ac:dyDescent="0.25">
      <c r="A436" s="24" t="s">
        <v>652</v>
      </c>
      <c r="B436" s="24" t="s">
        <v>40</v>
      </c>
      <c r="C436" s="24" t="s">
        <v>281</v>
      </c>
      <c r="D436" s="25">
        <v>9971</v>
      </c>
      <c r="E436" s="25">
        <v>126114</v>
      </c>
      <c r="F436" s="26">
        <v>18427.599999999999</v>
      </c>
      <c r="G436" s="27">
        <v>14.611859000000001</v>
      </c>
    </row>
    <row r="437" spans="1:7" hidden="1" x14ac:dyDescent="0.25">
      <c r="A437" s="24" t="s">
        <v>653</v>
      </c>
      <c r="B437" s="24" t="s">
        <v>40</v>
      </c>
      <c r="C437" s="24" t="s">
        <v>278</v>
      </c>
      <c r="D437" s="25">
        <v>886</v>
      </c>
      <c r="E437" s="25">
        <v>99621</v>
      </c>
      <c r="F437" s="26">
        <v>7914</v>
      </c>
      <c r="G437" s="27">
        <v>7.9441081999999996</v>
      </c>
    </row>
    <row r="438" spans="1:7" hidden="1" x14ac:dyDescent="0.25">
      <c r="A438" s="24" t="s">
        <v>654</v>
      </c>
      <c r="B438" s="24" t="s">
        <v>40</v>
      </c>
      <c r="C438" s="24" t="s">
        <v>281</v>
      </c>
      <c r="D438" s="25">
        <v>1164</v>
      </c>
      <c r="E438" s="25">
        <v>16122</v>
      </c>
      <c r="F438" s="26">
        <v>2160</v>
      </c>
      <c r="G438" s="27">
        <v>13.397841</v>
      </c>
    </row>
    <row r="439" spans="1:7" hidden="1" x14ac:dyDescent="0.25">
      <c r="A439" s="24" t="s">
        <v>655</v>
      </c>
      <c r="B439" s="24" t="s">
        <v>40</v>
      </c>
      <c r="C439" s="24" t="s">
        <v>283</v>
      </c>
      <c r="D439" s="25">
        <v>4658</v>
      </c>
      <c r="E439" s="25">
        <v>108113</v>
      </c>
      <c r="F439" s="26">
        <v>8366</v>
      </c>
      <c r="G439" s="27">
        <v>7.7381998000000003</v>
      </c>
    </row>
    <row r="440" spans="1:7" hidden="1" x14ac:dyDescent="0.25">
      <c r="A440" s="24" t="s">
        <v>656</v>
      </c>
      <c r="B440" s="24" t="s">
        <v>40</v>
      </c>
      <c r="C440" s="24" t="s">
        <v>283</v>
      </c>
      <c r="D440" s="25">
        <v>11431</v>
      </c>
      <c r="E440" s="25">
        <v>838307</v>
      </c>
      <c r="F440" s="26">
        <v>57727.1</v>
      </c>
      <c r="G440" s="27">
        <v>6.8861527000000002</v>
      </c>
    </row>
    <row r="441" spans="1:7" hidden="1" x14ac:dyDescent="0.25">
      <c r="A441" s="24" t="s">
        <v>657</v>
      </c>
      <c r="B441" s="24" t="s">
        <v>40</v>
      </c>
      <c r="C441" s="24" t="s">
        <v>281</v>
      </c>
      <c r="D441" s="25">
        <v>5083</v>
      </c>
      <c r="E441" s="25">
        <v>203332</v>
      </c>
      <c r="F441" s="26">
        <v>22379.3</v>
      </c>
      <c r="G441" s="27">
        <v>11.006285</v>
      </c>
    </row>
    <row r="442" spans="1:7" hidden="1" x14ac:dyDescent="0.25">
      <c r="A442" s="24" t="s">
        <v>658</v>
      </c>
      <c r="B442" s="24" t="s">
        <v>40</v>
      </c>
      <c r="C442" s="24" t="s">
        <v>281</v>
      </c>
      <c r="D442" s="25">
        <v>1695</v>
      </c>
      <c r="E442" s="25">
        <v>34431</v>
      </c>
      <c r="F442" s="26">
        <v>4769</v>
      </c>
      <c r="G442" s="27">
        <v>13.85089</v>
      </c>
    </row>
    <row r="443" spans="1:7" hidden="1" x14ac:dyDescent="0.25">
      <c r="A443" s="24" t="s">
        <v>659</v>
      </c>
      <c r="B443" s="24" t="s">
        <v>40</v>
      </c>
      <c r="C443" s="24" t="s">
        <v>283</v>
      </c>
      <c r="D443" s="25">
        <v>19373</v>
      </c>
      <c r="E443" s="25">
        <v>482793</v>
      </c>
      <c r="F443" s="26">
        <v>38328.5</v>
      </c>
      <c r="G443" s="27">
        <v>7.9389095999999997</v>
      </c>
    </row>
    <row r="444" spans="1:7" hidden="1" x14ac:dyDescent="0.25">
      <c r="A444" s="24" t="s">
        <v>660</v>
      </c>
      <c r="B444" s="24" t="s">
        <v>40</v>
      </c>
      <c r="C444" s="24" t="s">
        <v>281</v>
      </c>
      <c r="D444" s="25">
        <v>5997</v>
      </c>
      <c r="E444" s="25">
        <v>89900</v>
      </c>
      <c r="F444" s="26">
        <v>10756</v>
      </c>
      <c r="G444" s="27">
        <v>11.964404999999999</v>
      </c>
    </row>
    <row r="445" spans="1:7" hidden="1" x14ac:dyDescent="0.25">
      <c r="A445" s="24" t="s">
        <v>661</v>
      </c>
      <c r="B445" s="24" t="s">
        <v>40</v>
      </c>
      <c r="C445" s="24" t="s">
        <v>283</v>
      </c>
      <c r="D445" s="25">
        <v>3730</v>
      </c>
      <c r="E445" s="25">
        <v>114097</v>
      </c>
      <c r="F445" s="26">
        <v>11375</v>
      </c>
      <c r="G445" s="27">
        <v>9.9695873000000006</v>
      </c>
    </row>
    <row r="446" spans="1:7" hidden="1" x14ac:dyDescent="0.25">
      <c r="A446" s="24" t="s">
        <v>662</v>
      </c>
      <c r="B446" s="24" t="s">
        <v>40</v>
      </c>
      <c r="C446" s="24" t="s">
        <v>283</v>
      </c>
      <c r="D446" s="25">
        <v>26437</v>
      </c>
      <c r="E446" s="25">
        <v>640964</v>
      </c>
      <c r="F446" s="26">
        <v>60180.3</v>
      </c>
      <c r="G446" s="27">
        <v>9.3890296000000006</v>
      </c>
    </row>
    <row r="447" spans="1:7" hidden="1" x14ac:dyDescent="0.25">
      <c r="A447" s="24" t="s">
        <v>663</v>
      </c>
      <c r="B447" s="24" t="s">
        <v>40</v>
      </c>
      <c r="C447" s="24" t="s">
        <v>283</v>
      </c>
      <c r="D447" s="25">
        <v>3292</v>
      </c>
      <c r="E447" s="25">
        <v>156817</v>
      </c>
      <c r="F447" s="26">
        <v>10612.6</v>
      </c>
      <c r="G447" s="27">
        <v>6.7675061000000003</v>
      </c>
    </row>
    <row r="448" spans="1:7" hidden="1" x14ac:dyDescent="0.25">
      <c r="A448" s="24" t="s">
        <v>664</v>
      </c>
      <c r="B448" s="24" t="s">
        <v>40</v>
      </c>
      <c r="C448" s="24" t="s">
        <v>283</v>
      </c>
      <c r="D448" s="25">
        <v>3271</v>
      </c>
      <c r="E448" s="25">
        <v>54537</v>
      </c>
      <c r="F448" s="26">
        <v>6430</v>
      </c>
      <c r="G448" s="27">
        <v>11.790160999999999</v>
      </c>
    </row>
    <row r="449" spans="1:7" hidden="1" x14ac:dyDescent="0.25">
      <c r="A449" s="24" t="s">
        <v>665</v>
      </c>
      <c r="B449" s="24" t="s">
        <v>40</v>
      </c>
      <c r="C449" s="24" t="s">
        <v>283</v>
      </c>
      <c r="D449" s="25">
        <v>2186</v>
      </c>
      <c r="E449" s="25">
        <v>60743</v>
      </c>
      <c r="F449" s="26">
        <v>5394</v>
      </c>
      <c r="G449" s="27">
        <v>8.8800355999999994</v>
      </c>
    </row>
    <row r="450" spans="1:7" hidden="1" x14ac:dyDescent="0.25">
      <c r="A450" s="24" t="s">
        <v>666</v>
      </c>
      <c r="B450" s="24" t="s">
        <v>40</v>
      </c>
      <c r="C450" s="24" t="s">
        <v>283</v>
      </c>
      <c r="D450" s="25">
        <v>523</v>
      </c>
      <c r="E450" s="25">
        <v>9355</v>
      </c>
      <c r="F450" s="26">
        <v>867.6</v>
      </c>
      <c r="G450" s="27">
        <v>9.2741848999999998</v>
      </c>
    </row>
    <row r="451" spans="1:7" hidden="1" x14ac:dyDescent="0.25">
      <c r="A451" s="24" t="s">
        <v>667</v>
      </c>
      <c r="B451" s="24" t="s">
        <v>40</v>
      </c>
      <c r="C451" s="24" t="s">
        <v>283</v>
      </c>
      <c r="D451" s="25">
        <v>1242</v>
      </c>
      <c r="E451" s="25">
        <v>44744</v>
      </c>
      <c r="F451" s="26">
        <v>4086.5</v>
      </c>
      <c r="G451" s="27">
        <v>9.1330680999999991</v>
      </c>
    </row>
    <row r="452" spans="1:7" hidden="1" x14ac:dyDescent="0.25">
      <c r="A452" s="24" t="s">
        <v>668</v>
      </c>
      <c r="B452" s="24" t="s">
        <v>40</v>
      </c>
      <c r="C452" s="24" t="s">
        <v>283</v>
      </c>
      <c r="D452" s="25">
        <v>1294</v>
      </c>
      <c r="E452" s="25">
        <v>25447</v>
      </c>
      <c r="F452" s="26">
        <v>2198</v>
      </c>
      <c r="G452" s="27">
        <v>8.6375603999999999</v>
      </c>
    </row>
    <row r="453" spans="1:7" hidden="1" x14ac:dyDescent="0.25">
      <c r="A453" s="24" t="s">
        <v>669</v>
      </c>
      <c r="B453" s="24" t="s">
        <v>40</v>
      </c>
      <c r="C453" s="24" t="s">
        <v>283</v>
      </c>
      <c r="D453" s="25">
        <v>374</v>
      </c>
      <c r="E453" s="25">
        <v>8852</v>
      </c>
      <c r="F453" s="26">
        <v>971.6</v>
      </c>
      <c r="G453" s="27">
        <v>10.976051</v>
      </c>
    </row>
    <row r="454" spans="1:7" hidden="1" x14ac:dyDescent="0.25">
      <c r="A454" s="24" t="s">
        <v>670</v>
      </c>
      <c r="B454" s="24" t="s">
        <v>40</v>
      </c>
      <c r="C454" s="24" t="s">
        <v>283</v>
      </c>
      <c r="D454" s="25">
        <v>3165</v>
      </c>
      <c r="E454" s="25">
        <v>75931</v>
      </c>
      <c r="F454" s="26">
        <v>8356.7999999999993</v>
      </c>
      <c r="G454" s="27">
        <v>11.005782</v>
      </c>
    </row>
    <row r="455" spans="1:7" hidden="1" x14ac:dyDescent="0.25">
      <c r="A455" s="24" t="s">
        <v>671</v>
      </c>
      <c r="B455" s="24" t="s">
        <v>40</v>
      </c>
      <c r="C455" s="24" t="s">
        <v>283</v>
      </c>
      <c r="D455" s="25">
        <v>1248</v>
      </c>
      <c r="E455" s="25">
        <v>23510</v>
      </c>
      <c r="F455" s="26">
        <v>2528.8000000000002</v>
      </c>
      <c r="G455" s="27">
        <v>10.756273999999999</v>
      </c>
    </row>
    <row r="456" spans="1:7" hidden="1" x14ac:dyDescent="0.25">
      <c r="A456" s="24" t="s">
        <v>672</v>
      </c>
      <c r="B456" s="24" t="s">
        <v>40</v>
      </c>
      <c r="C456" s="24" t="s">
        <v>283</v>
      </c>
      <c r="D456" s="25">
        <v>1092</v>
      </c>
      <c r="E456" s="25">
        <v>22170</v>
      </c>
      <c r="F456" s="26">
        <v>2279</v>
      </c>
      <c r="G456" s="27">
        <v>10.279657</v>
      </c>
    </row>
    <row r="457" spans="1:7" hidden="1" x14ac:dyDescent="0.25">
      <c r="A457" s="24" t="s">
        <v>673</v>
      </c>
      <c r="B457" s="24" t="s">
        <v>40</v>
      </c>
      <c r="C457" s="24" t="s">
        <v>283</v>
      </c>
      <c r="D457" s="25">
        <v>816</v>
      </c>
      <c r="E457" s="25">
        <v>24497</v>
      </c>
      <c r="F457" s="26">
        <v>2178</v>
      </c>
      <c r="G457" s="27">
        <v>8.8908845999999997</v>
      </c>
    </row>
    <row r="458" spans="1:7" hidden="1" x14ac:dyDescent="0.25">
      <c r="A458" s="24" t="s">
        <v>674</v>
      </c>
      <c r="B458" s="24" t="s">
        <v>40</v>
      </c>
      <c r="C458" s="24" t="s">
        <v>283</v>
      </c>
      <c r="D458" s="25">
        <v>751</v>
      </c>
      <c r="E458" s="25">
        <v>16157</v>
      </c>
      <c r="F458" s="26">
        <v>1537.6</v>
      </c>
      <c r="G458" s="27">
        <v>9.5166181999999999</v>
      </c>
    </row>
    <row r="459" spans="1:7" hidden="1" x14ac:dyDescent="0.25">
      <c r="A459" s="24" t="s">
        <v>675</v>
      </c>
      <c r="B459" s="24" t="s">
        <v>40</v>
      </c>
      <c r="C459" s="24" t="s">
        <v>283</v>
      </c>
      <c r="D459" s="25">
        <v>848</v>
      </c>
      <c r="E459" s="25">
        <v>36338</v>
      </c>
      <c r="F459" s="26">
        <v>2792</v>
      </c>
      <c r="G459" s="27">
        <v>7.6834167999999998</v>
      </c>
    </row>
    <row r="460" spans="1:7" hidden="1" x14ac:dyDescent="0.25">
      <c r="A460" s="24" t="s">
        <v>676</v>
      </c>
      <c r="B460" s="24" t="s">
        <v>40</v>
      </c>
      <c r="C460" s="24" t="s">
        <v>283</v>
      </c>
      <c r="D460" s="25">
        <v>3363</v>
      </c>
      <c r="E460" s="25">
        <v>68937</v>
      </c>
      <c r="F460" s="26">
        <v>8258.1</v>
      </c>
      <c r="G460" s="27">
        <v>11.979198</v>
      </c>
    </row>
    <row r="461" spans="1:7" hidden="1" x14ac:dyDescent="0.25">
      <c r="A461" s="24" t="s">
        <v>677</v>
      </c>
      <c r="B461" s="24" t="s">
        <v>40</v>
      </c>
      <c r="C461" s="24" t="s">
        <v>283</v>
      </c>
      <c r="D461" s="25">
        <v>1591</v>
      </c>
      <c r="E461" s="25">
        <v>29766</v>
      </c>
      <c r="F461" s="26">
        <v>3107</v>
      </c>
      <c r="G461" s="27">
        <v>10.438084</v>
      </c>
    </row>
    <row r="462" spans="1:7" hidden="1" x14ac:dyDescent="0.25">
      <c r="A462" s="24" t="s">
        <v>678</v>
      </c>
      <c r="B462" s="24" t="s">
        <v>40</v>
      </c>
      <c r="C462" s="24" t="s">
        <v>283</v>
      </c>
      <c r="D462" s="25">
        <v>956</v>
      </c>
      <c r="E462" s="25">
        <v>23073</v>
      </c>
      <c r="F462" s="26">
        <v>2191.9</v>
      </c>
      <c r="G462" s="27">
        <v>9.4998483</v>
      </c>
    </row>
    <row r="463" spans="1:7" hidden="1" x14ac:dyDescent="0.25">
      <c r="A463" s="24" t="s">
        <v>679</v>
      </c>
      <c r="B463" s="24" t="s">
        <v>40</v>
      </c>
      <c r="C463" s="24" t="s">
        <v>283</v>
      </c>
      <c r="D463" s="25">
        <v>4085</v>
      </c>
      <c r="E463" s="25">
        <v>69392</v>
      </c>
      <c r="F463" s="26">
        <v>8512.2999999999993</v>
      </c>
      <c r="G463" s="27">
        <v>12.266976</v>
      </c>
    </row>
    <row r="464" spans="1:7" hidden="1" x14ac:dyDescent="0.25">
      <c r="A464" s="24" t="s">
        <v>680</v>
      </c>
      <c r="B464" s="24" t="s">
        <v>40</v>
      </c>
      <c r="C464" s="24" t="s">
        <v>283</v>
      </c>
      <c r="D464" s="25">
        <v>2421</v>
      </c>
      <c r="E464" s="25">
        <v>56239</v>
      </c>
      <c r="F464" s="26">
        <v>4933</v>
      </c>
      <c r="G464" s="27">
        <v>8.7714931000000007</v>
      </c>
    </row>
    <row r="465" spans="1:7" hidden="1" x14ac:dyDescent="0.25">
      <c r="A465" s="24" t="s">
        <v>681</v>
      </c>
      <c r="B465" s="24" t="s">
        <v>40</v>
      </c>
      <c r="C465" s="24" t="s">
        <v>283</v>
      </c>
      <c r="D465" s="25">
        <v>1813</v>
      </c>
      <c r="E465" s="25">
        <v>29606</v>
      </c>
      <c r="F465" s="26">
        <v>2969.2</v>
      </c>
      <c r="G465" s="27">
        <v>10.029048</v>
      </c>
    </row>
    <row r="466" spans="1:7" hidden="1" x14ac:dyDescent="0.25">
      <c r="A466" s="24" t="s">
        <v>682</v>
      </c>
      <c r="B466" s="24" t="s">
        <v>40</v>
      </c>
      <c r="C466" s="24" t="s">
        <v>283</v>
      </c>
      <c r="D466" s="25">
        <v>2336</v>
      </c>
      <c r="E466" s="25">
        <v>84370</v>
      </c>
      <c r="F466" s="26">
        <v>7798</v>
      </c>
      <c r="G466" s="27">
        <v>9.2426218000000002</v>
      </c>
    </row>
    <row r="467" spans="1:7" hidden="1" x14ac:dyDescent="0.25">
      <c r="A467" s="24" t="s">
        <v>683</v>
      </c>
      <c r="B467" s="24" t="s">
        <v>40</v>
      </c>
      <c r="C467" s="24" t="s">
        <v>283</v>
      </c>
      <c r="D467" s="25">
        <v>2351</v>
      </c>
      <c r="E467" s="25">
        <v>51623</v>
      </c>
      <c r="F467" s="26">
        <v>4917.8</v>
      </c>
      <c r="G467" s="27">
        <v>9.5263738999999994</v>
      </c>
    </row>
    <row r="468" spans="1:7" hidden="1" x14ac:dyDescent="0.25">
      <c r="A468" s="24" t="s">
        <v>684</v>
      </c>
      <c r="B468" s="24" t="s">
        <v>40</v>
      </c>
      <c r="C468" s="24" t="s">
        <v>283</v>
      </c>
      <c r="D468" s="25">
        <v>4990</v>
      </c>
      <c r="E468" s="25">
        <v>186501</v>
      </c>
      <c r="F468" s="26">
        <v>17015.099999999999</v>
      </c>
      <c r="G468" s="27">
        <v>9.1233290999999994</v>
      </c>
    </row>
    <row r="469" spans="1:7" hidden="1" x14ac:dyDescent="0.25">
      <c r="A469" s="24" t="s">
        <v>685</v>
      </c>
      <c r="B469" s="24" t="s">
        <v>40</v>
      </c>
      <c r="C469" s="24" t="s">
        <v>283</v>
      </c>
      <c r="D469" s="25">
        <v>644</v>
      </c>
      <c r="E469" s="25">
        <v>7801</v>
      </c>
      <c r="F469" s="26">
        <v>1145.3</v>
      </c>
      <c r="G469" s="27">
        <v>14.681450999999999</v>
      </c>
    </row>
    <row r="470" spans="1:7" hidden="1" x14ac:dyDescent="0.25">
      <c r="A470" s="24" t="s">
        <v>686</v>
      </c>
      <c r="B470" s="24" t="s">
        <v>40</v>
      </c>
      <c r="C470" s="24" t="s">
        <v>283</v>
      </c>
      <c r="D470" s="25">
        <v>867</v>
      </c>
      <c r="E470" s="25">
        <v>16299</v>
      </c>
      <c r="F470" s="26">
        <v>1561</v>
      </c>
      <c r="G470" s="27">
        <v>9.5772747000000003</v>
      </c>
    </row>
    <row r="471" spans="1:7" hidden="1" x14ac:dyDescent="0.25">
      <c r="A471" s="24" t="s">
        <v>687</v>
      </c>
      <c r="B471" s="24" t="s">
        <v>40</v>
      </c>
      <c r="C471" s="24" t="s">
        <v>283</v>
      </c>
      <c r="D471" s="25">
        <v>715</v>
      </c>
      <c r="E471" s="25">
        <v>22172</v>
      </c>
      <c r="F471" s="26">
        <v>2067.1</v>
      </c>
      <c r="G471" s="27">
        <v>9.3230199999999996</v>
      </c>
    </row>
    <row r="472" spans="1:7" hidden="1" x14ac:dyDescent="0.25">
      <c r="A472" s="24" t="s">
        <v>688</v>
      </c>
      <c r="B472" s="24" t="s">
        <v>40</v>
      </c>
      <c r="C472" s="24" t="s">
        <v>283</v>
      </c>
      <c r="D472" s="25">
        <v>1725</v>
      </c>
      <c r="E472" s="25">
        <v>31466</v>
      </c>
      <c r="F472" s="26">
        <v>4814.8999999999996</v>
      </c>
      <c r="G472" s="27">
        <v>15.301913000000001</v>
      </c>
    </row>
    <row r="473" spans="1:7" hidden="1" x14ac:dyDescent="0.25">
      <c r="A473" s="24" t="s">
        <v>689</v>
      </c>
      <c r="B473" s="24" t="s">
        <v>40</v>
      </c>
      <c r="C473" s="24" t="s">
        <v>283</v>
      </c>
      <c r="D473" s="25">
        <v>1570</v>
      </c>
      <c r="E473" s="25">
        <v>32839</v>
      </c>
      <c r="F473" s="26">
        <v>2987</v>
      </c>
      <c r="G473" s="27">
        <v>9.0958921000000004</v>
      </c>
    </row>
    <row r="474" spans="1:7" hidden="1" x14ac:dyDescent="0.25">
      <c r="A474" s="24" t="s">
        <v>690</v>
      </c>
      <c r="B474" s="24" t="s">
        <v>40</v>
      </c>
      <c r="C474" s="24" t="s">
        <v>283</v>
      </c>
      <c r="D474" s="25">
        <v>2776</v>
      </c>
      <c r="E474" s="25">
        <v>121575</v>
      </c>
      <c r="F474" s="26">
        <v>10011</v>
      </c>
      <c r="G474" s="27">
        <v>8.2344232000000002</v>
      </c>
    </row>
    <row r="475" spans="1:7" hidden="1" x14ac:dyDescent="0.25">
      <c r="A475" s="24" t="s">
        <v>691</v>
      </c>
      <c r="B475" s="24" t="s">
        <v>40</v>
      </c>
      <c r="C475" s="24" t="s">
        <v>283</v>
      </c>
      <c r="D475" s="25">
        <v>6365</v>
      </c>
      <c r="E475" s="25">
        <v>143272</v>
      </c>
      <c r="F475" s="26">
        <v>12425</v>
      </c>
      <c r="G475" s="27">
        <v>8.6723155999999992</v>
      </c>
    </row>
    <row r="476" spans="1:7" hidden="1" x14ac:dyDescent="0.25">
      <c r="A476" s="24" t="s">
        <v>692</v>
      </c>
      <c r="B476" s="24" t="s">
        <v>40</v>
      </c>
      <c r="C476" s="24" t="s">
        <v>283</v>
      </c>
      <c r="D476" s="25">
        <v>1943</v>
      </c>
      <c r="E476" s="25">
        <v>57111</v>
      </c>
      <c r="F476" s="26">
        <v>5268.3</v>
      </c>
      <c r="G476" s="27">
        <v>9.2246678000000006</v>
      </c>
    </row>
    <row r="477" spans="1:7" hidden="1" x14ac:dyDescent="0.25">
      <c r="A477" s="24" t="s">
        <v>693</v>
      </c>
      <c r="B477" s="24" t="s">
        <v>40</v>
      </c>
      <c r="C477" s="24" t="s">
        <v>283</v>
      </c>
      <c r="D477" s="25">
        <v>1787</v>
      </c>
      <c r="E477" s="25">
        <v>31417</v>
      </c>
      <c r="F477" s="26">
        <v>3158</v>
      </c>
      <c r="G477" s="27">
        <v>10.051883</v>
      </c>
    </row>
    <row r="478" spans="1:7" hidden="1" x14ac:dyDescent="0.25">
      <c r="A478" s="24" t="s">
        <v>694</v>
      </c>
      <c r="B478" s="24" t="s">
        <v>40</v>
      </c>
      <c r="C478" s="24" t="s">
        <v>283</v>
      </c>
      <c r="D478" s="25">
        <v>2507</v>
      </c>
      <c r="E478" s="25">
        <v>38112</v>
      </c>
      <c r="F478" s="26">
        <v>4283</v>
      </c>
      <c r="G478" s="27">
        <v>11.23793</v>
      </c>
    </row>
    <row r="479" spans="1:7" hidden="1" x14ac:dyDescent="0.25">
      <c r="A479" s="24" t="s">
        <v>695</v>
      </c>
      <c r="B479" s="24" t="s">
        <v>40</v>
      </c>
      <c r="C479" s="24" t="s">
        <v>283</v>
      </c>
      <c r="D479" s="25">
        <v>4409</v>
      </c>
      <c r="E479" s="25">
        <v>96311</v>
      </c>
      <c r="F479" s="26">
        <v>10043</v>
      </c>
      <c r="G479" s="27">
        <v>10.427676999999999</v>
      </c>
    </row>
    <row r="480" spans="1:7" hidden="1" x14ac:dyDescent="0.25">
      <c r="A480" s="24" t="s">
        <v>696</v>
      </c>
      <c r="B480" s="24" t="s">
        <v>40</v>
      </c>
      <c r="C480" s="24" t="s">
        <v>283</v>
      </c>
      <c r="D480" s="25">
        <v>1571</v>
      </c>
      <c r="E480" s="25">
        <v>50596</v>
      </c>
      <c r="F480" s="26">
        <v>5049</v>
      </c>
      <c r="G480" s="27">
        <v>9.9790496999999991</v>
      </c>
    </row>
    <row r="481" spans="1:7" hidden="1" x14ac:dyDescent="0.25">
      <c r="A481" s="24" t="s">
        <v>697</v>
      </c>
      <c r="B481" s="24" t="s">
        <v>40</v>
      </c>
      <c r="C481" s="24" t="s">
        <v>283</v>
      </c>
      <c r="D481" s="25">
        <v>1527</v>
      </c>
      <c r="E481" s="25">
        <v>23339</v>
      </c>
      <c r="F481" s="26">
        <v>2484.8000000000002</v>
      </c>
      <c r="G481" s="27">
        <v>10.646557</v>
      </c>
    </row>
    <row r="482" spans="1:7" hidden="1" x14ac:dyDescent="0.25">
      <c r="A482" s="24" t="s">
        <v>698</v>
      </c>
      <c r="B482" s="24" t="s">
        <v>40</v>
      </c>
      <c r="C482" s="24" t="s">
        <v>283</v>
      </c>
      <c r="D482" s="25">
        <v>2663</v>
      </c>
      <c r="E482" s="25">
        <v>47136</v>
      </c>
      <c r="F482" s="26">
        <v>5307</v>
      </c>
      <c r="G482" s="27">
        <v>11.25891</v>
      </c>
    </row>
    <row r="483" spans="1:7" hidden="1" x14ac:dyDescent="0.25">
      <c r="A483" s="24" t="s">
        <v>699</v>
      </c>
      <c r="B483" s="24" t="s">
        <v>40</v>
      </c>
      <c r="C483" s="24" t="s">
        <v>281</v>
      </c>
      <c r="D483" s="25">
        <v>5335</v>
      </c>
      <c r="E483" s="25">
        <v>99620</v>
      </c>
      <c r="F483" s="26">
        <v>11978.5</v>
      </c>
      <c r="G483" s="27">
        <v>12.024191999999999</v>
      </c>
    </row>
    <row r="484" spans="1:7" hidden="1" x14ac:dyDescent="0.25">
      <c r="A484" s="24" t="s">
        <v>700</v>
      </c>
      <c r="B484" s="24" t="s">
        <v>40</v>
      </c>
      <c r="C484" s="24" t="s">
        <v>281</v>
      </c>
      <c r="D484" s="25">
        <v>6530</v>
      </c>
      <c r="E484" s="25">
        <v>132559</v>
      </c>
      <c r="F484" s="26">
        <v>17000</v>
      </c>
      <c r="G484" s="27">
        <v>12.824477999999999</v>
      </c>
    </row>
    <row r="485" spans="1:7" hidden="1" x14ac:dyDescent="0.25">
      <c r="A485" s="24" t="s">
        <v>701</v>
      </c>
      <c r="B485" s="24" t="s">
        <v>40</v>
      </c>
      <c r="C485" s="24" t="s">
        <v>281</v>
      </c>
      <c r="D485" s="25">
        <v>8772</v>
      </c>
      <c r="E485" s="25">
        <v>207928</v>
      </c>
      <c r="F485" s="26">
        <v>22060</v>
      </c>
      <c r="G485" s="27">
        <v>10.609442</v>
      </c>
    </row>
    <row r="486" spans="1:7" hidden="1" x14ac:dyDescent="0.25">
      <c r="A486" s="24" t="s">
        <v>702</v>
      </c>
      <c r="B486" s="24" t="s">
        <v>40</v>
      </c>
      <c r="C486" s="24" t="s">
        <v>281</v>
      </c>
      <c r="D486" s="25">
        <v>23662</v>
      </c>
      <c r="E486" s="25">
        <v>602702</v>
      </c>
      <c r="F486" s="26">
        <v>60862.9</v>
      </c>
      <c r="G486" s="27">
        <v>10.09834</v>
      </c>
    </row>
    <row r="487" spans="1:7" hidden="1" x14ac:dyDescent="0.25">
      <c r="A487" s="24" t="s">
        <v>703</v>
      </c>
      <c r="B487" s="24" t="s">
        <v>40</v>
      </c>
      <c r="C487" s="24" t="s">
        <v>283</v>
      </c>
      <c r="D487" s="25">
        <v>2639</v>
      </c>
      <c r="E487" s="25">
        <v>39360</v>
      </c>
      <c r="F487" s="26">
        <v>2977</v>
      </c>
      <c r="G487" s="27">
        <v>7.5635162999999999</v>
      </c>
    </row>
    <row r="488" spans="1:7" hidden="1" x14ac:dyDescent="0.25">
      <c r="A488" s="24" t="s">
        <v>704</v>
      </c>
      <c r="B488" s="24" t="s">
        <v>40</v>
      </c>
      <c r="C488" s="24" t="s">
        <v>281</v>
      </c>
      <c r="D488" s="25">
        <v>628</v>
      </c>
      <c r="E488" s="25">
        <v>17136</v>
      </c>
      <c r="F488" s="26">
        <v>2223</v>
      </c>
      <c r="G488" s="27">
        <v>12.972689000000001</v>
      </c>
    </row>
    <row r="489" spans="1:7" hidden="1" x14ac:dyDescent="0.25">
      <c r="A489" s="24" t="s">
        <v>705</v>
      </c>
      <c r="B489" s="24" t="s">
        <v>40</v>
      </c>
      <c r="C489" s="24" t="s">
        <v>281</v>
      </c>
      <c r="D489" s="25">
        <v>4786</v>
      </c>
      <c r="E489" s="25">
        <v>119937</v>
      </c>
      <c r="F489" s="26">
        <v>12626.5</v>
      </c>
      <c r="G489" s="27">
        <v>10.527609999999999</v>
      </c>
    </row>
    <row r="490" spans="1:7" hidden="1" x14ac:dyDescent="0.25">
      <c r="A490" s="24" t="s">
        <v>706</v>
      </c>
      <c r="B490" s="24" t="s">
        <v>40</v>
      </c>
      <c r="C490" s="24" t="s">
        <v>281</v>
      </c>
      <c r="D490" s="25">
        <v>63</v>
      </c>
      <c r="E490" s="25">
        <v>1183</v>
      </c>
      <c r="F490" s="26">
        <v>128.1</v>
      </c>
      <c r="G490" s="27">
        <v>10.828402000000001</v>
      </c>
    </row>
    <row r="491" spans="1:7" hidden="1" x14ac:dyDescent="0.25">
      <c r="A491" s="24" t="s">
        <v>707</v>
      </c>
      <c r="B491" s="24" t="s">
        <v>40</v>
      </c>
      <c r="C491" s="24" t="s">
        <v>281</v>
      </c>
      <c r="D491" s="25">
        <v>1927</v>
      </c>
      <c r="E491" s="25">
        <v>61497</v>
      </c>
      <c r="F491" s="26">
        <v>7274.5</v>
      </c>
      <c r="G491" s="27">
        <v>11.829032</v>
      </c>
    </row>
    <row r="492" spans="1:7" hidden="1" x14ac:dyDescent="0.25">
      <c r="A492" s="24" t="s">
        <v>708</v>
      </c>
      <c r="B492" s="24" t="s">
        <v>40</v>
      </c>
      <c r="C492" s="24" t="s">
        <v>281</v>
      </c>
      <c r="D492" s="25">
        <v>6</v>
      </c>
      <c r="E492" s="25">
        <v>95</v>
      </c>
      <c r="F492" s="26">
        <v>13</v>
      </c>
      <c r="G492" s="27">
        <v>13.684210999999999</v>
      </c>
    </row>
    <row r="493" spans="1:7" hidden="1" x14ac:dyDescent="0.25">
      <c r="A493" s="24" t="s">
        <v>709</v>
      </c>
      <c r="B493" s="24" t="s">
        <v>40</v>
      </c>
      <c r="C493" s="24" t="s">
        <v>283</v>
      </c>
      <c r="D493" s="25">
        <v>1521</v>
      </c>
      <c r="E493" s="25">
        <v>25162</v>
      </c>
      <c r="F493" s="26">
        <v>2408</v>
      </c>
      <c r="G493" s="27">
        <v>9.5699865000000006</v>
      </c>
    </row>
    <row r="494" spans="1:7" hidden="1" x14ac:dyDescent="0.25">
      <c r="A494" s="24" t="s">
        <v>710</v>
      </c>
      <c r="B494" s="24" t="s">
        <v>40</v>
      </c>
      <c r="C494" s="24" t="s">
        <v>281</v>
      </c>
      <c r="D494" s="25">
        <v>2252</v>
      </c>
      <c r="E494" s="25">
        <v>57983</v>
      </c>
      <c r="F494" s="26">
        <v>6913</v>
      </c>
      <c r="G494" s="27">
        <v>11.922459999999999</v>
      </c>
    </row>
    <row r="495" spans="1:7" hidden="1" x14ac:dyDescent="0.25">
      <c r="A495" s="24" t="s">
        <v>711</v>
      </c>
      <c r="B495" s="24" t="s">
        <v>40</v>
      </c>
      <c r="C495" s="24" t="s">
        <v>281</v>
      </c>
      <c r="D495" s="25">
        <v>236</v>
      </c>
      <c r="E495" s="25">
        <v>3018</v>
      </c>
      <c r="F495" s="26">
        <v>377.4</v>
      </c>
      <c r="G495" s="27">
        <v>12.50497</v>
      </c>
    </row>
    <row r="496" spans="1:7" hidden="1" x14ac:dyDescent="0.25">
      <c r="A496" s="24" t="s">
        <v>712</v>
      </c>
      <c r="B496" s="24" t="s">
        <v>40</v>
      </c>
      <c r="C496" s="24" t="s">
        <v>281</v>
      </c>
      <c r="D496" s="25">
        <v>4647</v>
      </c>
      <c r="E496" s="25">
        <v>162245</v>
      </c>
      <c r="F496" s="26">
        <v>13368.9</v>
      </c>
      <c r="G496" s="27">
        <v>8.2399457999999992</v>
      </c>
    </row>
    <row r="497" spans="1:7" hidden="1" x14ac:dyDescent="0.25">
      <c r="A497" s="24" t="s">
        <v>713</v>
      </c>
      <c r="B497" s="24" t="s">
        <v>40</v>
      </c>
      <c r="C497" s="24" t="s">
        <v>283</v>
      </c>
      <c r="D497" s="25">
        <v>2771</v>
      </c>
      <c r="E497" s="25">
        <v>54313</v>
      </c>
      <c r="F497" s="26">
        <v>5756</v>
      </c>
      <c r="G497" s="27">
        <v>10.597830999999999</v>
      </c>
    </row>
    <row r="498" spans="1:7" hidden="1" x14ac:dyDescent="0.25">
      <c r="A498" s="24" t="s">
        <v>714</v>
      </c>
      <c r="B498" s="24" t="s">
        <v>40</v>
      </c>
      <c r="C498" s="24" t="s">
        <v>281</v>
      </c>
      <c r="D498" s="25">
        <v>3752</v>
      </c>
      <c r="E498" s="25">
        <v>98722</v>
      </c>
      <c r="F498" s="26">
        <v>11145</v>
      </c>
      <c r="G498" s="27">
        <v>11.289277</v>
      </c>
    </row>
    <row r="499" spans="1:7" hidden="1" x14ac:dyDescent="0.25">
      <c r="A499" s="24" t="s">
        <v>715</v>
      </c>
      <c r="B499" s="24" t="s">
        <v>40</v>
      </c>
      <c r="C499" s="24" t="s">
        <v>281</v>
      </c>
      <c r="D499" s="25">
        <v>5187</v>
      </c>
      <c r="E499" s="25">
        <v>313099</v>
      </c>
      <c r="F499" s="26">
        <v>27895.1</v>
      </c>
      <c r="G499" s="27">
        <v>8.9093544999999992</v>
      </c>
    </row>
    <row r="500" spans="1:7" hidden="1" x14ac:dyDescent="0.25">
      <c r="A500" s="24" t="s">
        <v>716</v>
      </c>
      <c r="B500" s="24" t="s">
        <v>40</v>
      </c>
      <c r="C500" s="24" t="s">
        <v>283</v>
      </c>
      <c r="D500" s="25">
        <v>8014</v>
      </c>
      <c r="E500" s="25">
        <v>124408</v>
      </c>
      <c r="F500" s="26">
        <v>13511</v>
      </c>
      <c r="G500" s="27">
        <v>10.860234</v>
      </c>
    </row>
    <row r="501" spans="1:7" hidden="1" x14ac:dyDescent="0.25">
      <c r="A501" s="24" t="s">
        <v>717</v>
      </c>
      <c r="B501" s="24" t="s">
        <v>40</v>
      </c>
      <c r="C501" s="24" t="s">
        <v>278</v>
      </c>
      <c r="D501" s="25">
        <v>489605</v>
      </c>
      <c r="E501" s="25">
        <v>14393847</v>
      </c>
      <c r="F501" s="26">
        <v>1459624</v>
      </c>
      <c r="G501" s="27">
        <v>10.140611</v>
      </c>
    </row>
    <row r="502" spans="1:7" hidden="1" x14ac:dyDescent="0.25">
      <c r="A502" s="24" t="s">
        <v>718</v>
      </c>
      <c r="B502" s="24" t="s">
        <v>40</v>
      </c>
      <c r="C502" s="24" t="s">
        <v>281</v>
      </c>
      <c r="D502" s="25">
        <v>12660</v>
      </c>
      <c r="E502" s="25">
        <v>590437</v>
      </c>
      <c r="F502" s="26">
        <v>60998.1</v>
      </c>
      <c r="G502" s="27">
        <v>10.331009</v>
      </c>
    </row>
    <row r="503" spans="1:7" hidden="1" x14ac:dyDescent="0.25">
      <c r="A503" s="24" t="s">
        <v>719</v>
      </c>
      <c r="B503" s="24" t="s">
        <v>40</v>
      </c>
      <c r="C503" s="24" t="s">
        <v>281</v>
      </c>
      <c r="D503" s="25">
        <v>29024</v>
      </c>
      <c r="E503" s="25">
        <v>446389</v>
      </c>
      <c r="F503" s="26">
        <v>49265</v>
      </c>
      <c r="G503" s="27">
        <v>11.036338000000001</v>
      </c>
    </row>
    <row r="504" spans="1:7" hidden="1" x14ac:dyDescent="0.25">
      <c r="A504" s="24" t="s">
        <v>720</v>
      </c>
      <c r="B504" s="24" t="s">
        <v>40</v>
      </c>
      <c r="C504" s="24" t="s">
        <v>281</v>
      </c>
      <c r="D504" s="25">
        <v>2211</v>
      </c>
      <c r="E504" s="25">
        <v>107234</v>
      </c>
      <c r="F504" s="26">
        <v>10204</v>
      </c>
      <c r="G504" s="27">
        <v>9.5156387000000002</v>
      </c>
    </row>
    <row r="505" spans="1:7" hidden="1" x14ac:dyDescent="0.25">
      <c r="A505" s="24" t="s">
        <v>721</v>
      </c>
      <c r="B505" s="24" t="s">
        <v>40</v>
      </c>
      <c r="C505" s="24" t="s">
        <v>281</v>
      </c>
      <c r="D505" s="25">
        <v>16113</v>
      </c>
      <c r="E505" s="25">
        <v>278811</v>
      </c>
      <c r="F505" s="26">
        <v>31648.9</v>
      </c>
      <c r="G505" s="27">
        <v>11.351381</v>
      </c>
    </row>
    <row r="506" spans="1:7" hidden="1" x14ac:dyDescent="0.25">
      <c r="A506" s="24" t="s">
        <v>722</v>
      </c>
      <c r="B506" s="24" t="s">
        <v>40</v>
      </c>
      <c r="C506" s="24" t="s">
        <v>281</v>
      </c>
      <c r="D506" s="25">
        <v>6855</v>
      </c>
      <c r="E506" s="25">
        <v>201655</v>
      </c>
      <c r="F506" s="26">
        <v>24075.5</v>
      </c>
      <c r="G506" s="27">
        <v>11.938955</v>
      </c>
    </row>
    <row r="507" spans="1:7" hidden="1" x14ac:dyDescent="0.25">
      <c r="A507" s="24" t="s">
        <v>723</v>
      </c>
      <c r="B507" s="24" t="s">
        <v>40</v>
      </c>
      <c r="C507" s="24" t="s">
        <v>278</v>
      </c>
      <c r="D507" s="25">
        <v>680025</v>
      </c>
      <c r="E507" s="25">
        <v>22365098</v>
      </c>
      <c r="F507" s="26">
        <v>1613586.4</v>
      </c>
      <c r="G507" s="27">
        <v>7.2147522000000004</v>
      </c>
    </row>
    <row r="508" spans="1:7" hidden="1" x14ac:dyDescent="0.25">
      <c r="A508" s="24" t="s">
        <v>724</v>
      </c>
      <c r="B508" s="24" t="s">
        <v>40</v>
      </c>
      <c r="C508" s="24" t="s">
        <v>281</v>
      </c>
      <c r="D508" s="25">
        <v>11635</v>
      </c>
      <c r="E508" s="25">
        <v>460658</v>
      </c>
      <c r="F508" s="26">
        <v>48559</v>
      </c>
      <c r="G508" s="27">
        <v>10.541226</v>
      </c>
    </row>
    <row r="509" spans="1:7" hidden="1" x14ac:dyDescent="0.25">
      <c r="A509" s="24" t="s">
        <v>725</v>
      </c>
      <c r="B509" s="24" t="s">
        <v>40</v>
      </c>
      <c r="C509" s="24" t="s">
        <v>281</v>
      </c>
      <c r="D509" s="25">
        <v>3699</v>
      </c>
      <c r="E509" s="25">
        <v>176607</v>
      </c>
      <c r="F509" s="26">
        <v>17352.7</v>
      </c>
      <c r="G509" s="27">
        <v>9.8256014999999994</v>
      </c>
    </row>
    <row r="510" spans="1:7" hidden="1" x14ac:dyDescent="0.25">
      <c r="A510" s="24" t="s">
        <v>726</v>
      </c>
      <c r="B510" s="24" t="s">
        <v>40</v>
      </c>
      <c r="C510" s="24" t="s">
        <v>281</v>
      </c>
      <c r="D510" s="25">
        <v>12</v>
      </c>
      <c r="E510" s="25">
        <v>201</v>
      </c>
      <c r="F510" s="26">
        <v>23.3</v>
      </c>
      <c r="G510" s="27">
        <v>11.592040000000001</v>
      </c>
    </row>
    <row r="511" spans="1:7" hidden="1" x14ac:dyDescent="0.25">
      <c r="A511" s="24" t="s">
        <v>727</v>
      </c>
      <c r="B511" s="24" t="s">
        <v>40</v>
      </c>
      <c r="C511" s="24" t="s">
        <v>281</v>
      </c>
      <c r="D511" s="25">
        <v>9954</v>
      </c>
      <c r="E511" s="25">
        <v>683732</v>
      </c>
      <c r="F511" s="26">
        <v>53383.6</v>
      </c>
      <c r="G511" s="27">
        <v>7.8076790000000003</v>
      </c>
    </row>
    <row r="512" spans="1:7" hidden="1" x14ac:dyDescent="0.25">
      <c r="A512" s="24" t="s">
        <v>728</v>
      </c>
      <c r="B512" s="24" t="s">
        <v>40</v>
      </c>
      <c r="C512" s="24" t="s">
        <v>281</v>
      </c>
      <c r="D512" s="25">
        <v>1184</v>
      </c>
      <c r="E512" s="25">
        <v>71379</v>
      </c>
      <c r="F512" s="26">
        <v>7395.1</v>
      </c>
      <c r="G512" s="27">
        <v>10.360329999999999</v>
      </c>
    </row>
    <row r="513" spans="1:7" hidden="1" x14ac:dyDescent="0.25">
      <c r="A513" s="24" t="s">
        <v>729</v>
      </c>
      <c r="B513" s="24" t="s">
        <v>40</v>
      </c>
      <c r="C513" s="24" t="s">
        <v>281</v>
      </c>
      <c r="D513" s="25">
        <v>2963</v>
      </c>
      <c r="E513" s="25">
        <v>53649</v>
      </c>
      <c r="F513" s="26">
        <v>6906.6</v>
      </c>
      <c r="G513" s="27">
        <v>12.873678999999999</v>
      </c>
    </row>
    <row r="514" spans="1:7" hidden="1" x14ac:dyDescent="0.25">
      <c r="A514" s="24" t="s">
        <v>730</v>
      </c>
      <c r="B514" s="24" t="s">
        <v>40</v>
      </c>
      <c r="C514" s="24" t="s">
        <v>281</v>
      </c>
      <c r="D514" s="25">
        <v>125</v>
      </c>
      <c r="E514" s="25">
        <v>4801</v>
      </c>
      <c r="F514" s="26">
        <v>454</v>
      </c>
      <c r="G514" s="27">
        <v>9.4563632999999996</v>
      </c>
    </row>
    <row r="515" spans="1:7" hidden="1" x14ac:dyDescent="0.25">
      <c r="A515" s="24" t="s">
        <v>731</v>
      </c>
      <c r="B515" s="24" t="s">
        <v>40</v>
      </c>
      <c r="C515" s="24" t="s">
        <v>281</v>
      </c>
      <c r="D515" s="25">
        <v>4266</v>
      </c>
      <c r="E515" s="25">
        <v>274287</v>
      </c>
      <c r="F515" s="26">
        <v>26266.7</v>
      </c>
      <c r="G515" s="27">
        <v>9.5763561999999993</v>
      </c>
    </row>
    <row r="516" spans="1:7" hidden="1" x14ac:dyDescent="0.25">
      <c r="A516" s="24" t="s">
        <v>732</v>
      </c>
      <c r="B516" s="24" t="s">
        <v>40</v>
      </c>
      <c r="C516" s="24" t="s">
        <v>281</v>
      </c>
      <c r="D516" s="25">
        <v>2698</v>
      </c>
      <c r="E516" s="25">
        <v>134826</v>
      </c>
      <c r="F516" s="26">
        <v>14687</v>
      </c>
      <c r="G516" s="27">
        <v>10.8933</v>
      </c>
    </row>
    <row r="517" spans="1:7" hidden="1" x14ac:dyDescent="0.25">
      <c r="A517" s="24" t="s">
        <v>733</v>
      </c>
      <c r="B517" s="24" t="s">
        <v>40</v>
      </c>
      <c r="C517" s="24" t="s">
        <v>283</v>
      </c>
      <c r="D517" s="25">
        <v>1373</v>
      </c>
      <c r="E517" s="25">
        <v>27527</v>
      </c>
      <c r="F517" s="26">
        <v>2362.9</v>
      </c>
      <c r="G517" s="27">
        <v>8.5839358000000008</v>
      </c>
    </row>
    <row r="518" spans="1:7" hidden="1" x14ac:dyDescent="0.25">
      <c r="A518" s="24" t="s">
        <v>734</v>
      </c>
      <c r="B518" s="24" t="s">
        <v>40</v>
      </c>
      <c r="C518" s="24" t="s">
        <v>281</v>
      </c>
      <c r="D518" s="25">
        <v>4723</v>
      </c>
      <c r="E518" s="25">
        <v>73829</v>
      </c>
      <c r="F518" s="26">
        <v>10717</v>
      </c>
      <c r="G518" s="27">
        <v>14.515976</v>
      </c>
    </row>
    <row r="519" spans="1:7" hidden="1" x14ac:dyDescent="0.25">
      <c r="A519" s="24" t="s">
        <v>735</v>
      </c>
      <c r="B519" s="24" t="s">
        <v>40</v>
      </c>
      <c r="C519" s="24" t="s">
        <v>281</v>
      </c>
      <c r="D519" s="25">
        <v>5881</v>
      </c>
      <c r="E519" s="25">
        <v>99788</v>
      </c>
      <c r="F519" s="26">
        <v>11760.3</v>
      </c>
      <c r="G519" s="27">
        <v>11.785285</v>
      </c>
    </row>
    <row r="520" spans="1:7" hidden="1" x14ac:dyDescent="0.25">
      <c r="A520" s="24" t="s">
        <v>736</v>
      </c>
      <c r="B520" s="24" t="s">
        <v>40</v>
      </c>
      <c r="C520" s="24" t="s">
        <v>281</v>
      </c>
      <c r="D520" s="25">
        <v>6313</v>
      </c>
      <c r="E520" s="25">
        <v>149934</v>
      </c>
      <c r="F520" s="26">
        <v>15849.7</v>
      </c>
      <c r="G520" s="27">
        <v>10.571118</v>
      </c>
    </row>
    <row r="521" spans="1:7" hidden="1" x14ac:dyDescent="0.25">
      <c r="A521" s="24" t="s">
        <v>737</v>
      </c>
      <c r="B521" s="24" t="s">
        <v>40</v>
      </c>
      <c r="C521" s="24" t="s">
        <v>283</v>
      </c>
      <c r="D521" s="25">
        <v>485</v>
      </c>
      <c r="E521" s="25">
        <v>6866</v>
      </c>
      <c r="F521" s="26">
        <v>562</v>
      </c>
      <c r="G521" s="27">
        <v>8.1852607000000006</v>
      </c>
    </row>
    <row r="522" spans="1:7" hidden="1" x14ac:dyDescent="0.25">
      <c r="A522" s="24" t="s">
        <v>738</v>
      </c>
      <c r="B522" s="24" t="s">
        <v>40</v>
      </c>
      <c r="C522" s="24" t="s">
        <v>281</v>
      </c>
      <c r="D522" s="25">
        <v>537</v>
      </c>
      <c r="E522" s="25">
        <v>6936</v>
      </c>
      <c r="F522" s="26">
        <v>1125</v>
      </c>
      <c r="G522" s="27">
        <v>16.219722999999998</v>
      </c>
    </row>
    <row r="523" spans="1:7" hidden="1" x14ac:dyDescent="0.25">
      <c r="A523" s="24" t="s">
        <v>739</v>
      </c>
      <c r="B523" s="24" t="s">
        <v>40</v>
      </c>
      <c r="C523" s="24" t="s">
        <v>283</v>
      </c>
      <c r="D523" s="25">
        <v>5157</v>
      </c>
      <c r="E523" s="25">
        <v>138043</v>
      </c>
      <c r="F523" s="26">
        <v>14995.3</v>
      </c>
      <c r="G523" s="27">
        <v>10.862774999999999</v>
      </c>
    </row>
    <row r="524" spans="1:7" hidden="1" x14ac:dyDescent="0.25">
      <c r="A524" s="24" t="s">
        <v>740</v>
      </c>
      <c r="B524" s="24" t="s">
        <v>40</v>
      </c>
      <c r="C524" s="24" t="s">
        <v>281</v>
      </c>
      <c r="D524" s="25">
        <v>5519</v>
      </c>
      <c r="E524" s="25">
        <v>97517</v>
      </c>
      <c r="F524" s="26">
        <v>13773.1</v>
      </c>
      <c r="G524" s="27">
        <v>14.123794</v>
      </c>
    </row>
    <row r="525" spans="1:7" hidden="1" x14ac:dyDescent="0.25">
      <c r="A525" s="24" t="s">
        <v>741</v>
      </c>
      <c r="B525" s="24" t="s">
        <v>40</v>
      </c>
      <c r="C525" s="24" t="s">
        <v>281</v>
      </c>
      <c r="D525" s="25">
        <v>3323</v>
      </c>
      <c r="E525" s="25">
        <v>73124</v>
      </c>
      <c r="F525" s="26">
        <v>9203.1</v>
      </c>
      <c r="G525" s="27">
        <v>12.585608000000001</v>
      </c>
    </row>
    <row r="526" spans="1:7" hidden="1" x14ac:dyDescent="0.25">
      <c r="A526" s="24" t="s">
        <v>742</v>
      </c>
      <c r="B526" s="24" t="s">
        <v>32</v>
      </c>
      <c r="C526" s="24" t="s">
        <v>278</v>
      </c>
      <c r="D526" s="25">
        <v>131394</v>
      </c>
      <c r="E526" s="25">
        <v>3092420</v>
      </c>
      <c r="F526" s="26">
        <v>263727.40000000002</v>
      </c>
      <c r="G526" s="27">
        <v>8.5281883000000001</v>
      </c>
    </row>
    <row r="527" spans="1:7" hidden="1" x14ac:dyDescent="0.25">
      <c r="A527" s="24" t="s">
        <v>743</v>
      </c>
      <c r="B527" s="24" t="s">
        <v>32</v>
      </c>
      <c r="C527" s="24" t="s">
        <v>283</v>
      </c>
      <c r="D527" s="25">
        <v>4716</v>
      </c>
      <c r="E527" s="25">
        <v>119241</v>
      </c>
      <c r="F527" s="26">
        <v>8103.9</v>
      </c>
      <c r="G527" s="27">
        <v>6.7962362000000001</v>
      </c>
    </row>
    <row r="528" spans="1:7" hidden="1" x14ac:dyDescent="0.25">
      <c r="A528" s="24" t="s">
        <v>744</v>
      </c>
      <c r="B528" s="24" t="s">
        <v>32</v>
      </c>
      <c r="C528" s="24" t="s">
        <v>283</v>
      </c>
      <c r="D528" s="25">
        <v>27974</v>
      </c>
      <c r="E528" s="25">
        <v>690566</v>
      </c>
      <c r="F528" s="26">
        <v>45091.199999999997</v>
      </c>
      <c r="G528" s="27">
        <v>6.5296003999999996</v>
      </c>
    </row>
    <row r="529" spans="1:7" hidden="1" x14ac:dyDescent="0.25">
      <c r="A529" s="24" t="s">
        <v>745</v>
      </c>
      <c r="B529" s="24" t="s">
        <v>32</v>
      </c>
      <c r="C529" s="24" t="s">
        <v>283</v>
      </c>
      <c r="D529" s="25">
        <v>3065</v>
      </c>
      <c r="E529" s="25">
        <v>79051</v>
      </c>
      <c r="F529" s="26">
        <v>5298.2</v>
      </c>
      <c r="G529" s="27">
        <v>6.7022554999999997</v>
      </c>
    </row>
    <row r="530" spans="1:7" hidden="1" x14ac:dyDescent="0.25">
      <c r="A530" s="24" t="s">
        <v>746</v>
      </c>
      <c r="B530" s="24" t="s">
        <v>32</v>
      </c>
      <c r="C530" s="24" t="s">
        <v>281</v>
      </c>
      <c r="D530" s="25">
        <v>9501</v>
      </c>
      <c r="E530" s="25">
        <v>175984</v>
      </c>
      <c r="F530" s="26">
        <v>17195.599999999999</v>
      </c>
      <c r="G530" s="27">
        <v>9.7711155999999999</v>
      </c>
    </row>
    <row r="531" spans="1:7" hidden="1" x14ac:dyDescent="0.25">
      <c r="A531" s="24" t="s">
        <v>747</v>
      </c>
      <c r="B531" s="24" t="s">
        <v>32</v>
      </c>
      <c r="C531" s="24" t="s">
        <v>281</v>
      </c>
      <c r="D531" s="25">
        <v>14343</v>
      </c>
      <c r="E531" s="25">
        <v>252783</v>
      </c>
      <c r="F531" s="26">
        <v>24267</v>
      </c>
      <c r="G531" s="27">
        <v>9.5999335000000006</v>
      </c>
    </row>
    <row r="532" spans="1:7" hidden="1" x14ac:dyDescent="0.25">
      <c r="A532" s="24" t="s">
        <v>748</v>
      </c>
      <c r="B532" s="24" t="s">
        <v>32</v>
      </c>
      <c r="C532" s="24" t="s">
        <v>278</v>
      </c>
      <c r="D532" s="25">
        <v>520652</v>
      </c>
      <c r="E532" s="25">
        <v>13888788</v>
      </c>
      <c r="F532" s="26">
        <v>1162848.1000000001</v>
      </c>
      <c r="G532" s="27">
        <v>8.3725670999999995</v>
      </c>
    </row>
    <row r="533" spans="1:7" hidden="1" x14ac:dyDescent="0.25">
      <c r="A533" s="24" t="s">
        <v>749</v>
      </c>
      <c r="B533" s="24" t="s">
        <v>32</v>
      </c>
      <c r="C533" s="24" t="s">
        <v>281</v>
      </c>
      <c r="D533" s="25">
        <v>1754</v>
      </c>
      <c r="E533" s="25">
        <v>32121</v>
      </c>
      <c r="F533" s="26">
        <v>2536</v>
      </c>
      <c r="G533" s="27">
        <v>7.8951465000000001</v>
      </c>
    </row>
    <row r="534" spans="1:7" hidden="1" x14ac:dyDescent="0.25">
      <c r="A534" s="24" t="s">
        <v>750</v>
      </c>
      <c r="B534" s="24" t="s">
        <v>32</v>
      </c>
      <c r="C534" s="24" t="s">
        <v>281</v>
      </c>
      <c r="D534" s="25">
        <v>24578</v>
      </c>
      <c r="E534" s="25">
        <v>467196</v>
      </c>
      <c r="F534" s="26">
        <v>43438.400000000001</v>
      </c>
      <c r="G534" s="27">
        <v>9.2976823</v>
      </c>
    </row>
    <row r="535" spans="1:7" hidden="1" x14ac:dyDescent="0.25">
      <c r="A535" s="24" t="s">
        <v>751</v>
      </c>
      <c r="B535" s="24" t="s">
        <v>32</v>
      </c>
      <c r="C535" s="24" t="s">
        <v>281</v>
      </c>
      <c r="D535" s="25">
        <v>1728</v>
      </c>
      <c r="E535" s="25">
        <v>62518</v>
      </c>
      <c r="F535" s="26">
        <v>3115.6</v>
      </c>
      <c r="G535" s="27">
        <v>4.9835247000000003</v>
      </c>
    </row>
    <row r="536" spans="1:7" hidden="1" x14ac:dyDescent="0.25">
      <c r="A536" s="24" t="s">
        <v>752</v>
      </c>
      <c r="B536" s="24" t="s">
        <v>32</v>
      </c>
      <c r="C536" s="24" t="s">
        <v>281</v>
      </c>
      <c r="D536" s="25">
        <v>57</v>
      </c>
      <c r="E536" s="25">
        <v>1464</v>
      </c>
      <c r="F536" s="26">
        <v>138.80000000000001</v>
      </c>
      <c r="G536" s="27">
        <v>9.4808743</v>
      </c>
    </row>
    <row r="537" spans="1:7" hidden="1" x14ac:dyDescent="0.25">
      <c r="A537" s="24" t="s">
        <v>753</v>
      </c>
      <c r="B537" s="24" t="s">
        <v>32</v>
      </c>
      <c r="C537" s="24" t="s">
        <v>281</v>
      </c>
      <c r="D537" s="25">
        <v>15728</v>
      </c>
      <c r="E537" s="25">
        <v>255870</v>
      </c>
      <c r="F537" s="26">
        <v>25962</v>
      </c>
      <c r="G537" s="27">
        <v>10.146559</v>
      </c>
    </row>
    <row r="538" spans="1:7" hidden="1" x14ac:dyDescent="0.25">
      <c r="A538" s="24" t="s">
        <v>457</v>
      </c>
      <c r="B538" s="24" t="s">
        <v>32</v>
      </c>
      <c r="C538" s="24" t="s">
        <v>278</v>
      </c>
      <c r="D538" s="25">
        <v>77623</v>
      </c>
      <c r="E538" s="25">
        <v>3602666</v>
      </c>
      <c r="F538" s="26">
        <v>293281.40000000002</v>
      </c>
      <c r="G538" s="27">
        <v>8.1406769000000008</v>
      </c>
    </row>
    <row r="539" spans="1:7" hidden="1" x14ac:dyDescent="0.25">
      <c r="A539" s="24" t="s">
        <v>754</v>
      </c>
      <c r="B539" s="24" t="s">
        <v>32</v>
      </c>
      <c r="C539" s="24" t="s">
        <v>281</v>
      </c>
      <c r="D539" s="25">
        <v>2587</v>
      </c>
      <c r="E539" s="25">
        <v>194653</v>
      </c>
      <c r="F539" s="26">
        <v>11007</v>
      </c>
      <c r="G539" s="27">
        <v>5.6546778</v>
      </c>
    </row>
    <row r="540" spans="1:7" hidden="1" x14ac:dyDescent="0.25">
      <c r="A540" s="24" t="s">
        <v>755</v>
      </c>
      <c r="B540" s="24" t="s">
        <v>32</v>
      </c>
      <c r="C540" s="24" t="s">
        <v>281</v>
      </c>
      <c r="D540" s="25">
        <v>2773</v>
      </c>
      <c r="E540" s="25">
        <v>100661</v>
      </c>
      <c r="F540" s="26">
        <v>6828.5</v>
      </c>
      <c r="G540" s="27">
        <v>6.7836600000000002</v>
      </c>
    </row>
    <row r="541" spans="1:7" hidden="1" x14ac:dyDescent="0.25">
      <c r="A541" s="24" t="s">
        <v>756</v>
      </c>
      <c r="B541" s="24" t="s">
        <v>32</v>
      </c>
      <c r="C541" s="24" t="s">
        <v>281</v>
      </c>
      <c r="D541" s="25">
        <v>6372</v>
      </c>
      <c r="E541" s="25">
        <v>288917</v>
      </c>
      <c r="F541" s="26">
        <v>17162</v>
      </c>
      <c r="G541" s="27">
        <v>5.9401143000000003</v>
      </c>
    </row>
    <row r="542" spans="1:7" hidden="1" x14ac:dyDescent="0.25">
      <c r="A542" s="24" t="s">
        <v>757</v>
      </c>
      <c r="B542" s="24" t="s">
        <v>32</v>
      </c>
      <c r="C542" s="24" t="s">
        <v>281</v>
      </c>
      <c r="D542" s="25">
        <v>35</v>
      </c>
      <c r="E542" s="25">
        <v>126</v>
      </c>
      <c r="F542" s="26">
        <v>17.2</v>
      </c>
      <c r="G542" s="27">
        <v>13.650793999999999</v>
      </c>
    </row>
    <row r="543" spans="1:7" hidden="1" x14ac:dyDescent="0.25">
      <c r="A543" s="24" t="s">
        <v>758</v>
      </c>
      <c r="B543" s="24" t="s">
        <v>35</v>
      </c>
      <c r="C543" s="24" t="s">
        <v>281</v>
      </c>
      <c r="D543" s="25">
        <v>8825</v>
      </c>
      <c r="E543" s="25">
        <v>164358</v>
      </c>
      <c r="F543" s="26">
        <v>22070</v>
      </c>
      <c r="G543" s="27">
        <v>13.428005000000001</v>
      </c>
    </row>
    <row r="544" spans="1:7" hidden="1" x14ac:dyDescent="0.25">
      <c r="A544" s="24" t="s">
        <v>759</v>
      </c>
      <c r="B544" s="24" t="s">
        <v>35</v>
      </c>
      <c r="C544" s="24" t="s">
        <v>278</v>
      </c>
      <c r="D544" s="25">
        <v>497789</v>
      </c>
      <c r="E544" s="25">
        <v>8093784</v>
      </c>
      <c r="F544" s="26">
        <v>758380.4</v>
      </c>
      <c r="G544" s="27">
        <v>9.3699115000000006</v>
      </c>
    </row>
    <row r="545" spans="1:7" hidden="1" x14ac:dyDescent="0.25">
      <c r="A545" s="24" t="s">
        <v>760</v>
      </c>
      <c r="B545" s="24" t="s">
        <v>35</v>
      </c>
      <c r="C545" s="24" t="s">
        <v>283</v>
      </c>
      <c r="D545" s="25">
        <v>10929</v>
      </c>
      <c r="E545" s="25">
        <v>416903</v>
      </c>
      <c r="F545" s="26">
        <v>46984.7</v>
      </c>
      <c r="G545" s="27">
        <v>11.269936</v>
      </c>
    </row>
    <row r="546" spans="1:7" hidden="1" x14ac:dyDescent="0.25">
      <c r="A546" s="24" t="s">
        <v>761</v>
      </c>
      <c r="B546" s="24" t="s">
        <v>35</v>
      </c>
      <c r="C546" s="24" t="s">
        <v>283</v>
      </c>
      <c r="D546" s="25">
        <v>2808</v>
      </c>
      <c r="E546" s="25">
        <v>114607</v>
      </c>
      <c r="F546" s="26">
        <v>13039</v>
      </c>
      <c r="G546" s="27">
        <v>11.377141</v>
      </c>
    </row>
    <row r="547" spans="1:7" hidden="1" x14ac:dyDescent="0.25">
      <c r="A547" s="24" t="s">
        <v>762</v>
      </c>
      <c r="B547" s="24" t="s">
        <v>35</v>
      </c>
      <c r="C547" s="24" t="s">
        <v>283</v>
      </c>
      <c r="D547" s="25">
        <v>10952</v>
      </c>
      <c r="E547" s="25">
        <v>386897</v>
      </c>
      <c r="F547" s="26">
        <v>40048</v>
      </c>
      <c r="G547" s="27">
        <v>10.351075</v>
      </c>
    </row>
    <row r="548" spans="1:7" hidden="1" x14ac:dyDescent="0.25">
      <c r="A548" s="24" t="s">
        <v>763</v>
      </c>
      <c r="B548" s="24" t="s">
        <v>35</v>
      </c>
      <c r="C548" s="24" t="s">
        <v>283</v>
      </c>
      <c r="D548" s="25">
        <v>6648</v>
      </c>
      <c r="E548" s="25">
        <v>122011</v>
      </c>
      <c r="F548" s="26">
        <v>13969.4</v>
      </c>
      <c r="G548" s="27">
        <v>11.449296</v>
      </c>
    </row>
    <row r="549" spans="1:7" hidden="1" x14ac:dyDescent="0.25">
      <c r="A549" s="24" t="s">
        <v>764</v>
      </c>
      <c r="B549" s="24" t="s">
        <v>35</v>
      </c>
      <c r="C549" s="24" t="s">
        <v>283</v>
      </c>
      <c r="D549" s="25">
        <v>59424</v>
      </c>
      <c r="E549" s="25">
        <v>1317879</v>
      </c>
      <c r="F549" s="26">
        <v>155134.29999999999</v>
      </c>
      <c r="G549" s="27">
        <v>11.771513000000001</v>
      </c>
    </row>
    <row r="550" spans="1:7" hidden="1" x14ac:dyDescent="0.25">
      <c r="A550" s="24" t="s">
        <v>765</v>
      </c>
      <c r="B550" s="24" t="s">
        <v>35</v>
      </c>
      <c r="C550" s="24" t="s">
        <v>283</v>
      </c>
      <c r="D550" s="25">
        <v>5859</v>
      </c>
      <c r="E550" s="25">
        <v>251001</v>
      </c>
      <c r="F550" s="26">
        <v>25263</v>
      </c>
      <c r="G550" s="27">
        <v>10.0649</v>
      </c>
    </row>
    <row r="551" spans="1:7" hidden="1" x14ac:dyDescent="0.25">
      <c r="A551" s="24" t="s">
        <v>766</v>
      </c>
      <c r="B551" s="24" t="s">
        <v>35</v>
      </c>
      <c r="C551" s="24" t="s">
        <v>283</v>
      </c>
      <c r="D551" s="25">
        <v>4539</v>
      </c>
      <c r="E551" s="25">
        <v>95588</v>
      </c>
      <c r="F551" s="26">
        <v>9814</v>
      </c>
      <c r="G551" s="27">
        <v>10.266978999999999</v>
      </c>
    </row>
    <row r="552" spans="1:7" hidden="1" x14ac:dyDescent="0.25">
      <c r="A552" s="24" t="s">
        <v>767</v>
      </c>
      <c r="B552" s="24" t="s">
        <v>35</v>
      </c>
      <c r="C552" s="24" t="s">
        <v>283</v>
      </c>
      <c r="D552" s="25">
        <v>71376</v>
      </c>
      <c r="E552" s="25">
        <v>1666960</v>
      </c>
      <c r="F552" s="26">
        <v>214665.9</v>
      </c>
      <c r="G552" s="27">
        <v>12.877687999999999</v>
      </c>
    </row>
    <row r="553" spans="1:7" hidden="1" x14ac:dyDescent="0.25">
      <c r="A553" s="24" t="s">
        <v>768</v>
      </c>
      <c r="B553" s="24" t="s">
        <v>35</v>
      </c>
      <c r="C553" s="24" t="s">
        <v>283</v>
      </c>
      <c r="D553" s="25">
        <v>15629</v>
      </c>
      <c r="E553" s="25">
        <v>510934</v>
      </c>
      <c r="F553" s="26">
        <v>59547.8</v>
      </c>
      <c r="G553" s="27">
        <v>11.654695</v>
      </c>
    </row>
    <row r="554" spans="1:7" hidden="1" x14ac:dyDescent="0.25">
      <c r="A554" s="24" t="s">
        <v>769</v>
      </c>
      <c r="B554" s="24" t="s">
        <v>35</v>
      </c>
      <c r="C554" s="24" t="s">
        <v>281</v>
      </c>
      <c r="D554" s="25">
        <v>6000</v>
      </c>
      <c r="E554" s="25">
        <v>136066</v>
      </c>
      <c r="F554" s="26">
        <v>16387</v>
      </c>
      <c r="G554" s="27">
        <v>12.043419999999999</v>
      </c>
    </row>
    <row r="555" spans="1:7" hidden="1" x14ac:dyDescent="0.25">
      <c r="A555" s="24" t="s">
        <v>770</v>
      </c>
      <c r="B555" s="24" t="s">
        <v>35</v>
      </c>
      <c r="C555" s="24" t="s">
        <v>281</v>
      </c>
      <c r="D555" s="25">
        <v>9620</v>
      </c>
      <c r="E555" s="25">
        <v>195571</v>
      </c>
      <c r="F555" s="26">
        <v>24823</v>
      </c>
      <c r="G555" s="27">
        <v>12.692577</v>
      </c>
    </row>
    <row r="556" spans="1:7" hidden="1" x14ac:dyDescent="0.25">
      <c r="A556" s="24" t="s">
        <v>771</v>
      </c>
      <c r="B556" s="24" t="s">
        <v>35</v>
      </c>
      <c r="C556" s="24" t="s">
        <v>278</v>
      </c>
      <c r="D556" s="25">
        <v>2589987</v>
      </c>
      <c r="E556" s="25">
        <v>25783309</v>
      </c>
      <c r="F556" s="26">
        <v>2969046.5</v>
      </c>
      <c r="G556" s="27">
        <v>11.515382000000001</v>
      </c>
    </row>
    <row r="557" spans="1:7" hidden="1" x14ac:dyDescent="0.25">
      <c r="A557" s="24" t="s">
        <v>772</v>
      </c>
      <c r="B557" s="24" t="s">
        <v>35</v>
      </c>
      <c r="C557" s="24" t="s">
        <v>281</v>
      </c>
      <c r="D557" s="25">
        <v>35887</v>
      </c>
      <c r="E557" s="25">
        <v>633819</v>
      </c>
      <c r="F557" s="26">
        <v>77096.399999999994</v>
      </c>
      <c r="G557" s="27">
        <v>12.163788</v>
      </c>
    </row>
    <row r="558" spans="1:7" hidden="1" x14ac:dyDescent="0.25">
      <c r="A558" s="24" t="s">
        <v>773</v>
      </c>
      <c r="B558" s="24" t="s">
        <v>35</v>
      </c>
      <c r="C558" s="24" t="s">
        <v>281</v>
      </c>
      <c r="D558" s="25">
        <v>13513</v>
      </c>
      <c r="E558" s="25">
        <v>233910</v>
      </c>
      <c r="F558" s="26">
        <v>34219</v>
      </c>
      <c r="G558" s="27">
        <v>14.629130999999999</v>
      </c>
    </row>
    <row r="559" spans="1:7" hidden="1" x14ac:dyDescent="0.25">
      <c r="A559" s="24" t="s">
        <v>774</v>
      </c>
      <c r="B559" s="24" t="s">
        <v>35</v>
      </c>
      <c r="C559" s="24" t="s">
        <v>281</v>
      </c>
      <c r="D559" s="25">
        <v>14988</v>
      </c>
      <c r="E559" s="25">
        <v>333771</v>
      </c>
      <c r="F559" s="26">
        <v>39034</v>
      </c>
      <c r="G559" s="27">
        <v>11.694845000000001</v>
      </c>
    </row>
    <row r="560" spans="1:7" hidden="1" x14ac:dyDescent="0.25">
      <c r="A560" s="24" t="s">
        <v>775</v>
      </c>
      <c r="B560" s="24" t="s">
        <v>35</v>
      </c>
      <c r="C560" s="24" t="s">
        <v>281</v>
      </c>
      <c r="D560" s="25">
        <v>10339</v>
      </c>
      <c r="E560" s="25">
        <v>173998</v>
      </c>
      <c r="F560" s="26">
        <v>29379</v>
      </c>
      <c r="G560" s="27">
        <v>16.884677</v>
      </c>
    </row>
    <row r="561" spans="1:7" hidden="1" x14ac:dyDescent="0.25">
      <c r="A561" s="24" t="s">
        <v>776</v>
      </c>
      <c r="B561" s="24" t="s">
        <v>35</v>
      </c>
      <c r="C561" s="24" t="s">
        <v>281</v>
      </c>
      <c r="D561" s="25">
        <v>20968</v>
      </c>
      <c r="E561" s="25">
        <v>528613</v>
      </c>
      <c r="F561" s="26">
        <v>57601.5</v>
      </c>
      <c r="G561" s="27">
        <v>10.896724000000001</v>
      </c>
    </row>
    <row r="562" spans="1:7" hidden="1" x14ac:dyDescent="0.25">
      <c r="A562" s="24" t="s">
        <v>777</v>
      </c>
      <c r="B562" s="24" t="s">
        <v>35</v>
      </c>
      <c r="C562" s="24" t="s">
        <v>281</v>
      </c>
      <c r="D562" s="25">
        <v>9343</v>
      </c>
      <c r="E562" s="25">
        <v>127239</v>
      </c>
      <c r="F562" s="26">
        <v>18987.3</v>
      </c>
      <c r="G562" s="27">
        <v>14.922547</v>
      </c>
    </row>
    <row r="563" spans="1:7" hidden="1" x14ac:dyDescent="0.25">
      <c r="A563" s="24" t="s">
        <v>778</v>
      </c>
      <c r="B563" s="24" t="s">
        <v>35</v>
      </c>
      <c r="C563" s="24" t="s">
        <v>281</v>
      </c>
      <c r="D563" s="25">
        <v>10878</v>
      </c>
      <c r="E563" s="25">
        <v>205228</v>
      </c>
      <c r="F563" s="26">
        <v>28389.1</v>
      </c>
      <c r="G563" s="27">
        <v>13.832957</v>
      </c>
    </row>
    <row r="564" spans="1:7" hidden="1" x14ac:dyDescent="0.25">
      <c r="A564" s="24" t="s">
        <v>723</v>
      </c>
      <c r="B564" s="24" t="s">
        <v>35</v>
      </c>
      <c r="C564" s="24" t="s">
        <v>278</v>
      </c>
      <c r="D564" s="25">
        <v>85028</v>
      </c>
      <c r="E564" s="25">
        <v>1891042</v>
      </c>
      <c r="F564" s="26">
        <v>157819</v>
      </c>
      <c r="G564" s="27">
        <v>8.3456104999999994</v>
      </c>
    </row>
    <row r="565" spans="1:7" hidden="1" x14ac:dyDescent="0.25">
      <c r="A565" s="24" t="s">
        <v>779</v>
      </c>
      <c r="B565" s="24" t="s">
        <v>35</v>
      </c>
      <c r="C565" s="24" t="s">
        <v>281</v>
      </c>
      <c r="D565" s="25">
        <v>7329</v>
      </c>
      <c r="E565" s="25">
        <v>112965</v>
      </c>
      <c r="F565" s="26">
        <v>16236</v>
      </c>
      <c r="G565" s="27">
        <v>14.372593</v>
      </c>
    </row>
    <row r="566" spans="1:7" hidden="1" x14ac:dyDescent="0.25">
      <c r="A566" s="24" t="s">
        <v>780</v>
      </c>
      <c r="B566" s="24" t="s">
        <v>35</v>
      </c>
      <c r="C566" s="24" t="s">
        <v>278</v>
      </c>
      <c r="D566" s="25">
        <v>5381</v>
      </c>
      <c r="E566" s="25">
        <v>91713</v>
      </c>
      <c r="F566" s="26">
        <v>12739.2</v>
      </c>
      <c r="G566" s="27">
        <v>13.890288</v>
      </c>
    </row>
    <row r="567" spans="1:7" hidden="1" x14ac:dyDescent="0.25">
      <c r="A567" s="24" t="s">
        <v>781</v>
      </c>
      <c r="B567" s="24" t="s">
        <v>35</v>
      </c>
      <c r="C567" s="24" t="s">
        <v>281</v>
      </c>
      <c r="D567" s="25">
        <v>19772</v>
      </c>
      <c r="E567" s="25">
        <v>347259</v>
      </c>
      <c r="F567" s="26">
        <v>46516.4</v>
      </c>
      <c r="G567" s="27">
        <v>13.395303999999999</v>
      </c>
    </row>
    <row r="568" spans="1:7" hidden="1" x14ac:dyDescent="0.25">
      <c r="A568" s="24" t="s">
        <v>782</v>
      </c>
      <c r="B568" s="24" t="s">
        <v>35</v>
      </c>
      <c r="C568" s="24" t="s">
        <v>283</v>
      </c>
      <c r="D568" s="25">
        <v>6903</v>
      </c>
      <c r="E568" s="25">
        <v>348255</v>
      </c>
      <c r="F568" s="26">
        <v>36640</v>
      </c>
      <c r="G568" s="27">
        <v>10.521026000000001</v>
      </c>
    </row>
    <row r="569" spans="1:7" hidden="1" x14ac:dyDescent="0.25">
      <c r="A569" s="24" t="s">
        <v>783</v>
      </c>
      <c r="B569" s="24" t="s">
        <v>35</v>
      </c>
      <c r="C569" s="24" t="s">
        <v>281</v>
      </c>
      <c r="D569" s="25">
        <v>10259</v>
      </c>
      <c r="E569" s="25">
        <v>230378</v>
      </c>
      <c r="F569" s="26">
        <v>25590</v>
      </c>
      <c r="G569" s="27">
        <v>11.107830999999999</v>
      </c>
    </row>
    <row r="570" spans="1:7" hidden="1" x14ac:dyDescent="0.25">
      <c r="A570" s="24" t="s">
        <v>784</v>
      </c>
      <c r="B570" s="24" t="s">
        <v>35</v>
      </c>
      <c r="C570" s="24" t="s">
        <v>281</v>
      </c>
      <c r="D570" s="25">
        <v>5807</v>
      </c>
      <c r="E570" s="25">
        <v>104907</v>
      </c>
      <c r="F570" s="26">
        <v>14783.8</v>
      </c>
      <c r="G570" s="27">
        <v>14.092290999999999</v>
      </c>
    </row>
    <row r="571" spans="1:7" hidden="1" x14ac:dyDescent="0.25">
      <c r="A571" s="24" t="s">
        <v>785</v>
      </c>
      <c r="B571" s="24" t="s">
        <v>35</v>
      </c>
      <c r="C571" s="24" t="s">
        <v>281</v>
      </c>
      <c r="D571" s="25">
        <v>13</v>
      </c>
      <c r="E571" s="25">
        <v>224</v>
      </c>
      <c r="F571" s="26">
        <v>27</v>
      </c>
      <c r="G571" s="27">
        <v>12.053571</v>
      </c>
    </row>
    <row r="572" spans="1:7" hidden="1" x14ac:dyDescent="0.25">
      <c r="A572" s="24" t="s">
        <v>786</v>
      </c>
      <c r="B572" s="24" t="s">
        <v>35</v>
      </c>
      <c r="C572" s="24" t="s">
        <v>281</v>
      </c>
      <c r="D572" s="25">
        <v>9849</v>
      </c>
      <c r="E572" s="25">
        <v>241792</v>
      </c>
      <c r="F572" s="26">
        <v>33754.800000000003</v>
      </c>
      <c r="G572" s="27">
        <v>13.960262999999999</v>
      </c>
    </row>
    <row r="573" spans="1:7" hidden="1" x14ac:dyDescent="0.25">
      <c r="A573" s="24" t="s">
        <v>787</v>
      </c>
      <c r="B573" s="24" t="s">
        <v>35</v>
      </c>
      <c r="C573" s="24" t="s">
        <v>281</v>
      </c>
      <c r="D573" s="25">
        <v>24242</v>
      </c>
      <c r="E573" s="25">
        <v>982496</v>
      </c>
      <c r="F573" s="26">
        <v>101000</v>
      </c>
      <c r="G573" s="27">
        <v>10.27994</v>
      </c>
    </row>
    <row r="574" spans="1:7" hidden="1" x14ac:dyDescent="0.25">
      <c r="A574" s="24" t="s">
        <v>788</v>
      </c>
      <c r="B574" s="24" t="s">
        <v>35</v>
      </c>
      <c r="C574" s="24" t="s">
        <v>281</v>
      </c>
      <c r="D574" s="25">
        <v>11300</v>
      </c>
      <c r="E574" s="25">
        <v>177591</v>
      </c>
      <c r="F574" s="26">
        <v>25744</v>
      </c>
      <c r="G574" s="27">
        <v>14.496230000000001</v>
      </c>
    </row>
    <row r="575" spans="1:7" hidden="1" x14ac:dyDescent="0.25">
      <c r="A575" s="24" t="s">
        <v>789</v>
      </c>
      <c r="B575" s="24" t="s">
        <v>35</v>
      </c>
      <c r="C575" s="24" t="s">
        <v>281</v>
      </c>
      <c r="D575" s="25">
        <v>23024</v>
      </c>
      <c r="E575" s="25">
        <v>419074</v>
      </c>
      <c r="F575" s="26">
        <v>56497.4</v>
      </c>
      <c r="G575" s="27">
        <v>13.481484999999999</v>
      </c>
    </row>
    <row r="576" spans="1:7" hidden="1" x14ac:dyDescent="0.25">
      <c r="A576" s="24" t="s">
        <v>505</v>
      </c>
      <c r="B576" s="24" t="s">
        <v>35</v>
      </c>
      <c r="C576" s="24" t="s">
        <v>281</v>
      </c>
      <c r="D576" s="25">
        <v>16201</v>
      </c>
      <c r="E576" s="25">
        <v>362111</v>
      </c>
      <c r="F576" s="26">
        <v>46272.6</v>
      </c>
      <c r="G576" s="27">
        <v>12.778568</v>
      </c>
    </row>
    <row r="577" spans="1:7" hidden="1" x14ac:dyDescent="0.25">
      <c r="A577" s="24" t="s">
        <v>790</v>
      </c>
      <c r="B577" s="24" t="s">
        <v>35</v>
      </c>
      <c r="C577" s="24" t="s">
        <v>283</v>
      </c>
      <c r="D577" s="25">
        <v>6084</v>
      </c>
      <c r="E577" s="25">
        <v>145516</v>
      </c>
      <c r="F577" s="26">
        <v>16825</v>
      </c>
      <c r="G577" s="27">
        <v>11.562302000000001</v>
      </c>
    </row>
    <row r="578" spans="1:7" hidden="1" x14ac:dyDescent="0.25">
      <c r="A578" s="24" t="s">
        <v>791</v>
      </c>
      <c r="B578" s="24" t="s">
        <v>35</v>
      </c>
      <c r="C578" s="24" t="s">
        <v>283</v>
      </c>
      <c r="D578" s="25">
        <v>5896</v>
      </c>
      <c r="E578" s="25">
        <v>121837</v>
      </c>
      <c r="F578" s="26">
        <v>14173</v>
      </c>
      <c r="G578" s="27">
        <v>11.632755</v>
      </c>
    </row>
    <row r="579" spans="1:7" hidden="1" x14ac:dyDescent="0.25">
      <c r="A579" s="24" t="s">
        <v>792</v>
      </c>
      <c r="B579" s="24" t="s">
        <v>35</v>
      </c>
      <c r="C579" s="24" t="s">
        <v>281</v>
      </c>
      <c r="D579" s="25">
        <v>13601</v>
      </c>
      <c r="E579" s="25">
        <v>379568</v>
      </c>
      <c r="F579" s="26">
        <v>42819.5</v>
      </c>
      <c r="G579" s="27">
        <v>11.281114000000001</v>
      </c>
    </row>
    <row r="580" spans="1:7" hidden="1" x14ac:dyDescent="0.25">
      <c r="A580" s="24" t="s">
        <v>793</v>
      </c>
      <c r="B580" s="24" t="s">
        <v>37</v>
      </c>
      <c r="C580" s="24" t="s">
        <v>278</v>
      </c>
      <c r="D580" s="25">
        <v>1</v>
      </c>
      <c r="E580" s="25">
        <v>431636</v>
      </c>
      <c r="F580" s="26">
        <v>65899</v>
      </c>
      <c r="G580" s="27">
        <v>15.267262000000001</v>
      </c>
    </row>
    <row r="581" spans="1:7" hidden="1" x14ac:dyDescent="0.25">
      <c r="A581" s="24" t="s">
        <v>794</v>
      </c>
      <c r="B581" s="24" t="s">
        <v>37</v>
      </c>
      <c r="C581" s="24" t="s">
        <v>281</v>
      </c>
      <c r="D581" s="25">
        <v>11564</v>
      </c>
      <c r="E581" s="25">
        <v>403712</v>
      </c>
      <c r="F581" s="26">
        <v>40168</v>
      </c>
      <c r="G581" s="27">
        <v>9.9496670999999992</v>
      </c>
    </row>
    <row r="582" spans="1:7" hidden="1" x14ac:dyDescent="0.25">
      <c r="A582" s="24" t="s">
        <v>795</v>
      </c>
      <c r="B582" s="24" t="s">
        <v>37</v>
      </c>
      <c r="C582" s="24" t="s">
        <v>281</v>
      </c>
      <c r="D582" s="25">
        <v>14227</v>
      </c>
      <c r="E582" s="25">
        <v>343965</v>
      </c>
      <c r="F582" s="26">
        <v>42439</v>
      </c>
      <c r="G582" s="27">
        <v>12.338174</v>
      </c>
    </row>
    <row r="583" spans="1:7" hidden="1" x14ac:dyDescent="0.25">
      <c r="A583" s="24" t="s">
        <v>796</v>
      </c>
      <c r="B583" s="24" t="s">
        <v>37</v>
      </c>
      <c r="C583" s="24" t="s">
        <v>283</v>
      </c>
      <c r="D583" s="25">
        <v>2297</v>
      </c>
      <c r="E583" s="25">
        <v>163218</v>
      </c>
      <c r="F583" s="26">
        <v>12925.1</v>
      </c>
      <c r="G583" s="27">
        <v>7.9189182999999996</v>
      </c>
    </row>
    <row r="584" spans="1:7" hidden="1" x14ac:dyDescent="0.25">
      <c r="A584" s="24" t="s">
        <v>797</v>
      </c>
      <c r="B584" s="24" t="s">
        <v>37</v>
      </c>
      <c r="C584" s="24" t="s">
        <v>281</v>
      </c>
      <c r="D584" s="25">
        <v>14641</v>
      </c>
      <c r="E584" s="25">
        <v>367551</v>
      </c>
      <c r="F584" s="26">
        <v>41638</v>
      </c>
      <c r="G584" s="27">
        <v>11.328495999999999</v>
      </c>
    </row>
    <row r="585" spans="1:7" hidden="1" x14ac:dyDescent="0.25">
      <c r="A585" s="24" t="s">
        <v>798</v>
      </c>
      <c r="B585" s="24" t="s">
        <v>37</v>
      </c>
      <c r="C585" s="24" t="s">
        <v>283</v>
      </c>
      <c r="D585" s="25">
        <v>35610</v>
      </c>
      <c r="E585" s="25">
        <v>843558</v>
      </c>
      <c r="F585" s="26">
        <v>83762.5</v>
      </c>
      <c r="G585" s="27">
        <v>9.9296670000000002</v>
      </c>
    </row>
    <row r="586" spans="1:7" hidden="1" x14ac:dyDescent="0.25">
      <c r="A586" s="24" t="s">
        <v>799</v>
      </c>
      <c r="B586" s="24" t="s">
        <v>37</v>
      </c>
      <c r="C586" s="24" t="s">
        <v>283</v>
      </c>
      <c r="D586" s="25">
        <v>7557</v>
      </c>
      <c r="E586" s="25">
        <v>426676</v>
      </c>
      <c r="F586" s="26">
        <v>38677.599999999999</v>
      </c>
      <c r="G586" s="27">
        <v>9.0648642000000006</v>
      </c>
    </row>
    <row r="587" spans="1:7" hidden="1" x14ac:dyDescent="0.25">
      <c r="A587" s="24" t="s">
        <v>800</v>
      </c>
      <c r="B587" s="24" t="s">
        <v>37</v>
      </c>
      <c r="C587" s="24" t="s">
        <v>283</v>
      </c>
      <c r="D587" s="25">
        <v>5874</v>
      </c>
      <c r="E587" s="25">
        <v>273123</v>
      </c>
      <c r="F587" s="26">
        <v>22275</v>
      </c>
      <c r="G587" s="27">
        <v>8.1556660999999995</v>
      </c>
    </row>
    <row r="588" spans="1:7" hidden="1" x14ac:dyDescent="0.25">
      <c r="A588" s="24" t="s">
        <v>801</v>
      </c>
      <c r="B588" s="24" t="s">
        <v>37</v>
      </c>
      <c r="C588" s="24" t="s">
        <v>283</v>
      </c>
      <c r="D588" s="25">
        <v>4826</v>
      </c>
      <c r="E588" s="25">
        <v>99185</v>
      </c>
      <c r="F588" s="26">
        <v>11050</v>
      </c>
      <c r="G588" s="27">
        <v>11.140796999999999</v>
      </c>
    </row>
    <row r="589" spans="1:7" hidden="1" x14ac:dyDescent="0.25">
      <c r="A589" s="24" t="s">
        <v>802</v>
      </c>
      <c r="B589" s="24" t="s">
        <v>37</v>
      </c>
      <c r="C589" s="24" t="s">
        <v>283</v>
      </c>
      <c r="D589" s="25">
        <v>9240</v>
      </c>
      <c r="E589" s="25">
        <v>368047</v>
      </c>
      <c r="F589" s="26">
        <v>31353</v>
      </c>
      <c r="G589" s="27">
        <v>8.5187489999999997</v>
      </c>
    </row>
    <row r="590" spans="1:7" hidden="1" x14ac:dyDescent="0.25">
      <c r="A590" s="24" t="s">
        <v>803</v>
      </c>
      <c r="B590" s="24" t="s">
        <v>37</v>
      </c>
      <c r="C590" s="24" t="s">
        <v>283</v>
      </c>
      <c r="D590" s="25">
        <v>2185</v>
      </c>
      <c r="E590" s="25">
        <v>112332</v>
      </c>
      <c r="F590" s="26">
        <v>9622</v>
      </c>
      <c r="G590" s="27">
        <v>8.5656803000000004</v>
      </c>
    </row>
    <row r="591" spans="1:7" hidden="1" x14ac:dyDescent="0.25">
      <c r="A591" s="24" t="s">
        <v>804</v>
      </c>
      <c r="B591" s="24" t="s">
        <v>37</v>
      </c>
      <c r="C591" s="24" t="s">
        <v>283</v>
      </c>
      <c r="D591" s="25">
        <v>11066</v>
      </c>
      <c r="E591" s="25">
        <v>350831</v>
      </c>
      <c r="F591" s="26">
        <v>31385.4</v>
      </c>
      <c r="G591" s="27">
        <v>8.9460166999999995</v>
      </c>
    </row>
    <row r="592" spans="1:7" hidden="1" x14ac:dyDescent="0.25">
      <c r="A592" s="24" t="s">
        <v>805</v>
      </c>
      <c r="B592" s="24" t="s">
        <v>37</v>
      </c>
      <c r="C592" s="24" t="s">
        <v>283</v>
      </c>
      <c r="D592" s="25">
        <v>7304</v>
      </c>
      <c r="E592" s="25">
        <v>296259</v>
      </c>
      <c r="F592" s="26">
        <v>29427.1</v>
      </c>
      <c r="G592" s="27">
        <v>9.9328965999999994</v>
      </c>
    </row>
    <row r="593" spans="1:7" hidden="1" x14ac:dyDescent="0.25">
      <c r="A593" s="24" t="s">
        <v>806</v>
      </c>
      <c r="B593" s="24" t="s">
        <v>37</v>
      </c>
      <c r="C593" s="24" t="s">
        <v>283</v>
      </c>
      <c r="D593" s="25">
        <v>9164</v>
      </c>
      <c r="E593" s="25">
        <v>216431</v>
      </c>
      <c r="F593" s="26">
        <v>22373.7</v>
      </c>
      <c r="G593" s="27">
        <v>10.337567</v>
      </c>
    </row>
    <row r="594" spans="1:7" hidden="1" x14ac:dyDescent="0.25">
      <c r="A594" s="24" t="s">
        <v>807</v>
      </c>
      <c r="B594" s="24" t="s">
        <v>37</v>
      </c>
      <c r="C594" s="24" t="s">
        <v>283</v>
      </c>
      <c r="D594" s="25">
        <v>12544</v>
      </c>
      <c r="E594" s="25">
        <v>414490</v>
      </c>
      <c r="F594" s="26">
        <v>40164</v>
      </c>
      <c r="G594" s="27">
        <v>9.6899805000000008</v>
      </c>
    </row>
    <row r="595" spans="1:7" hidden="1" x14ac:dyDescent="0.25">
      <c r="A595" s="24" t="s">
        <v>808</v>
      </c>
      <c r="B595" s="24" t="s">
        <v>37</v>
      </c>
      <c r="C595" s="24" t="s">
        <v>283</v>
      </c>
      <c r="D595" s="25">
        <v>26259</v>
      </c>
      <c r="E595" s="25">
        <v>561314</v>
      </c>
      <c r="F595" s="26">
        <v>61617</v>
      </c>
      <c r="G595" s="27">
        <v>10.977278</v>
      </c>
    </row>
    <row r="596" spans="1:7" hidden="1" x14ac:dyDescent="0.25">
      <c r="A596" s="24" t="s">
        <v>809</v>
      </c>
      <c r="B596" s="24" t="s">
        <v>37</v>
      </c>
      <c r="C596" s="24" t="s">
        <v>283</v>
      </c>
      <c r="D596" s="25">
        <v>10225</v>
      </c>
      <c r="E596" s="25">
        <v>229194</v>
      </c>
      <c r="F596" s="26">
        <v>23539.4</v>
      </c>
      <c r="G596" s="27">
        <v>10.270512999999999</v>
      </c>
    </row>
    <row r="597" spans="1:7" hidden="1" x14ac:dyDescent="0.25">
      <c r="A597" s="24" t="s">
        <v>810</v>
      </c>
      <c r="B597" s="24" t="s">
        <v>37</v>
      </c>
      <c r="C597" s="24" t="s">
        <v>283</v>
      </c>
      <c r="D597" s="25">
        <v>3177</v>
      </c>
      <c r="E597" s="25">
        <v>104399</v>
      </c>
      <c r="F597" s="26">
        <v>11486</v>
      </c>
      <c r="G597" s="27">
        <v>11.002020999999999</v>
      </c>
    </row>
    <row r="598" spans="1:7" hidden="1" x14ac:dyDescent="0.25">
      <c r="A598" s="24" t="s">
        <v>811</v>
      </c>
      <c r="B598" s="24" t="s">
        <v>37</v>
      </c>
      <c r="C598" s="24" t="s">
        <v>283</v>
      </c>
      <c r="D598" s="25">
        <v>21052</v>
      </c>
      <c r="E598" s="25">
        <v>863079</v>
      </c>
      <c r="F598" s="26">
        <v>81049</v>
      </c>
      <c r="G598" s="27">
        <v>9.3906814999999995</v>
      </c>
    </row>
    <row r="599" spans="1:7" hidden="1" x14ac:dyDescent="0.25">
      <c r="A599" s="24" t="s">
        <v>812</v>
      </c>
      <c r="B599" s="24" t="s">
        <v>37</v>
      </c>
      <c r="C599" s="24" t="s">
        <v>283</v>
      </c>
      <c r="D599" s="25">
        <v>3600</v>
      </c>
      <c r="E599" s="25">
        <v>149974</v>
      </c>
      <c r="F599" s="26">
        <v>13392</v>
      </c>
      <c r="G599" s="27">
        <v>8.9295477999999999</v>
      </c>
    </row>
    <row r="600" spans="1:7" hidden="1" x14ac:dyDescent="0.25">
      <c r="A600" s="24" t="s">
        <v>813</v>
      </c>
      <c r="B600" s="24" t="s">
        <v>37</v>
      </c>
      <c r="C600" s="24" t="s">
        <v>283</v>
      </c>
      <c r="D600" s="25">
        <v>4247</v>
      </c>
      <c r="E600" s="25">
        <v>191272</v>
      </c>
      <c r="F600" s="26">
        <v>17080.5</v>
      </c>
      <c r="G600" s="27">
        <v>8.9299531999999999</v>
      </c>
    </row>
    <row r="601" spans="1:7" hidden="1" x14ac:dyDescent="0.25">
      <c r="A601" s="24" t="s">
        <v>814</v>
      </c>
      <c r="B601" s="24" t="s">
        <v>37</v>
      </c>
      <c r="C601" s="24" t="s">
        <v>283</v>
      </c>
      <c r="D601" s="25">
        <v>7522</v>
      </c>
      <c r="E601" s="25">
        <v>174272</v>
      </c>
      <c r="F601" s="26">
        <v>16956</v>
      </c>
      <c r="G601" s="27">
        <v>9.7296180999999997</v>
      </c>
    </row>
    <row r="602" spans="1:7" hidden="1" x14ac:dyDescent="0.25">
      <c r="A602" s="24" t="s">
        <v>815</v>
      </c>
      <c r="B602" s="24" t="s">
        <v>37</v>
      </c>
      <c r="C602" s="24" t="s">
        <v>281</v>
      </c>
      <c r="D602" s="25">
        <v>24038</v>
      </c>
      <c r="E602" s="25">
        <v>459055</v>
      </c>
      <c r="F602" s="26">
        <v>54988</v>
      </c>
      <c r="G602" s="27">
        <v>11.978521000000001</v>
      </c>
    </row>
    <row r="603" spans="1:7" hidden="1" x14ac:dyDescent="0.25">
      <c r="A603" s="24" t="s">
        <v>816</v>
      </c>
      <c r="B603" s="24" t="s">
        <v>37</v>
      </c>
      <c r="C603" s="24" t="s">
        <v>283</v>
      </c>
      <c r="D603" s="25">
        <v>9909</v>
      </c>
      <c r="E603" s="25">
        <v>392925</v>
      </c>
      <c r="F603" s="26">
        <v>35801</v>
      </c>
      <c r="G603" s="27">
        <v>9.1114080000000008</v>
      </c>
    </row>
    <row r="604" spans="1:7" hidden="1" x14ac:dyDescent="0.25">
      <c r="A604" s="24" t="s">
        <v>817</v>
      </c>
      <c r="B604" s="24" t="s">
        <v>37</v>
      </c>
      <c r="C604" s="24" t="s">
        <v>281</v>
      </c>
      <c r="D604" s="25">
        <v>8152</v>
      </c>
      <c r="E604" s="25">
        <v>398572</v>
      </c>
      <c r="F604" s="26">
        <v>34313.5</v>
      </c>
      <c r="G604" s="27">
        <v>8.6091095000000006</v>
      </c>
    </row>
    <row r="605" spans="1:7" hidden="1" x14ac:dyDescent="0.25">
      <c r="A605" s="24" t="s">
        <v>818</v>
      </c>
      <c r="B605" s="24" t="s">
        <v>37</v>
      </c>
      <c r="C605" s="24" t="s">
        <v>281</v>
      </c>
      <c r="D605" s="25">
        <v>7925</v>
      </c>
      <c r="E605" s="25">
        <v>361743</v>
      </c>
      <c r="F605" s="26">
        <v>34071.699999999997</v>
      </c>
      <c r="G605" s="27">
        <v>9.4187586000000003</v>
      </c>
    </row>
    <row r="606" spans="1:7" hidden="1" x14ac:dyDescent="0.25">
      <c r="A606" s="24" t="s">
        <v>819</v>
      </c>
      <c r="B606" s="24" t="s">
        <v>37</v>
      </c>
      <c r="C606" s="24" t="s">
        <v>281</v>
      </c>
      <c r="D606" s="25">
        <v>13653</v>
      </c>
      <c r="E606" s="25">
        <v>277776</v>
      </c>
      <c r="F606" s="26">
        <v>30694</v>
      </c>
      <c r="G606" s="27">
        <v>11.049911</v>
      </c>
    </row>
    <row r="607" spans="1:7" hidden="1" x14ac:dyDescent="0.25">
      <c r="A607" s="24" t="s">
        <v>820</v>
      </c>
      <c r="B607" s="24" t="s">
        <v>37</v>
      </c>
      <c r="C607" s="24" t="s">
        <v>278</v>
      </c>
      <c r="D607" s="25">
        <v>819569</v>
      </c>
      <c r="E607" s="25">
        <v>27496412</v>
      </c>
      <c r="F607" s="26">
        <v>2552046.4</v>
      </c>
      <c r="G607" s="27">
        <v>9.2813797000000005</v>
      </c>
    </row>
    <row r="608" spans="1:7" hidden="1" x14ac:dyDescent="0.25">
      <c r="A608" s="24" t="s">
        <v>821</v>
      </c>
      <c r="B608" s="24" t="s">
        <v>37</v>
      </c>
      <c r="C608" s="24" t="s">
        <v>281</v>
      </c>
      <c r="D608" s="25">
        <v>23019</v>
      </c>
      <c r="E608" s="25">
        <v>496855</v>
      </c>
      <c r="F608" s="26">
        <v>55040.4</v>
      </c>
      <c r="G608" s="27">
        <v>11.077759</v>
      </c>
    </row>
    <row r="609" spans="1:7" hidden="1" x14ac:dyDescent="0.25">
      <c r="A609" s="24" t="s">
        <v>822</v>
      </c>
      <c r="B609" s="24" t="s">
        <v>37</v>
      </c>
      <c r="C609" s="24" t="s">
        <v>281</v>
      </c>
      <c r="D609" s="25">
        <v>17369</v>
      </c>
      <c r="E609" s="25">
        <v>628026</v>
      </c>
      <c r="F609" s="26">
        <v>64373</v>
      </c>
      <c r="G609" s="27">
        <v>10.250052999999999</v>
      </c>
    </row>
    <row r="610" spans="1:7" hidden="1" x14ac:dyDescent="0.25">
      <c r="A610" s="24" t="s">
        <v>823</v>
      </c>
      <c r="B610" s="24" t="s">
        <v>37</v>
      </c>
      <c r="C610" s="24" t="s">
        <v>281</v>
      </c>
      <c r="D610" s="25">
        <v>31646</v>
      </c>
      <c r="E610" s="25">
        <v>750478</v>
      </c>
      <c r="F610" s="26">
        <v>84595</v>
      </c>
      <c r="G610" s="27">
        <v>11.272149000000001</v>
      </c>
    </row>
    <row r="611" spans="1:7" hidden="1" x14ac:dyDescent="0.25">
      <c r="A611" s="24" t="s">
        <v>824</v>
      </c>
      <c r="B611" s="24" t="s">
        <v>37</v>
      </c>
      <c r="C611" s="24" t="s">
        <v>281</v>
      </c>
      <c r="D611" s="25">
        <v>9560</v>
      </c>
      <c r="E611" s="25">
        <v>191190</v>
      </c>
      <c r="F611" s="26">
        <v>22126</v>
      </c>
      <c r="G611" s="27">
        <v>11.572781000000001</v>
      </c>
    </row>
    <row r="612" spans="1:7" hidden="1" x14ac:dyDescent="0.25">
      <c r="A612" s="24" t="s">
        <v>825</v>
      </c>
      <c r="B612" s="24" t="s">
        <v>37</v>
      </c>
      <c r="C612" s="24" t="s">
        <v>278</v>
      </c>
      <c r="D612" s="25">
        <v>463352</v>
      </c>
      <c r="E612" s="25">
        <v>15166074</v>
      </c>
      <c r="F612" s="26">
        <v>1291549.8999999999</v>
      </c>
      <c r="G612" s="27">
        <v>8.5160464000000005</v>
      </c>
    </row>
    <row r="613" spans="1:7" hidden="1" x14ac:dyDescent="0.25">
      <c r="A613" s="24" t="s">
        <v>826</v>
      </c>
      <c r="B613" s="24" t="s">
        <v>37</v>
      </c>
      <c r="C613" s="24" t="s">
        <v>278</v>
      </c>
      <c r="D613" s="25">
        <v>491347</v>
      </c>
      <c r="E613" s="25">
        <v>13216391</v>
      </c>
      <c r="F613" s="26">
        <v>1318478</v>
      </c>
      <c r="G613" s="27">
        <v>9.9760819999999999</v>
      </c>
    </row>
    <row r="614" spans="1:7" hidden="1" x14ac:dyDescent="0.25">
      <c r="A614" s="24" t="s">
        <v>827</v>
      </c>
      <c r="B614" s="24" t="s">
        <v>37</v>
      </c>
      <c r="C614" s="24" t="s">
        <v>281</v>
      </c>
      <c r="D614" s="25">
        <v>24496</v>
      </c>
      <c r="E614" s="25">
        <v>443275</v>
      </c>
      <c r="F614" s="26">
        <v>52510</v>
      </c>
      <c r="G614" s="27">
        <v>11.84592</v>
      </c>
    </row>
    <row r="615" spans="1:7" hidden="1" x14ac:dyDescent="0.25">
      <c r="A615" s="24" t="s">
        <v>828</v>
      </c>
      <c r="B615" s="24" t="s">
        <v>37</v>
      </c>
      <c r="C615" s="24" t="s">
        <v>281</v>
      </c>
      <c r="D615" s="25">
        <v>9026</v>
      </c>
      <c r="E615" s="25">
        <v>222409</v>
      </c>
      <c r="F615" s="26">
        <v>23858.6</v>
      </c>
      <c r="G615" s="27">
        <v>10.727354</v>
      </c>
    </row>
    <row r="616" spans="1:7" hidden="1" x14ac:dyDescent="0.25">
      <c r="A616" s="24" t="s">
        <v>829</v>
      </c>
      <c r="B616" s="24" t="s">
        <v>37</v>
      </c>
      <c r="C616" s="24" t="s">
        <v>281</v>
      </c>
      <c r="D616" s="25">
        <v>5426</v>
      </c>
      <c r="E616" s="25">
        <v>180153</v>
      </c>
      <c r="F616" s="26">
        <v>19330</v>
      </c>
      <c r="G616" s="27">
        <v>10.729768999999999</v>
      </c>
    </row>
    <row r="617" spans="1:7" hidden="1" x14ac:dyDescent="0.25">
      <c r="A617" s="24" t="s">
        <v>830</v>
      </c>
      <c r="B617" s="24" t="s">
        <v>37</v>
      </c>
      <c r="C617" s="24" t="s">
        <v>281</v>
      </c>
      <c r="D617" s="25">
        <v>26621</v>
      </c>
      <c r="E617" s="25">
        <v>474548</v>
      </c>
      <c r="F617" s="26">
        <v>55058.5</v>
      </c>
      <c r="G617" s="27">
        <v>11.602304</v>
      </c>
    </row>
    <row r="618" spans="1:7" hidden="1" x14ac:dyDescent="0.25">
      <c r="A618" s="24" t="s">
        <v>831</v>
      </c>
      <c r="B618" s="24" t="s">
        <v>37</v>
      </c>
      <c r="C618" s="24" t="s">
        <v>281</v>
      </c>
      <c r="D618" s="25">
        <v>20857</v>
      </c>
      <c r="E618" s="25">
        <v>279950</v>
      </c>
      <c r="F618" s="26">
        <v>35048</v>
      </c>
      <c r="G618" s="27">
        <v>12.519378</v>
      </c>
    </row>
    <row r="619" spans="1:7" hidden="1" x14ac:dyDescent="0.25">
      <c r="A619" s="24" t="s">
        <v>832</v>
      </c>
      <c r="B619" s="24" t="s">
        <v>37</v>
      </c>
      <c r="C619" s="24" t="s">
        <v>281</v>
      </c>
      <c r="D619" s="25">
        <v>18234</v>
      </c>
      <c r="E619" s="25">
        <v>467398</v>
      </c>
      <c r="F619" s="26">
        <v>47885.3</v>
      </c>
      <c r="G619" s="27">
        <v>10.24508</v>
      </c>
    </row>
    <row r="620" spans="1:7" hidden="1" x14ac:dyDescent="0.25">
      <c r="A620" s="24" t="s">
        <v>833</v>
      </c>
      <c r="B620" s="24" t="s">
        <v>37</v>
      </c>
      <c r="C620" s="24" t="s">
        <v>281</v>
      </c>
      <c r="D620" s="25">
        <v>7193</v>
      </c>
      <c r="E620" s="25">
        <v>93859</v>
      </c>
      <c r="F620" s="26">
        <v>12072</v>
      </c>
      <c r="G620" s="27">
        <v>12.861846</v>
      </c>
    </row>
    <row r="621" spans="1:7" hidden="1" x14ac:dyDescent="0.25">
      <c r="A621" s="24" t="s">
        <v>834</v>
      </c>
      <c r="B621" s="24" t="s">
        <v>37</v>
      </c>
      <c r="C621" s="24" t="s">
        <v>283</v>
      </c>
      <c r="D621" s="25">
        <v>3462</v>
      </c>
      <c r="E621" s="25">
        <v>147044</v>
      </c>
      <c r="F621" s="26">
        <v>15202</v>
      </c>
      <c r="G621" s="27">
        <v>10.338402</v>
      </c>
    </row>
    <row r="622" spans="1:7" hidden="1" x14ac:dyDescent="0.25">
      <c r="A622" s="24" t="s">
        <v>835</v>
      </c>
      <c r="B622" s="24" t="s">
        <v>37</v>
      </c>
      <c r="C622" s="24" t="s">
        <v>281</v>
      </c>
      <c r="D622" s="25">
        <v>7209</v>
      </c>
      <c r="E622" s="25">
        <v>93811</v>
      </c>
      <c r="F622" s="26">
        <v>14644</v>
      </c>
      <c r="G622" s="27">
        <v>15.610110000000001</v>
      </c>
    </row>
    <row r="623" spans="1:7" hidden="1" x14ac:dyDescent="0.25">
      <c r="A623" s="24" t="s">
        <v>836</v>
      </c>
      <c r="B623" s="24" t="s">
        <v>37</v>
      </c>
      <c r="C623" s="24" t="s">
        <v>281</v>
      </c>
      <c r="D623" s="25">
        <v>5977</v>
      </c>
      <c r="E623" s="25">
        <v>125066</v>
      </c>
      <c r="F623" s="26">
        <v>15201</v>
      </c>
      <c r="G623" s="27">
        <v>12.154382</v>
      </c>
    </row>
    <row r="624" spans="1:7" hidden="1" x14ac:dyDescent="0.25">
      <c r="A624" s="24" t="s">
        <v>837</v>
      </c>
      <c r="B624" s="24" t="s">
        <v>37</v>
      </c>
      <c r="C624" s="24" t="s">
        <v>281</v>
      </c>
      <c r="D624" s="25">
        <v>343</v>
      </c>
      <c r="E624" s="25">
        <v>4138</v>
      </c>
      <c r="F624" s="26">
        <v>566.4</v>
      </c>
      <c r="G624" s="27">
        <v>13.687772000000001</v>
      </c>
    </row>
    <row r="625" spans="1:7" hidden="1" x14ac:dyDescent="0.25">
      <c r="A625" s="24" t="s">
        <v>838</v>
      </c>
      <c r="B625" s="24" t="s">
        <v>37</v>
      </c>
      <c r="C625" s="24" t="s">
        <v>281</v>
      </c>
      <c r="D625" s="25">
        <v>14664</v>
      </c>
      <c r="E625" s="25">
        <v>265411</v>
      </c>
      <c r="F625" s="26">
        <v>34631</v>
      </c>
      <c r="G625" s="27">
        <v>13.048064999999999</v>
      </c>
    </row>
    <row r="626" spans="1:7" hidden="1" x14ac:dyDescent="0.25">
      <c r="A626" s="24" t="s">
        <v>839</v>
      </c>
      <c r="B626" s="24" t="s">
        <v>37</v>
      </c>
      <c r="C626" s="24" t="s">
        <v>281</v>
      </c>
      <c r="D626" s="25">
        <v>11247</v>
      </c>
      <c r="E626" s="25">
        <v>211712</v>
      </c>
      <c r="F626" s="26">
        <v>24344.9</v>
      </c>
      <c r="G626" s="27">
        <v>11.499065</v>
      </c>
    </row>
    <row r="627" spans="1:7" hidden="1" x14ac:dyDescent="0.25">
      <c r="A627" s="24" t="s">
        <v>840</v>
      </c>
      <c r="B627" s="24" t="s">
        <v>37</v>
      </c>
      <c r="C627" s="24" t="s">
        <v>281</v>
      </c>
      <c r="D627" s="25">
        <v>30110</v>
      </c>
      <c r="E627" s="25">
        <v>1568663</v>
      </c>
      <c r="F627" s="26">
        <v>100542</v>
      </c>
      <c r="G627" s="27">
        <v>6.4094072000000004</v>
      </c>
    </row>
    <row r="628" spans="1:7" hidden="1" x14ac:dyDescent="0.25">
      <c r="A628" s="24" t="s">
        <v>841</v>
      </c>
      <c r="B628" s="24" t="s">
        <v>37</v>
      </c>
      <c r="C628" s="24" t="s">
        <v>278</v>
      </c>
      <c r="D628" s="25">
        <v>468590</v>
      </c>
      <c r="E628" s="25">
        <v>16693050</v>
      </c>
      <c r="F628" s="26">
        <v>1696055.8</v>
      </c>
      <c r="G628" s="27">
        <v>10.160251000000001</v>
      </c>
    </row>
    <row r="629" spans="1:7" hidden="1" x14ac:dyDescent="0.25">
      <c r="A629" s="24" t="s">
        <v>842</v>
      </c>
      <c r="B629" s="24" t="s">
        <v>37</v>
      </c>
      <c r="C629" s="24" t="s">
        <v>281</v>
      </c>
      <c r="D629" s="25">
        <v>7868</v>
      </c>
      <c r="E629" s="25">
        <v>106916</v>
      </c>
      <c r="F629" s="26">
        <v>14705.6</v>
      </c>
      <c r="G629" s="27">
        <v>13.754348999999999</v>
      </c>
    </row>
    <row r="630" spans="1:7" hidden="1" x14ac:dyDescent="0.25">
      <c r="A630" s="24" t="s">
        <v>843</v>
      </c>
      <c r="B630" s="24" t="s">
        <v>37</v>
      </c>
      <c r="C630" s="24" t="s">
        <v>281</v>
      </c>
      <c r="D630" s="25">
        <v>12326</v>
      </c>
      <c r="E630" s="25">
        <v>176919</v>
      </c>
      <c r="F630" s="26">
        <v>23397.200000000001</v>
      </c>
      <c r="G630" s="27">
        <v>13.224809</v>
      </c>
    </row>
    <row r="631" spans="1:7" hidden="1" x14ac:dyDescent="0.25">
      <c r="A631" s="24" t="s">
        <v>844</v>
      </c>
      <c r="B631" s="24" t="s">
        <v>37</v>
      </c>
      <c r="C631" s="24" t="s">
        <v>281</v>
      </c>
      <c r="D631" s="25">
        <v>3535</v>
      </c>
      <c r="E631" s="25">
        <v>94321</v>
      </c>
      <c r="F631" s="26">
        <v>10037.9</v>
      </c>
      <c r="G631" s="27">
        <v>10.642275</v>
      </c>
    </row>
    <row r="632" spans="1:7" hidden="1" x14ac:dyDescent="0.25">
      <c r="A632" s="24" t="s">
        <v>845</v>
      </c>
      <c r="B632" s="24" t="s">
        <v>37</v>
      </c>
      <c r="C632" s="24" t="s">
        <v>281</v>
      </c>
      <c r="D632" s="25">
        <v>14619</v>
      </c>
      <c r="E632" s="25">
        <v>381433</v>
      </c>
      <c r="F632" s="26">
        <v>42768</v>
      </c>
      <c r="G632" s="27">
        <v>11.212453999999999</v>
      </c>
    </row>
    <row r="633" spans="1:7" hidden="1" x14ac:dyDescent="0.25">
      <c r="A633" s="24" t="s">
        <v>846</v>
      </c>
      <c r="B633" s="24" t="s">
        <v>37</v>
      </c>
      <c r="C633" s="24" t="s">
        <v>281</v>
      </c>
      <c r="D633" s="25">
        <v>33539</v>
      </c>
      <c r="E633" s="25">
        <v>539910</v>
      </c>
      <c r="F633" s="26">
        <v>77364.800000000003</v>
      </c>
      <c r="G633" s="27">
        <v>14.329203</v>
      </c>
    </row>
    <row r="634" spans="1:7" hidden="1" x14ac:dyDescent="0.25">
      <c r="A634" s="24" t="s">
        <v>847</v>
      </c>
      <c r="B634" s="24" t="s">
        <v>37</v>
      </c>
      <c r="C634" s="24" t="s">
        <v>281</v>
      </c>
      <c r="D634" s="25">
        <v>23161</v>
      </c>
      <c r="E634" s="25">
        <v>503297</v>
      </c>
      <c r="F634" s="26">
        <v>62748</v>
      </c>
      <c r="G634" s="27">
        <v>12.46739</v>
      </c>
    </row>
    <row r="635" spans="1:7" hidden="1" x14ac:dyDescent="0.25">
      <c r="A635" s="24" t="s">
        <v>848</v>
      </c>
      <c r="B635" s="24" t="s">
        <v>37</v>
      </c>
      <c r="C635" s="24" t="s">
        <v>278</v>
      </c>
      <c r="D635" s="25">
        <v>141341</v>
      </c>
      <c r="E635" s="25">
        <v>4757567</v>
      </c>
      <c r="F635" s="26">
        <v>533565.1</v>
      </c>
      <c r="G635" s="27">
        <v>11.215083</v>
      </c>
    </row>
    <row r="636" spans="1:7" hidden="1" x14ac:dyDescent="0.25">
      <c r="A636" s="24" t="s">
        <v>849</v>
      </c>
      <c r="B636" s="24" t="s">
        <v>37</v>
      </c>
      <c r="C636" s="24" t="s">
        <v>281</v>
      </c>
      <c r="D636" s="25">
        <v>9300</v>
      </c>
      <c r="E636" s="25">
        <v>456870</v>
      </c>
      <c r="F636" s="26">
        <v>36785</v>
      </c>
      <c r="G636" s="27">
        <v>8.0515244999999993</v>
      </c>
    </row>
    <row r="637" spans="1:7" hidden="1" x14ac:dyDescent="0.25">
      <c r="A637" s="24" t="s">
        <v>850</v>
      </c>
      <c r="B637" s="24" t="s">
        <v>37</v>
      </c>
      <c r="C637" s="24" t="s">
        <v>281</v>
      </c>
      <c r="D637" s="25">
        <v>9677</v>
      </c>
      <c r="E637" s="25">
        <v>182043</v>
      </c>
      <c r="F637" s="26">
        <v>20104</v>
      </c>
      <c r="G637" s="27">
        <v>11.043545</v>
      </c>
    </row>
    <row r="638" spans="1:7" hidden="1" x14ac:dyDescent="0.25">
      <c r="A638" s="24" t="s">
        <v>414</v>
      </c>
      <c r="B638" s="24" t="s">
        <v>37</v>
      </c>
      <c r="C638" s="24" t="s">
        <v>392</v>
      </c>
      <c r="D638" s="25">
        <v>2</v>
      </c>
      <c r="E638" s="25">
        <v>24</v>
      </c>
      <c r="F638" s="26">
        <v>4.2</v>
      </c>
      <c r="G638" s="27">
        <v>17.5</v>
      </c>
    </row>
    <row r="639" spans="1:7" hidden="1" x14ac:dyDescent="0.25">
      <c r="A639" s="24" t="s">
        <v>851</v>
      </c>
      <c r="B639" s="24" t="s">
        <v>37</v>
      </c>
      <c r="C639" s="24" t="s">
        <v>281</v>
      </c>
      <c r="D639" s="25">
        <v>27209</v>
      </c>
      <c r="E639" s="25">
        <v>514396</v>
      </c>
      <c r="F639" s="26">
        <v>60712</v>
      </c>
      <c r="G639" s="27">
        <v>11.802580000000001</v>
      </c>
    </row>
    <row r="640" spans="1:7" hidden="1" x14ac:dyDescent="0.25">
      <c r="A640" s="24" t="s">
        <v>852</v>
      </c>
      <c r="B640" s="24" t="s">
        <v>37</v>
      </c>
      <c r="C640" s="24" t="s">
        <v>283</v>
      </c>
      <c r="D640" s="25">
        <v>4188</v>
      </c>
      <c r="E640" s="25">
        <v>138123</v>
      </c>
      <c r="F640" s="26">
        <v>12898.6</v>
      </c>
      <c r="G640" s="27">
        <v>9.3384882000000005</v>
      </c>
    </row>
    <row r="641" spans="1:7" hidden="1" x14ac:dyDescent="0.25">
      <c r="A641" s="24" t="s">
        <v>853</v>
      </c>
      <c r="B641" s="24" t="s">
        <v>37</v>
      </c>
      <c r="C641" s="24" t="s">
        <v>281</v>
      </c>
      <c r="D641" s="25">
        <v>18953</v>
      </c>
      <c r="E641" s="25">
        <v>298500</v>
      </c>
      <c r="F641" s="26">
        <v>43386</v>
      </c>
      <c r="G641" s="27">
        <v>14.534673</v>
      </c>
    </row>
    <row r="642" spans="1:7" hidden="1" x14ac:dyDescent="0.25">
      <c r="A642" s="24" t="s">
        <v>854</v>
      </c>
      <c r="B642" s="24" t="s">
        <v>37</v>
      </c>
      <c r="C642" s="24" t="s">
        <v>281</v>
      </c>
      <c r="D642" s="25">
        <v>16880</v>
      </c>
      <c r="E642" s="25">
        <v>630442</v>
      </c>
      <c r="F642" s="26">
        <v>63985.8</v>
      </c>
      <c r="G642" s="27">
        <v>10.149355999999999</v>
      </c>
    </row>
    <row r="643" spans="1:7" hidden="1" x14ac:dyDescent="0.25">
      <c r="A643" s="24" t="s">
        <v>855</v>
      </c>
      <c r="B643" s="24" t="s">
        <v>37</v>
      </c>
      <c r="C643" s="24" t="s">
        <v>281</v>
      </c>
      <c r="D643" s="25">
        <v>11880</v>
      </c>
      <c r="E643" s="25">
        <v>216343</v>
      </c>
      <c r="F643" s="26">
        <v>25904</v>
      </c>
      <c r="G643" s="27">
        <v>11.973579000000001</v>
      </c>
    </row>
    <row r="644" spans="1:7" hidden="1" x14ac:dyDescent="0.25">
      <c r="A644" s="24" t="s">
        <v>856</v>
      </c>
      <c r="B644" s="24" t="s">
        <v>42</v>
      </c>
      <c r="C644" s="24" t="s">
        <v>281</v>
      </c>
      <c r="D644" s="25">
        <v>962</v>
      </c>
      <c r="E644" s="25">
        <v>33339</v>
      </c>
      <c r="F644" s="26">
        <v>2920</v>
      </c>
      <c r="G644" s="27">
        <v>8.7585110999999998</v>
      </c>
    </row>
    <row r="645" spans="1:7" hidden="1" x14ac:dyDescent="0.25">
      <c r="A645" s="24" t="s">
        <v>857</v>
      </c>
      <c r="B645" s="24" t="s">
        <v>42</v>
      </c>
      <c r="C645" s="24" t="s">
        <v>281</v>
      </c>
      <c r="D645" s="25">
        <v>5175</v>
      </c>
      <c r="E645" s="25">
        <v>97075</v>
      </c>
      <c r="F645" s="26">
        <v>13137</v>
      </c>
      <c r="G645" s="27">
        <v>13.532835</v>
      </c>
    </row>
    <row r="646" spans="1:7" hidden="1" x14ac:dyDescent="0.25">
      <c r="A646" s="24" t="s">
        <v>858</v>
      </c>
      <c r="B646" s="24" t="s">
        <v>42</v>
      </c>
      <c r="C646" s="24" t="s">
        <v>281</v>
      </c>
      <c r="D646" s="25">
        <v>7166</v>
      </c>
      <c r="E646" s="25">
        <v>101084</v>
      </c>
      <c r="F646" s="26">
        <v>16508.3</v>
      </c>
      <c r="G646" s="27">
        <v>16.331268999999999</v>
      </c>
    </row>
    <row r="647" spans="1:7" hidden="1" x14ac:dyDescent="0.25">
      <c r="A647" s="24" t="s">
        <v>859</v>
      </c>
      <c r="B647" s="24" t="s">
        <v>42</v>
      </c>
      <c r="C647" s="24" t="s">
        <v>281</v>
      </c>
      <c r="D647" s="25">
        <v>3236</v>
      </c>
      <c r="E647" s="25">
        <v>47130</v>
      </c>
      <c r="F647" s="26">
        <v>6542.5</v>
      </c>
      <c r="G647" s="27">
        <v>13.881816000000001</v>
      </c>
    </row>
    <row r="648" spans="1:7" hidden="1" x14ac:dyDescent="0.25">
      <c r="A648" s="24" t="s">
        <v>860</v>
      </c>
      <c r="B648" s="24" t="s">
        <v>42</v>
      </c>
      <c r="C648" s="24" t="s">
        <v>281</v>
      </c>
      <c r="D648" s="25">
        <v>7450</v>
      </c>
      <c r="E648" s="25">
        <v>122188</v>
      </c>
      <c r="F648" s="26">
        <v>17350</v>
      </c>
      <c r="G648" s="27">
        <v>14.19943</v>
      </c>
    </row>
    <row r="649" spans="1:7" hidden="1" x14ac:dyDescent="0.25">
      <c r="A649" s="24" t="s">
        <v>861</v>
      </c>
      <c r="B649" s="24" t="s">
        <v>42</v>
      </c>
      <c r="C649" s="24" t="s">
        <v>281</v>
      </c>
      <c r="D649" s="25">
        <v>5881</v>
      </c>
      <c r="E649" s="25">
        <v>221999</v>
      </c>
      <c r="F649" s="26">
        <v>24619</v>
      </c>
      <c r="G649" s="27">
        <v>11.089689999999999</v>
      </c>
    </row>
    <row r="650" spans="1:7" hidden="1" x14ac:dyDescent="0.25">
      <c r="A650" s="24" t="s">
        <v>862</v>
      </c>
      <c r="B650" s="24" t="s">
        <v>42</v>
      </c>
      <c r="C650" s="24" t="s">
        <v>281</v>
      </c>
      <c r="D650" s="25">
        <v>5398</v>
      </c>
      <c r="E650" s="25">
        <v>58185</v>
      </c>
      <c r="F650" s="26">
        <v>8709.6</v>
      </c>
      <c r="G650" s="27">
        <v>14.968806000000001</v>
      </c>
    </row>
    <row r="651" spans="1:7" hidden="1" x14ac:dyDescent="0.25">
      <c r="A651" s="24" t="s">
        <v>863</v>
      </c>
      <c r="B651" s="24" t="s">
        <v>42</v>
      </c>
      <c r="C651" s="24" t="s">
        <v>283</v>
      </c>
      <c r="D651" s="25">
        <v>4331</v>
      </c>
      <c r="E651" s="25">
        <v>66039</v>
      </c>
      <c r="F651" s="26">
        <v>6996.2</v>
      </c>
      <c r="G651" s="27">
        <v>10.594042999999999</v>
      </c>
    </row>
    <row r="652" spans="1:7" hidden="1" x14ac:dyDescent="0.25">
      <c r="A652" s="24" t="s">
        <v>864</v>
      </c>
      <c r="B652" s="24" t="s">
        <v>42</v>
      </c>
      <c r="C652" s="24" t="s">
        <v>283</v>
      </c>
      <c r="D652" s="25">
        <v>1982</v>
      </c>
      <c r="E652" s="25">
        <v>30691</v>
      </c>
      <c r="F652" s="26">
        <v>4313.8</v>
      </c>
      <c r="G652" s="27">
        <v>14.055586</v>
      </c>
    </row>
    <row r="653" spans="1:7" hidden="1" x14ac:dyDescent="0.25">
      <c r="A653" s="24" t="s">
        <v>865</v>
      </c>
      <c r="B653" s="24" t="s">
        <v>42</v>
      </c>
      <c r="C653" s="24" t="s">
        <v>283</v>
      </c>
      <c r="D653" s="25">
        <v>2317</v>
      </c>
      <c r="E653" s="25">
        <v>41992</v>
      </c>
      <c r="F653" s="26">
        <v>4828</v>
      </c>
      <c r="G653" s="27">
        <v>11.497427999999999</v>
      </c>
    </row>
    <row r="654" spans="1:7" hidden="1" x14ac:dyDescent="0.25">
      <c r="A654" s="24" t="s">
        <v>866</v>
      </c>
      <c r="B654" s="24" t="s">
        <v>42</v>
      </c>
      <c r="C654" s="24" t="s">
        <v>283</v>
      </c>
      <c r="D654" s="25">
        <v>1587</v>
      </c>
      <c r="E654" s="25">
        <v>29781</v>
      </c>
      <c r="F654" s="26">
        <v>3606.7</v>
      </c>
      <c r="G654" s="27">
        <v>12.110742</v>
      </c>
    </row>
    <row r="655" spans="1:7" hidden="1" x14ac:dyDescent="0.25">
      <c r="A655" s="24" t="s">
        <v>867</v>
      </c>
      <c r="B655" s="24" t="s">
        <v>42</v>
      </c>
      <c r="C655" s="24" t="s">
        <v>283</v>
      </c>
      <c r="D655" s="25">
        <v>5651</v>
      </c>
      <c r="E655" s="25">
        <v>281270</v>
      </c>
      <c r="F655" s="26">
        <v>20858.599999999999</v>
      </c>
      <c r="G655" s="27">
        <v>7.4158638000000003</v>
      </c>
    </row>
    <row r="656" spans="1:7" hidden="1" x14ac:dyDescent="0.25">
      <c r="A656" s="24" t="s">
        <v>868</v>
      </c>
      <c r="B656" s="24" t="s">
        <v>42</v>
      </c>
      <c r="C656" s="24" t="s">
        <v>283</v>
      </c>
      <c r="D656" s="25">
        <v>2764</v>
      </c>
      <c r="E656" s="25">
        <v>44148</v>
      </c>
      <c r="F656" s="26">
        <v>5311.2</v>
      </c>
      <c r="G656" s="27">
        <v>12.030443</v>
      </c>
    </row>
    <row r="657" spans="1:7" hidden="1" x14ac:dyDescent="0.25">
      <c r="A657" s="24" t="s">
        <v>869</v>
      </c>
      <c r="B657" s="24" t="s">
        <v>42</v>
      </c>
      <c r="C657" s="24" t="s">
        <v>283</v>
      </c>
      <c r="D657" s="25">
        <v>6052</v>
      </c>
      <c r="E657" s="25">
        <v>758659</v>
      </c>
      <c r="F657" s="26">
        <v>50898.1</v>
      </c>
      <c r="G657" s="27">
        <v>6.7089562000000003</v>
      </c>
    </row>
    <row r="658" spans="1:7" hidden="1" x14ac:dyDescent="0.25">
      <c r="A658" s="24" t="s">
        <v>870</v>
      </c>
      <c r="B658" s="24" t="s">
        <v>42</v>
      </c>
      <c r="C658" s="24" t="s">
        <v>283</v>
      </c>
      <c r="D658" s="25">
        <v>3083</v>
      </c>
      <c r="E658" s="25">
        <v>58667</v>
      </c>
      <c r="F658" s="26">
        <v>5828.3</v>
      </c>
      <c r="G658" s="27">
        <v>9.9345458000000004</v>
      </c>
    </row>
    <row r="659" spans="1:7" hidden="1" x14ac:dyDescent="0.25">
      <c r="A659" s="24" t="s">
        <v>871</v>
      </c>
      <c r="B659" s="24" t="s">
        <v>42</v>
      </c>
      <c r="C659" s="24" t="s">
        <v>283</v>
      </c>
      <c r="D659" s="25">
        <v>2516</v>
      </c>
      <c r="E659" s="25">
        <v>40584</v>
      </c>
      <c r="F659" s="26">
        <v>4837.8999999999996</v>
      </c>
      <c r="G659" s="27">
        <v>11.920707999999999</v>
      </c>
    </row>
    <row r="660" spans="1:7" hidden="1" x14ac:dyDescent="0.25">
      <c r="A660" s="24" t="s">
        <v>872</v>
      </c>
      <c r="B660" s="24" t="s">
        <v>42</v>
      </c>
      <c r="C660" s="24" t="s">
        <v>283</v>
      </c>
      <c r="D660" s="25">
        <v>11638</v>
      </c>
      <c r="E660" s="25">
        <v>289832</v>
      </c>
      <c r="F660" s="26">
        <v>29141</v>
      </c>
      <c r="G660" s="27">
        <v>10.054444999999999</v>
      </c>
    </row>
    <row r="661" spans="1:7" hidden="1" x14ac:dyDescent="0.25">
      <c r="A661" s="24" t="s">
        <v>873</v>
      </c>
      <c r="B661" s="24" t="s">
        <v>42</v>
      </c>
      <c r="C661" s="24" t="s">
        <v>283</v>
      </c>
      <c r="D661" s="25">
        <v>8602</v>
      </c>
      <c r="E661" s="25">
        <v>142543</v>
      </c>
      <c r="F661" s="26">
        <v>14589</v>
      </c>
      <c r="G661" s="27">
        <v>10.234806000000001</v>
      </c>
    </row>
    <row r="662" spans="1:7" hidden="1" x14ac:dyDescent="0.25">
      <c r="A662" s="24" t="s">
        <v>874</v>
      </c>
      <c r="B662" s="24" t="s">
        <v>42</v>
      </c>
      <c r="C662" s="24" t="s">
        <v>283</v>
      </c>
      <c r="D662" s="25">
        <v>1822</v>
      </c>
      <c r="E662" s="25">
        <v>25604</v>
      </c>
      <c r="F662" s="26">
        <v>2759.5</v>
      </c>
      <c r="G662" s="27">
        <v>10.777613000000001</v>
      </c>
    </row>
    <row r="663" spans="1:7" hidden="1" x14ac:dyDescent="0.25">
      <c r="A663" s="24" t="s">
        <v>875</v>
      </c>
      <c r="B663" s="24" t="s">
        <v>42</v>
      </c>
      <c r="C663" s="24" t="s">
        <v>283</v>
      </c>
      <c r="D663" s="25">
        <v>1571</v>
      </c>
      <c r="E663" s="25">
        <v>29587</v>
      </c>
      <c r="F663" s="26">
        <v>3699</v>
      </c>
      <c r="G663" s="27">
        <v>12.502112</v>
      </c>
    </row>
    <row r="664" spans="1:7" hidden="1" x14ac:dyDescent="0.25">
      <c r="A664" s="24" t="s">
        <v>876</v>
      </c>
      <c r="B664" s="24" t="s">
        <v>42</v>
      </c>
      <c r="C664" s="24" t="s">
        <v>283</v>
      </c>
      <c r="D664" s="25">
        <v>2688</v>
      </c>
      <c r="E664" s="25">
        <v>44061</v>
      </c>
      <c r="F664" s="26">
        <v>5859</v>
      </c>
      <c r="G664" s="27">
        <v>13.297473999999999</v>
      </c>
    </row>
    <row r="665" spans="1:7" hidden="1" x14ac:dyDescent="0.25">
      <c r="A665" s="24" t="s">
        <v>877</v>
      </c>
      <c r="B665" s="24" t="s">
        <v>42</v>
      </c>
      <c r="C665" s="24" t="s">
        <v>283</v>
      </c>
      <c r="D665" s="25">
        <v>2480</v>
      </c>
      <c r="E665" s="25">
        <v>43446</v>
      </c>
      <c r="F665" s="26">
        <v>3431</v>
      </c>
      <c r="G665" s="27">
        <v>7.8971596999999996</v>
      </c>
    </row>
    <row r="666" spans="1:7" hidden="1" x14ac:dyDescent="0.25">
      <c r="A666" s="24" t="s">
        <v>878</v>
      </c>
      <c r="B666" s="24" t="s">
        <v>42</v>
      </c>
      <c r="C666" s="24" t="s">
        <v>283</v>
      </c>
      <c r="D666" s="25">
        <v>2013</v>
      </c>
      <c r="E666" s="25">
        <v>36170</v>
      </c>
      <c r="F666" s="26">
        <v>4442</v>
      </c>
      <c r="G666" s="27">
        <v>12.280896</v>
      </c>
    </row>
    <row r="667" spans="1:7" hidden="1" x14ac:dyDescent="0.25">
      <c r="A667" s="24" t="s">
        <v>879</v>
      </c>
      <c r="B667" s="24" t="s">
        <v>42</v>
      </c>
      <c r="C667" s="24" t="s">
        <v>283</v>
      </c>
      <c r="D667" s="25">
        <v>3659</v>
      </c>
      <c r="E667" s="25">
        <v>98189</v>
      </c>
      <c r="F667" s="26">
        <v>8986</v>
      </c>
      <c r="G667" s="27">
        <v>9.1517379999999999</v>
      </c>
    </row>
    <row r="668" spans="1:7" hidden="1" x14ac:dyDescent="0.25">
      <c r="A668" s="24" t="s">
        <v>880</v>
      </c>
      <c r="B668" s="24" t="s">
        <v>42</v>
      </c>
      <c r="C668" s="24" t="s">
        <v>283</v>
      </c>
      <c r="D668" s="25">
        <v>65501</v>
      </c>
      <c r="E668" s="25">
        <v>2136486</v>
      </c>
      <c r="F668" s="26">
        <v>227648</v>
      </c>
      <c r="G668" s="27">
        <v>10.655253999999999</v>
      </c>
    </row>
    <row r="669" spans="1:7" hidden="1" x14ac:dyDescent="0.25">
      <c r="A669" s="24" t="s">
        <v>881</v>
      </c>
      <c r="B669" s="24" t="s">
        <v>42</v>
      </c>
      <c r="C669" s="24" t="s">
        <v>283</v>
      </c>
      <c r="D669" s="25">
        <v>1975</v>
      </c>
      <c r="E669" s="25">
        <v>38825</v>
      </c>
      <c r="F669" s="26">
        <v>4846</v>
      </c>
      <c r="G669" s="27">
        <v>12.481648</v>
      </c>
    </row>
    <row r="670" spans="1:7" hidden="1" x14ac:dyDescent="0.25">
      <c r="A670" s="24" t="s">
        <v>882</v>
      </c>
      <c r="B670" s="24" t="s">
        <v>42</v>
      </c>
      <c r="C670" s="24" t="s">
        <v>283</v>
      </c>
      <c r="D670" s="25">
        <v>2515</v>
      </c>
      <c r="E670" s="25">
        <v>38814</v>
      </c>
      <c r="F670" s="26">
        <v>4752</v>
      </c>
      <c r="G670" s="27">
        <v>12.243005</v>
      </c>
    </row>
    <row r="671" spans="1:7" hidden="1" x14ac:dyDescent="0.25">
      <c r="A671" s="24" t="s">
        <v>883</v>
      </c>
      <c r="B671" s="24" t="s">
        <v>42</v>
      </c>
      <c r="C671" s="24" t="s">
        <v>283</v>
      </c>
      <c r="D671" s="25">
        <v>8402</v>
      </c>
      <c r="E671" s="25">
        <v>969480</v>
      </c>
      <c r="F671" s="26">
        <v>53908</v>
      </c>
      <c r="G671" s="27">
        <v>5.5605067000000004</v>
      </c>
    </row>
    <row r="672" spans="1:7" hidden="1" x14ac:dyDescent="0.25">
      <c r="A672" s="24" t="s">
        <v>884</v>
      </c>
      <c r="B672" s="24" t="s">
        <v>42</v>
      </c>
      <c r="C672" s="24" t="s">
        <v>283</v>
      </c>
      <c r="D672" s="25">
        <v>1027</v>
      </c>
      <c r="E672" s="25">
        <v>29158</v>
      </c>
      <c r="F672" s="26">
        <v>2970.7</v>
      </c>
      <c r="G672" s="27">
        <v>10.188285</v>
      </c>
    </row>
    <row r="673" spans="1:7" hidden="1" x14ac:dyDescent="0.25">
      <c r="A673" s="24" t="s">
        <v>885</v>
      </c>
      <c r="B673" s="24" t="s">
        <v>42</v>
      </c>
      <c r="C673" s="24" t="s">
        <v>283</v>
      </c>
      <c r="D673" s="25">
        <v>2718</v>
      </c>
      <c r="E673" s="25">
        <v>37115</v>
      </c>
      <c r="F673" s="26">
        <v>4790</v>
      </c>
      <c r="G673" s="27">
        <v>12.905832999999999</v>
      </c>
    </row>
    <row r="674" spans="1:7" hidden="1" x14ac:dyDescent="0.25">
      <c r="A674" s="24" t="s">
        <v>886</v>
      </c>
      <c r="B674" s="24" t="s">
        <v>42</v>
      </c>
      <c r="C674" s="24" t="s">
        <v>283</v>
      </c>
      <c r="D674" s="25">
        <v>1577</v>
      </c>
      <c r="E674" s="25">
        <v>36665</v>
      </c>
      <c r="F674" s="26">
        <v>2821</v>
      </c>
      <c r="G674" s="27">
        <v>7.6939861000000001</v>
      </c>
    </row>
    <row r="675" spans="1:7" hidden="1" x14ac:dyDescent="0.25">
      <c r="A675" s="24" t="s">
        <v>887</v>
      </c>
      <c r="B675" s="24" t="s">
        <v>42</v>
      </c>
      <c r="C675" s="24" t="s">
        <v>283</v>
      </c>
      <c r="D675" s="25">
        <v>1560</v>
      </c>
      <c r="E675" s="25">
        <v>31285</v>
      </c>
      <c r="F675" s="26">
        <v>3498</v>
      </c>
      <c r="G675" s="27">
        <v>11.181077</v>
      </c>
    </row>
    <row r="676" spans="1:7" hidden="1" x14ac:dyDescent="0.25">
      <c r="A676" s="24" t="s">
        <v>888</v>
      </c>
      <c r="B676" s="24" t="s">
        <v>42</v>
      </c>
      <c r="C676" s="24" t="s">
        <v>283</v>
      </c>
      <c r="D676" s="25">
        <v>2082</v>
      </c>
      <c r="E676" s="25">
        <v>27389</v>
      </c>
      <c r="F676" s="26">
        <v>3427</v>
      </c>
      <c r="G676" s="27">
        <v>12.512321999999999</v>
      </c>
    </row>
    <row r="677" spans="1:7" hidden="1" x14ac:dyDescent="0.25">
      <c r="A677" s="24" t="s">
        <v>889</v>
      </c>
      <c r="B677" s="24" t="s">
        <v>42</v>
      </c>
      <c r="C677" s="24" t="s">
        <v>283</v>
      </c>
      <c r="D677" s="25">
        <v>6125</v>
      </c>
      <c r="E677" s="25">
        <v>140808</v>
      </c>
      <c r="F677" s="26">
        <v>12401.7</v>
      </c>
      <c r="G677" s="27">
        <v>8.8075250999999994</v>
      </c>
    </row>
    <row r="678" spans="1:7" hidden="1" x14ac:dyDescent="0.25">
      <c r="A678" s="24" t="s">
        <v>890</v>
      </c>
      <c r="B678" s="24" t="s">
        <v>42</v>
      </c>
      <c r="C678" s="24" t="s">
        <v>283</v>
      </c>
      <c r="D678" s="25">
        <v>4066</v>
      </c>
      <c r="E678" s="25">
        <v>73382</v>
      </c>
      <c r="F678" s="26">
        <v>9567.2999999999993</v>
      </c>
      <c r="G678" s="27">
        <v>13.037666</v>
      </c>
    </row>
    <row r="679" spans="1:7" hidden="1" x14ac:dyDescent="0.25">
      <c r="A679" s="24" t="s">
        <v>891</v>
      </c>
      <c r="B679" s="24" t="s">
        <v>42</v>
      </c>
      <c r="C679" s="24" t="s">
        <v>283</v>
      </c>
      <c r="D679" s="25">
        <v>3385</v>
      </c>
      <c r="E679" s="25">
        <v>106623</v>
      </c>
      <c r="F679" s="26">
        <v>10081</v>
      </c>
      <c r="G679" s="27">
        <v>9.4548080999999993</v>
      </c>
    </row>
    <row r="680" spans="1:7" hidden="1" x14ac:dyDescent="0.25">
      <c r="A680" s="24" t="s">
        <v>892</v>
      </c>
      <c r="B680" s="24" t="s">
        <v>42</v>
      </c>
      <c r="C680" s="24" t="s">
        <v>283</v>
      </c>
      <c r="D680" s="25">
        <v>1901</v>
      </c>
      <c r="E680" s="25">
        <v>44802</v>
      </c>
      <c r="F680" s="26">
        <v>4662</v>
      </c>
      <c r="G680" s="27">
        <v>10.405785</v>
      </c>
    </row>
    <row r="681" spans="1:7" hidden="1" x14ac:dyDescent="0.25">
      <c r="A681" s="24" t="s">
        <v>893</v>
      </c>
      <c r="B681" s="24" t="s">
        <v>42</v>
      </c>
      <c r="C681" s="24" t="s">
        <v>283</v>
      </c>
      <c r="D681" s="25">
        <v>1271</v>
      </c>
      <c r="E681" s="25">
        <v>32257</v>
      </c>
      <c r="F681" s="26">
        <v>2443</v>
      </c>
      <c r="G681" s="27">
        <v>7.5735498999999997</v>
      </c>
    </row>
    <row r="682" spans="1:7" hidden="1" x14ac:dyDescent="0.25">
      <c r="A682" s="24" t="s">
        <v>894</v>
      </c>
      <c r="B682" s="24" t="s">
        <v>42</v>
      </c>
      <c r="C682" s="24" t="s">
        <v>283</v>
      </c>
      <c r="D682" s="25">
        <v>2358</v>
      </c>
      <c r="E682" s="25">
        <v>45089</v>
      </c>
      <c r="F682" s="26">
        <v>4788</v>
      </c>
      <c r="G682" s="27">
        <v>10.618997999999999</v>
      </c>
    </row>
    <row r="683" spans="1:7" hidden="1" x14ac:dyDescent="0.25">
      <c r="A683" s="24" t="s">
        <v>895</v>
      </c>
      <c r="B683" s="24" t="s">
        <v>42</v>
      </c>
      <c r="C683" s="24" t="s">
        <v>283</v>
      </c>
      <c r="D683" s="25">
        <v>4404</v>
      </c>
      <c r="E683" s="25">
        <v>99848</v>
      </c>
      <c r="F683" s="26">
        <v>13875.9</v>
      </c>
      <c r="G683" s="27">
        <v>13.897023000000001</v>
      </c>
    </row>
    <row r="684" spans="1:7" hidden="1" x14ac:dyDescent="0.25">
      <c r="A684" s="24" t="s">
        <v>896</v>
      </c>
      <c r="B684" s="24" t="s">
        <v>42</v>
      </c>
      <c r="C684" s="24" t="s">
        <v>283</v>
      </c>
      <c r="D684" s="25">
        <v>6928</v>
      </c>
      <c r="E684" s="25">
        <v>291868</v>
      </c>
      <c r="F684" s="26">
        <v>27212</v>
      </c>
      <c r="G684" s="27">
        <v>9.3233928000000006</v>
      </c>
    </row>
    <row r="685" spans="1:7" hidden="1" x14ac:dyDescent="0.25">
      <c r="A685" s="24" t="s">
        <v>897</v>
      </c>
      <c r="B685" s="24" t="s">
        <v>42</v>
      </c>
      <c r="C685" s="24" t="s">
        <v>281</v>
      </c>
      <c r="D685" s="25">
        <v>8320</v>
      </c>
      <c r="E685" s="25">
        <v>121867</v>
      </c>
      <c r="F685" s="26">
        <v>19403</v>
      </c>
      <c r="G685" s="27">
        <v>15.921455</v>
      </c>
    </row>
    <row r="686" spans="1:7" hidden="1" x14ac:dyDescent="0.25">
      <c r="A686" s="24" t="s">
        <v>369</v>
      </c>
      <c r="B686" s="24" t="s">
        <v>42</v>
      </c>
      <c r="C686" s="24" t="s">
        <v>278</v>
      </c>
      <c r="D686" s="25">
        <v>9667</v>
      </c>
      <c r="E686" s="25">
        <v>219420</v>
      </c>
      <c r="F686" s="26">
        <v>23138.799999999999</v>
      </c>
      <c r="G686" s="27">
        <v>10.545438000000001</v>
      </c>
    </row>
    <row r="687" spans="1:7" hidden="1" x14ac:dyDescent="0.25">
      <c r="A687" s="24" t="s">
        <v>898</v>
      </c>
      <c r="B687" s="24" t="s">
        <v>42</v>
      </c>
      <c r="C687" s="24" t="s">
        <v>281</v>
      </c>
      <c r="D687" s="25">
        <v>6646</v>
      </c>
      <c r="E687" s="25">
        <v>75842</v>
      </c>
      <c r="F687" s="26">
        <v>11289</v>
      </c>
      <c r="G687" s="27">
        <v>14.884892000000001</v>
      </c>
    </row>
    <row r="688" spans="1:7" hidden="1" x14ac:dyDescent="0.25">
      <c r="A688" s="24" t="s">
        <v>899</v>
      </c>
      <c r="B688" s="24" t="s">
        <v>42</v>
      </c>
      <c r="C688" s="24" t="s">
        <v>281</v>
      </c>
      <c r="D688" s="25">
        <v>17918</v>
      </c>
      <c r="E688" s="25">
        <v>259069</v>
      </c>
      <c r="F688" s="26">
        <v>37802</v>
      </c>
      <c r="G688" s="27">
        <v>14.591479</v>
      </c>
    </row>
    <row r="689" spans="1:7" hidden="1" x14ac:dyDescent="0.25">
      <c r="A689" s="24" t="s">
        <v>900</v>
      </c>
      <c r="B689" s="24" t="s">
        <v>42</v>
      </c>
      <c r="C689" s="24" t="s">
        <v>281</v>
      </c>
      <c r="D689" s="25">
        <v>11289</v>
      </c>
      <c r="E689" s="25">
        <v>176097</v>
      </c>
      <c r="F689" s="26">
        <v>22754.5</v>
      </c>
      <c r="G689" s="27">
        <v>12.921571999999999</v>
      </c>
    </row>
    <row r="690" spans="1:7" hidden="1" x14ac:dyDescent="0.25">
      <c r="A690" s="24" t="s">
        <v>901</v>
      </c>
      <c r="B690" s="24" t="s">
        <v>42</v>
      </c>
      <c r="C690" s="24" t="s">
        <v>278</v>
      </c>
      <c r="D690" s="25">
        <v>254913</v>
      </c>
      <c r="E690" s="25">
        <v>6245054</v>
      </c>
      <c r="F690" s="26">
        <v>739553.3</v>
      </c>
      <c r="G690" s="27">
        <v>11.842224</v>
      </c>
    </row>
    <row r="691" spans="1:7" hidden="1" x14ac:dyDescent="0.25">
      <c r="A691" s="24" t="s">
        <v>902</v>
      </c>
      <c r="B691" s="24" t="s">
        <v>42</v>
      </c>
      <c r="C691" s="24" t="s">
        <v>278</v>
      </c>
      <c r="D691" s="25">
        <v>328084</v>
      </c>
      <c r="E691" s="25">
        <v>9683824</v>
      </c>
      <c r="F691" s="26">
        <v>960586.8</v>
      </c>
      <c r="G691" s="27">
        <v>9.9194987000000001</v>
      </c>
    </row>
    <row r="692" spans="1:7" hidden="1" x14ac:dyDescent="0.25">
      <c r="A692" s="24" t="s">
        <v>903</v>
      </c>
      <c r="B692" s="24" t="s">
        <v>42</v>
      </c>
      <c r="C692" s="24" t="s">
        <v>281</v>
      </c>
      <c r="D692" s="25">
        <v>5834</v>
      </c>
      <c r="E692" s="25">
        <v>129976</v>
      </c>
      <c r="F692" s="26">
        <v>16010</v>
      </c>
      <c r="G692" s="27">
        <v>12.317659000000001</v>
      </c>
    </row>
    <row r="693" spans="1:7" hidden="1" x14ac:dyDescent="0.25">
      <c r="A693" s="24" t="s">
        <v>904</v>
      </c>
      <c r="B693" s="24" t="s">
        <v>42</v>
      </c>
      <c r="C693" s="24" t="s">
        <v>281</v>
      </c>
      <c r="D693" s="25">
        <v>7338</v>
      </c>
      <c r="E693" s="25">
        <v>92716</v>
      </c>
      <c r="F693" s="26">
        <v>14545.8</v>
      </c>
      <c r="G693" s="27">
        <v>15.688554</v>
      </c>
    </row>
    <row r="694" spans="1:7" hidden="1" x14ac:dyDescent="0.25">
      <c r="A694" s="24" t="s">
        <v>905</v>
      </c>
      <c r="B694" s="24" t="s">
        <v>42</v>
      </c>
      <c r="C694" s="24" t="s">
        <v>281</v>
      </c>
      <c r="D694" s="25">
        <v>50118</v>
      </c>
      <c r="E694" s="25">
        <v>1467395</v>
      </c>
      <c r="F694" s="26">
        <v>148035.5</v>
      </c>
      <c r="G694" s="27">
        <v>10.08832</v>
      </c>
    </row>
    <row r="695" spans="1:7" hidden="1" x14ac:dyDescent="0.25">
      <c r="A695" s="24" t="s">
        <v>906</v>
      </c>
      <c r="B695" s="24" t="s">
        <v>42</v>
      </c>
      <c r="C695" s="24" t="s">
        <v>281</v>
      </c>
      <c r="D695" s="25">
        <v>3453</v>
      </c>
      <c r="E695" s="25">
        <v>43965</v>
      </c>
      <c r="F695" s="26">
        <v>6143.2</v>
      </c>
      <c r="G695" s="27">
        <v>13.972932999999999</v>
      </c>
    </row>
    <row r="696" spans="1:7" hidden="1" x14ac:dyDescent="0.25">
      <c r="A696" s="24" t="s">
        <v>907</v>
      </c>
      <c r="B696" s="24" t="s">
        <v>42</v>
      </c>
      <c r="C696" s="24" t="s">
        <v>281</v>
      </c>
      <c r="D696" s="25">
        <v>4111</v>
      </c>
      <c r="E696" s="25">
        <v>89981</v>
      </c>
      <c r="F696" s="26">
        <v>12190</v>
      </c>
      <c r="G696" s="27">
        <v>13.547304</v>
      </c>
    </row>
    <row r="697" spans="1:7" hidden="1" x14ac:dyDescent="0.25">
      <c r="A697" s="24" t="s">
        <v>908</v>
      </c>
      <c r="B697" s="24" t="s">
        <v>42</v>
      </c>
      <c r="C697" s="24" t="s">
        <v>281</v>
      </c>
      <c r="D697" s="25">
        <v>16618</v>
      </c>
      <c r="E697" s="25">
        <v>812625</v>
      </c>
      <c r="F697" s="26">
        <v>73067</v>
      </c>
      <c r="G697" s="27">
        <v>8.9914781999999995</v>
      </c>
    </row>
    <row r="698" spans="1:7" hidden="1" x14ac:dyDescent="0.25">
      <c r="A698" s="24" t="s">
        <v>909</v>
      </c>
      <c r="B698" s="24" t="s">
        <v>42</v>
      </c>
      <c r="C698" s="24" t="s">
        <v>281</v>
      </c>
      <c r="D698" s="25">
        <v>24831</v>
      </c>
      <c r="E698" s="25">
        <v>479086</v>
      </c>
      <c r="F698" s="26">
        <v>55220</v>
      </c>
      <c r="G698" s="27">
        <v>11.526114</v>
      </c>
    </row>
    <row r="699" spans="1:7" hidden="1" x14ac:dyDescent="0.25">
      <c r="A699" s="24" t="s">
        <v>910</v>
      </c>
      <c r="B699" s="24" t="s">
        <v>42</v>
      </c>
      <c r="C699" s="24" t="s">
        <v>281</v>
      </c>
      <c r="D699" s="25">
        <v>5434</v>
      </c>
      <c r="E699" s="25">
        <v>66564</v>
      </c>
      <c r="F699" s="26">
        <v>9398</v>
      </c>
      <c r="G699" s="27">
        <v>14.118743</v>
      </c>
    </row>
    <row r="700" spans="1:7" hidden="1" x14ac:dyDescent="0.25">
      <c r="A700" s="24" t="s">
        <v>911</v>
      </c>
      <c r="B700" s="24" t="s">
        <v>42</v>
      </c>
      <c r="C700" s="24" t="s">
        <v>281</v>
      </c>
      <c r="D700" s="25">
        <v>11000</v>
      </c>
      <c r="E700" s="25">
        <v>163426</v>
      </c>
      <c r="F700" s="26">
        <v>23289</v>
      </c>
      <c r="G700" s="27">
        <v>14.250486</v>
      </c>
    </row>
    <row r="701" spans="1:7" hidden="1" x14ac:dyDescent="0.25">
      <c r="A701" s="24" t="s">
        <v>912</v>
      </c>
      <c r="B701" s="24" t="s">
        <v>42</v>
      </c>
      <c r="C701" s="24" t="s">
        <v>281</v>
      </c>
      <c r="D701" s="25">
        <v>6747</v>
      </c>
      <c r="E701" s="25">
        <v>132623</v>
      </c>
      <c r="F701" s="26">
        <v>16703</v>
      </c>
      <c r="G701" s="27">
        <v>12.594346</v>
      </c>
    </row>
    <row r="702" spans="1:7" hidden="1" x14ac:dyDescent="0.25">
      <c r="A702" s="24" t="s">
        <v>913</v>
      </c>
      <c r="B702" s="24" t="s">
        <v>42</v>
      </c>
      <c r="C702" s="24" t="s">
        <v>281</v>
      </c>
      <c r="D702" s="25">
        <v>16939</v>
      </c>
      <c r="E702" s="25">
        <v>753478</v>
      </c>
      <c r="F702" s="26">
        <v>67509</v>
      </c>
      <c r="G702" s="27">
        <v>8.9596511000000003</v>
      </c>
    </row>
    <row r="703" spans="1:7" hidden="1" x14ac:dyDescent="0.25">
      <c r="A703" s="24" t="s">
        <v>914</v>
      </c>
      <c r="B703" s="24" t="s">
        <v>42</v>
      </c>
      <c r="C703" s="24" t="s">
        <v>281</v>
      </c>
      <c r="D703" s="25">
        <v>4452</v>
      </c>
      <c r="E703" s="25">
        <v>73071</v>
      </c>
      <c r="F703" s="26">
        <v>11567</v>
      </c>
      <c r="G703" s="27">
        <v>15.829808999999999</v>
      </c>
    </row>
    <row r="704" spans="1:7" hidden="1" x14ac:dyDescent="0.25">
      <c r="A704" s="24" t="s">
        <v>505</v>
      </c>
      <c r="B704" s="24" t="s">
        <v>42</v>
      </c>
      <c r="C704" s="24" t="s">
        <v>281</v>
      </c>
      <c r="D704" s="25">
        <v>1292</v>
      </c>
      <c r="E704" s="25">
        <v>20464</v>
      </c>
      <c r="F704" s="26">
        <v>2837.3</v>
      </c>
      <c r="G704" s="27">
        <v>13.864836</v>
      </c>
    </row>
    <row r="705" spans="1:7" hidden="1" x14ac:dyDescent="0.25">
      <c r="A705" s="24" t="s">
        <v>915</v>
      </c>
      <c r="B705" s="24" t="s">
        <v>42</v>
      </c>
      <c r="C705" s="24" t="s">
        <v>281</v>
      </c>
      <c r="D705" s="25">
        <v>3045</v>
      </c>
      <c r="E705" s="25">
        <v>33089</v>
      </c>
      <c r="F705" s="26">
        <v>5964.7</v>
      </c>
      <c r="G705" s="27">
        <v>18.026232</v>
      </c>
    </row>
    <row r="706" spans="1:7" hidden="1" x14ac:dyDescent="0.25">
      <c r="A706" s="24" t="s">
        <v>916</v>
      </c>
      <c r="B706" s="24" t="s">
        <v>42</v>
      </c>
      <c r="C706" s="24" t="s">
        <v>281</v>
      </c>
      <c r="D706" s="25">
        <v>19654</v>
      </c>
      <c r="E706" s="25">
        <v>690158</v>
      </c>
      <c r="F706" s="26">
        <v>68872.800000000003</v>
      </c>
      <c r="G706" s="27">
        <v>9.9792801000000004</v>
      </c>
    </row>
    <row r="707" spans="1:7" hidden="1" x14ac:dyDescent="0.25">
      <c r="A707" s="24" t="s">
        <v>422</v>
      </c>
      <c r="B707" s="24" t="s">
        <v>42</v>
      </c>
      <c r="C707" s="24" t="s">
        <v>351</v>
      </c>
      <c r="D707" s="25">
        <v>6</v>
      </c>
      <c r="E707" s="25">
        <v>24146</v>
      </c>
      <c r="F707" s="26">
        <v>882.2</v>
      </c>
      <c r="G707" s="27">
        <v>3.6536072000000002</v>
      </c>
    </row>
    <row r="708" spans="1:7" hidden="1" x14ac:dyDescent="0.25">
      <c r="A708" s="24" t="s">
        <v>917</v>
      </c>
      <c r="B708" s="24" t="s">
        <v>42</v>
      </c>
      <c r="C708" s="24" t="s">
        <v>278</v>
      </c>
      <c r="D708" s="25">
        <v>379759</v>
      </c>
      <c r="E708" s="25">
        <v>9609360</v>
      </c>
      <c r="F708" s="26">
        <v>1030671.3</v>
      </c>
      <c r="G708" s="27">
        <v>10.725702</v>
      </c>
    </row>
    <row r="709" spans="1:7" hidden="1" x14ac:dyDescent="0.25">
      <c r="A709" s="24" t="s">
        <v>918</v>
      </c>
      <c r="B709" s="24" t="s">
        <v>42</v>
      </c>
      <c r="C709" s="24" t="s">
        <v>281</v>
      </c>
      <c r="D709" s="25">
        <v>12234</v>
      </c>
      <c r="E709" s="25">
        <v>360736</v>
      </c>
      <c r="F709" s="26">
        <v>36779.9</v>
      </c>
      <c r="G709" s="27">
        <v>10.195793999999999</v>
      </c>
    </row>
    <row r="710" spans="1:7" hidden="1" x14ac:dyDescent="0.25">
      <c r="A710" s="24" t="s">
        <v>507</v>
      </c>
      <c r="B710" s="24" t="s">
        <v>42</v>
      </c>
      <c r="C710" s="24" t="s">
        <v>281</v>
      </c>
      <c r="D710" s="25">
        <v>32433</v>
      </c>
      <c r="E710" s="25">
        <v>773833</v>
      </c>
      <c r="F710" s="26">
        <v>93368.5</v>
      </c>
      <c r="G710" s="27">
        <v>12.065716999999999</v>
      </c>
    </row>
    <row r="711" spans="1:7" hidden="1" x14ac:dyDescent="0.25">
      <c r="A711" s="24" t="s">
        <v>919</v>
      </c>
      <c r="B711" s="24" t="s">
        <v>45</v>
      </c>
      <c r="C711" s="24" t="s">
        <v>283</v>
      </c>
      <c r="D711" s="25">
        <v>4128</v>
      </c>
      <c r="E711" s="25">
        <v>88488</v>
      </c>
      <c r="F711" s="26">
        <v>8282.1</v>
      </c>
      <c r="G711" s="27">
        <v>9.3595742000000008</v>
      </c>
    </row>
    <row r="712" spans="1:7" hidden="1" x14ac:dyDescent="0.25">
      <c r="A712" s="24" t="s">
        <v>920</v>
      </c>
      <c r="B712" s="24" t="s">
        <v>45</v>
      </c>
      <c r="C712" s="24" t="s">
        <v>281</v>
      </c>
      <c r="D712" s="25">
        <v>12939</v>
      </c>
      <c r="E712" s="25">
        <v>191158</v>
      </c>
      <c r="F712" s="26">
        <v>22147</v>
      </c>
      <c r="G712" s="27">
        <v>11.585704</v>
      </c>
    </row>
    <row r="713" spans="1:7" hidden="1" x14ac:dyDescent="0.25">
      <c r="A713" s="24" t="s">
        <v>921</v>
      </c>
      <c r="B713" s="24" t="s">
        <v>45</v>
      </c>
      <c r="C713" s="24" t="s">
        <v>281</v>
      </c>
      <c r="D713" s="25">
        <v>57912</v>
      </c>
      <c r="E713" s="25">
        <v>1274926</v>
      </c>
      <c r="F713" s="26">
        <v>118843</v>
      </c>
      <c r="G713" s="27">
        <v>9.3215605999999998</v>
      </c>
    </row>
    <row r="714" spans="1:7" hidden="1" x14ac:dyDescent="0.25">
      <c r="A714" s="24" t="s">
        <v>922</v>
      </c>
      <c r="B714" s="24" t="s">
        <v>45</v>
      </c>
      <c r="C714" s="24" t="s">
        <v>283</v>
      </c>
      <c r="D714" s="25">
        <v>4584</v>
      </c>
      <c r="E714" s="25">
        <v>192741</v>
      </c>
      <c r="F714" s="26">
        <v>16095</v>
      </c>
      <c r="G714" s="27">
        <v>8.3505845000000001</v>
      </c>
    </row>
    <row r="715" spans="1:7" hidden="1" x14ac:dyDescent="0.25">
      <c r="A715" s="24" t="s">
        <v>923</v>
      </c>
      <c r="B715" s="24" t="s">
        <v>45</v>
      </c>
      <c r="C715" s="24" t="s">
        <v>283</v>
      </c>
      <c r="D715" s="25">
        <v>2523</v>
      </c>
      <c r="E715" s="25">
        <v>67399</v>
      </c>
      <c r="F715" s="26">
        <v>7422</v>
      </c>
      <c r="G715" s="27">
        <v>11.012033000000001</v>
      </c>
    </row>
    <row r="716" spans="1:7" hidden="1" x14ac:dyDescent="0.25">
      <c r="A716" s="24" t="s">
        <v>924</v>
      </c>
      <c r="B716" s="24" t="s">
        <v>45</v>
      </c>
      <c r="C716" s="24" t="s">
        <v>283</v>
      </c>
      <c r="D716" s="25">
        <v>5268</v>
      </c>
      <c r="E716" s="25">
        <v>119176</v>
      </c>
      <c r="F716" s="26">
        <v>9931.5</v>
      </c>
      <c r="G716" s="27">
        <v>8.3334732000000002</v>
      </c>
    </row>
    <row r="717" spans="1:7" hidden="1" x14ac:dyDescent="0.25">
      <c r="A717" s="24" t="s">
        <v>925</v>
      </c>
      <c r="B717" s="24" t="s">
        <v>45</v>
      </c>
      <c r="C717" s="24" t="s">
        <v>283</v>
      </c>
      <c r="D717" s="25">
        <v>29729</v>
      </c>
      <c r="E717" s="25">
        <v>877253</v>
      </c>
      <c r="F717" s="26">
        <v>82848</v>
      </c>
      <c r="G717" s="27">
        <v>9.4440258000000004</v>
      </c>
    </row>
    <row r="718" spans="1:7" hidden="1" x14ac:dyDescent="0.25">
      <c r="A718" s="24" t="s">
        <v>926</v>
      </c>
      <c r="B718" s="24" t="s">
        <v>45</v>
      </c>
      <c r="C718" s="24" t="s">
        <v>283</v>
      </c>
      <c r="D718" s="25">
        <v>21594</v>
      </c>
      <c r="E718" s="25">
        <v>667030</v>
      </c>
      <c r="F718" s="26">
        <v>61188.7</v>
      </c>
      <c r="G718" s="27">
        <v>9.1733054999999997</v>
      </c>
    </row>
    <row r="719" spans="1:7" hidden="1" x14ac:dyDescent="0.25">
      <c r="A719" s="24" t="s">
        <v>927</v>
      </c>
      <c r="B719" s="24" t="s">
        <v>45</v>
      </c>
      <c r="C719" s="24" t="s">
        <v>283</v>
      </c>
      <c r="D719" s="25">
        <v>4989</v>
      </c>
      <c r="E719" s="25">
        <v>190841</v>
      </c>
      <c r="F719" s="26">
        <v>16777</v>
      </c>
      <c r="G719" s="27">
        <v>8.7910879000000008</v>
      </c>
    </row>
    <row r="720" spans="1:7" hidden="1" x14ac:dyDescent="0.25">
      <c r="A720" s="24" t="s">
        <v>928</v>
      </c>
      <c r="B720" s="24" t="s">
        <v>45</v>
      </c>
      <c r="C720" s="24" t="s">
        <v>283</v>
      </c>
      <c r="D720" s="25">
        <v>1627</v>
      </c>
      <c r="E720" s="25">
        <v>52302</v>
      </c>
      <c r="F720" s="26">
        <v>5278</v>
      </c>
      <c r="G720" s="27">
        <v>10.091392000000001</v>
      </c>
    </row>
    <row r="721" spans="1:7" hidden="1" x14ac:dyDescent="0.25">
      <c r="A721" s="24" t="s">
        <v>929</v>
      </c>
      <c r="B721" s="24" t="s">
        <v>45</v>
      </c>
      <c r="C721" s="24" t="s">
        <v>283</v>
      </c>
      <c r="D721" s="25">
        <v>7428</v>
      </c>
      <c r="E721" s="25">
        <v>276821</v>
      </c>
      <c r="F721" s="26">
        <v>27612</v>
      </c>
      <c r="G721" s="27">
        <v>9.9746767999999992</v>
      </c>
    </row>
    <row r="722" spans="1:7" hidden="1" x14ac:dyDescent="0.25">
      <c r="A722" s="24" t="s">
        <v>930</v>
      </c>
      <c r="B722" s="24" t="s">
        <v>45</v>
      </c>
      <c r="C722" s="24" t="s">
        <v>283</v>
      </c>
      <c r="D722" s="25">
        <v>1099</v>
      </c>
      <c r="E722" s="25">
        <v>16910</v>
      </c>
      <c r="F722" s="26">
        <v>2313</v>
      </c>
      <c r="G722" s="27">
        <v>13.678297000000001</v>
      </c>
    </row>
    <row r="723" spans="1:7" hidden="1" x14ac:dyDescent="0.25">
      <c r="A723" s="24" t="s">
        <v>931</v>
      </c>
      <c r="B723" s="24" t="s">
        <v>45</v>
      </c>
      <c r="C723" s="24" t="s">
        <v>283</v>
      </c>
      <c r="D723" s="25">
        <v>12980</v>
      </c>
      <c r="E723" s="25">
        <v>342871</v>
      </c>
      <c r="F723" s="26">
        <v>32717</v>
      </c>
      <c r="G723" s="27">
        <v>9.5420727000000003</v>
      </c>
    </row>
    <row r="724" spans="1:7" hidden="1" x14ac:dyDescent="0.25">
      <c r="A724" s="24" t="s">
        <v>932</v>
      </c>
      <c r="B724" s="24" t="s">
        <v>45</v>
      </c>
      <c r="C724" s="24" t="s">
        <v>283</v>
      </c>
      <c r="D724" s="25">
        <v>2161</v>
      </c>
      <c r="E724" s="25">
        <v>27765</v>
      </c>
      <c r="F724" s="26">
        <v>3023</v>
      </c>
      <c r="G724" s="27">
        <v>10.887808</v>
      </c>
    </row>
    <row r="725" spans="1:7" hidden="1" x14ac:dyDescent="0.25">
      <c r="A725" s="24" t="s">
        <v>933</v>
      </c>
      <c r="B725" s="24" t="s">
        <v>45</v>
      </c>
      <c r="C725" s="24" t="s">
        <v>283</v>
      </c>
      <c r="D725" s="25">
        <v>5424</v>
      </c>
      <c r="E725" s="25">
        <v>137869</v>
      </c>
      <c r="F725" s="26">
        <v>15251</v>
      </c>
      <c r="G725" s="27">
        <v>11.06195</v>
      </c>
    </row>
    <row r="726" spans="1:7" hidden="1" x14ac:dyDescent="0.25">
      <c r="A726" s="24" t="s">
        <v>934</v>
      </c>
      <c r="B726" s="24" t="s">
        <v>45</v>
      </c>
      <c r="C726" s="24" t="s">
        <v>283</v>
      </c>
      <c r="D726" s="25">
        <v>8018</v>
      </c>
      <c r="E726" s="25">
        <v>285278</v>
      </c>
      <c r="F726" s="26">
        <v>27239</v>
      </c>
      <c r="G726" s="27">
        <v>9.5482300999999996</v>
      </c>
    </row>
    <row r="727" spans="1:7" hidden="1" x14ac:dyDescent="0.25">
      <c r="A727" s="24" t="s">
        <v>935</v>
      </c>
      <c r="B727" s="24" t="s">
        <v>45</v>
      </c>
      <c r="C727" s="24" t="s">
        <v>283</v>
      </c>
      <c r="D727" s="25">
        <v>6694</v>
      </c>
      <c r="E727" s="25">
        <v>185834</v>
      </c>
      <c r="F727" s="26">
        <v>15361</v>
      </c>
      <c r="G727" s="27">
        <v>8.2659792999999997</v>
      </c>
    </row>
    <row r="728" spans="1:7" hidden="1" x14ac:dyDescent="0.25">
      <c r="A728" s="24" t="s">
        <v>936</v>
      </c>
      <c r="B728" s="24" t="s">
        <v>45</v>
      </c>
      <c r="C728" s="24" t="s">
        <v>283</v>
      </c>
      <c r="D728" s="25">
        <v>26216</v>
      </c>
      <c r="E728" s="25">
        <v>776912</v>
      </c>
      <c r="F728" s="26">
        <v>96147.1</v>
      </c>
      <c r="G728" s="27">
        <v>12.375546</v>
      </c>
    </row>
    <row r="729" spans="1:7" hidden="1" x14ac:dyDescent="0.25">
      <c r="A729" s="24" t="s">
        <v>937</v>
      </c>
      <c r="B729" s="24" t="s">
        <v>45</v>
      </c>
      <c r="C729" s="24" t="s">
        <v>283</v>
      </c>
      <c r="D729" s="25">
        <v>22522</v>
      </c>
      <c r="E729" s="25">
        <v>558406</v>
      </c>
      <c r="F729" s="26">
        <v>74980.2</v>
      </c>
      <c r="G729" s="27">
        <v>13.427542000000001</v>
      </c>
    </row>
    <row r="730" spans="1:7" hidden="1" x14ac:dyDescent="0.25">
      <c r="A730" s="24" t="s">
        <v>938</v>
      </c>
      <c r="B730" s="24" t="s">
        <v>45</v>
      </c>
      <c r="C730" s="24" t="s">
        <v>283</v>
      </c>
      <c r="D730" s="25">
        <v>3855</v>
      </c>
      <c r="E730" s="25">
        <v>110132</v>
      </c>
      <c r="F730" s="26">
        <v>14527</v>
      </c>
      <c r="G730" s="27">
        <v>13.190535000000001</v>
      </c>
    </row>
    <row r="731" spans="1:7" hidden="1" x14ac:dyDescent="0.25">
      <c r="A731" s="24" t="s">
        <v>939</v>
      </c>
      <c r="B731" s="24" t="s">
        <v>45</v>
      </c>
      <c r="C731" s="24" t="s">
        <v>283</v>
      </c>
      <c r="D731" s="25">
        <v>4068</v>
      </c>
      <c r="E731" s="25">
        <v>127832</v>
      </c>
      <c r="F731" s="26">
        <v>11914</v>
      </c>
      <c r="G731" s="27">
        <v>9.3200450999999997</v>
      </c>
    </row>
    <row r="732" spans="1:7" hidden="1" x14ac:dyDescent="0.25">
      <c r="A732" s="24" t="s">
        <v>940</v>
      </c>
      <c r="B732" s="24" t="s">
        <v>45</v>
      </c>
      <c r="C732" s="24" t="s">
        <v>281</v>
      </c>
      <c r="D732" s="25">
        <v>26400</v>
      </c>
      <c r="E732" s="25">
        <v>402407</v>
      </c>
      <c r="F732" s="26">
        <v>44179</v>
      </c>
      <c r="G732" s="27">
        <v>10.978686</v>
      </c>
    </row>
    <row r="733" spans="1:7" hidden="1" x14ac:dyDescent="0.25">
      <c r="A733" s="24" t="s">
        <v>941</v>
      </c>
      <c r="B733" s="24" t="s">
        <v>45</v>
      </c>
      <c r="C733" s="24" t="s">
        <v>281</v>
      </c>
      <c r="D733" s="25">
        <v>23564</v>
      </c>
      <c r="E733" s="25">
        <v>412498</v>
      </c>
      <c r="F733" s="26">
        <v>40897</v>
      </c>
      <c r="G733" s="27">
        <v>9.9144722999999999</v>
      </c>
    </row>
    <row r="734" spans="1:7" hidden="1" x14ac:dyDescent="0.25">
      <c r="A734" s="24" t="s">
        <v>942</v>
      </c>
      <c r="B734" s="24" t="s">
        <v>45</v>
      </c>
      <c r="C734" s="24" t="s">
        <v>278</v>
      </c>
      <c r="D734" s="25">
        <v>141273</v>
      </c>
      <c r="E734" s="25">
        <v>3957490</v>
      </c>
      <c r="F734" s="26">
        <v>300925.5</v>
      </c>
      <c r="G734" s="27">
        <v>7.6039485000000004</v>
      </c>
    </row>
    <row r="735" spans="1:7" hidden="1" x14ac:dyDescent="0.25">
      <c r="A735" s="24" t="s">
        <v>943</v>
      </c>
      <c r="B735" s="24" t="s">
        <v>45</v>
      </c>
      <c r="C735" s="24" t="s">
        <v>281</v>
      </c>
      <c r="D735" s="25">
        <v>25308</v>
      </c>
      <c r="E735" s="25">
        <v>486575</v>
      </c>
      <c r="F735" s="26">
        <v>47244</v>
      </c>
      <c r="G735" s="27">
        <v>9.7095000999999996</v>
      </c>
    </row>
    <row r="736" spans="1:7" hidden="1" x14ac:dyDescent="0.25">
      <c r="A736" s="24" t="s">
        <v>944</v>
      </c>
      <c r="B736" s="24" t="s">
        <v>45</v>
      </c>
      <c r="C736" s="24" t="s">
        <v>281</v>
      </c>
      <c r="D736" s="25">
        <v>24355</v>
      </c>
      <c r="E736" s="25">
        <v>977646</v>
      </c>
      <c r="F736" s="26">
        <v>70144</v>
      </c>
      <c r="G736" s="27">
        <v>7.1747851000000002</v>
      </c>
    </row>
    <row r="737" spans="1:7" hidden="1" x14ac:dyDescent="0.25">
      <c r="A737" s="24" t="s">
        <v>945</v>
      </c>
      <c r="B737" s="24" t="s">
        <v>45</v>
      </c>
      <c r="C737" s="24" t="s">
        <v>281</v>
      </c>
      <c r="D737" s="25">
        <v>15390</v>
      </c>
      <c r="E737" s="25">
        <v>223363</v>
      </c>
      <c r="F737" s="26">
        <v>26471</v>
      </c>
      <c r="G737" s="27">
        <v>11.851112000000001</v>
      </c>
    </row>
    <row r="738" spans="1:7" hidden="1" x14ac:dyDescent="0.25">
      <c r="A738" s="24" t="s">
        <v>946</v>
      </c>
      <c r="B738" s="24" t="s">
        <v>45</v>
      </c>
      <c r="C738" s="24" t="s">
        <v>283</v>
      </c>
      <c r="D738" s="25">
        <v>11933</v>
      </c>
      <c r="E738" s="25">
        <v>575695</v>
      </c>
      <c r="F738" s="26">
        <v>40583</v>
      </c>
      <c r="G738" s="27">
        <v>7.0493924999999997</v>
      </c>
    </row>
    <row r="739" spans="1:7" hidden="1" x14ac:dyDescent="0.25">
      <c r="A739" s="24" t="s">
        <v>947</v>
      </c>
      <c r="B739" s="24" t="s">
        <v>45</v>
      </c>
      <c r="C739" s="24" t="s">
        <v>281</v>
      </c>
      <c r="D739" s="25">
        <v>3422</v>
      </c>
      <c r="E739" s="25">
        <v>72556</v>
      </c>
      <c r="F739" s="26">
        <v>8647</v>
      </c>
      <c r="G739" s="27">
        <v>11.917691</v>
      </c>
    </row>
    <row r="740" spans="1:7" hidden="1" x14ac:dyDescent="0.25">
      <c r="A740" s="24" t="s">
        <v>948</v>
      </c>
      <c r="B740" s="24" t="s">
        <v>45</v>
      </c>
      <c r="C740" s="24" t="s">
        <v>281</v>
      </c>
      <c r="D740" s="25">
        <v>26245</v>
      </c>
      <c r="E740" s="25">
        <v>440469</v>
      </c>
      <c r="F740" s="26">
        <v>45274</v>
      </c>
      <c r="G740" s="27">
        <v>10.278589</v>
      </c>
    </row>
    <row r="741" spans="1:7" hidden="1" x14ac:dyDescent="0.25">
      <c r="A741" s="24" t="s">
        <v>949</v>
      </c>
      <c r="B741" s="24" t="s">
        <v>45</v>
      </c>
      <c r="C741" s="24" t="s">
        <v>281</v>
      </c>
      <c r="D741" s="25">
        <v>51391</v>
      </c>
      <c r="E741" s="25">
        <v>838183</v>
      </c>
      <c r="F741" s="26">
        <v>94294</v>
      </c>
      <c r="G741" s="27">
        <v>11.249810999999999</v>
      </c>
    </row>
    <row r="742" spans="1:7" hidden="1" x14ac:dyDescent="0.25">
      <c r="A742" s="24" t="s">
        <v>950</v>
      </c>
      <c r="B742" s="24" t="s">
        <v>45</v>
      </c>
      <c r="C742" s="24" t="s">
        <v>281</v>
      </c>
      <c r="D742" s="25">
        <v>30002</v>
      </c>
      <c r="E742" s="25">
        <v>605194</v>
      </c>
      <c r="F742" s="26">
        <v>69594</v>
      </c>
      <c r="G742" s="27">
        <v>11.499453000000001</v>
      </c>
    </row>
    <row r="743" spans="1:7" hidden="1" x14ac:dyDescent="0.25">
      <c r="A743" s="24" t="s">
        <v>951</v>
      </c>
      <c r="B743" s="24" t="s">
        <v>45</v>
      </c>
      <c r="C743" s="24" t="s">
        <v>281</v>
      </c>
      <c r="D743" s="25">
        <v>57319</v>
      </c>
      <c r="E743" s="25">
        <v>7108898</v>
      </c>
      <c r="F743" s="26">
        <v>360931</v>
      </c>
      <c r="G743" s="27">
        <v>5.0771723</v>
      </c>
    </row>
    <row r="744" spans="1:7" hidden="1" x14ac:dyDescent="0.25">
      <c r="A744" s="24" t="s">
        <v>952</v>
      </c>
      <c r="B744" s="24" t="s">
        <v>45</v>
      </c>
      <c r="C744" s="24" t="s">
        <v>278</v>
      </c>
      <c r="D744" s="25">
        <v>167599</v>
      </c>
      <c r="E744" s="25">
        <v>5590206</v>
      </c>
      <c r="F744" s="26">
        <v>542148.80000000005</v>
      </c>
      <c r="G744" s="27">
        <v>9.6981900000000003</v>
      </c>
    </row>
    <row r="745" spans="1:7" hidden="1" x14ac:dyDescent="0.25">
      <c r="A745" s="24" t="s">
        <v>953</v>
      </c>
      <c r="B745" s="24" t="s">
        <v>45</v>
      </c>
      <c r="C745" s="24" t="s">
        <v>278</v>
      </c>
      <c r="D745" s="25">
        <v>522511</v>
      </c>
      <c r="E745" s="25">
        <v>17526414</v>
      </c>
      <c r="F745" s="26">
        <v>1513771</v>
      </c>
      <c r="G745" s="27">
        <v>8.6370833999999999</v>
      </c>
    </row>
    <row r="746" spans="1:7" hidden="1" x14ac:dyDescent="0.25">
      <c r="A746" s="24" t="s">
        <v>954</v>
      </c>
      <c r="B746" s="24" t="s">
        <v>45</v>
      </c>
      <c r="C746" s="24" t="s">
        <v>281</v>
      </c>
      <c r="D746" s="25">
        <v>17342</v>
      </c>
      <c r="E746" s="25">
        <v>234176</v>
      </c>
      <c r="F746" s="26">
        <v>26558</v>
      </c>
      <c r="G746" s="27">
        <v>11.341043000000001</v>
      </c>
    </row>
    <row r="747" spans="1:7" hidden="1" x14ac:dyDescent="0.25">
      <c r="A747" s="24" t="s">
        <v>955</v>
      </c>
      <c r="B747" s="24" t="s">
        <v>45</v>
      </c>
      <c r="C747" s="24" t="s">
        <v>278</v>
      </c>
      <c r="D747" s="25">
        <v>408738</v>
      </c>
      <c r="E747" s="25">
        <v>11526591</v>
      </c>
      <c r="F747" s="26">
        <v>1085461.3</v>
      </c>
      <c r="G747" s="27">
        <v>9.4170192999999998</v>
      </c>
    </row>
    <row r="748" spans="1:7" hidden="1" x14ac:dyDescent="0.25">
      <c r="A748" s="24" t="s">
        <v>956</v>
      </c>
      <c r="B748" s="24" t="s">
        <v>45</v>
      </c>
      <c r="C748" s="24" t="s">
        <v>283</v>
      </c>
      <c r="D748" s="25">
        <v>8350</v>
      </c>
      <c r="E748" s="25">
        <v>272267</v>
      </c>
      <c r="F748" s="26">
        <v>26098</v>
      </c>
      <c r="G748" s="27">
        <v>9.5854437000000008</v>
      </c>
    </row>
    <row r="749" spans="1:7" hidden="1" x14ac:dyDescent="0.25">
      <c r="A749" s="24" t="s">
        <v>957</v>
      </c>
      <c r="B749" s="24" t="s">
        <v>45</v>
      </c>
      <c r="C749" s="24" t="s">
        <v>281</v>
      </c>
      <c r="D749" s="25">
        <v>29579</v>
      </c>
      <c r="E749" s="25">
        <v>423849</v>
      </c>
      <c r="F749" s="26">
        <v>52864</v>
      </c>
      <c r="G749" s="27">
        <v>12.472365999999999</v>
      </c>
    </row>
    <row r="750" spans="1:7" hidden="1" x14ac:dyDescent="0.25">
      <c r="A750" s="24" t="s">
        <v>958</v>
      </c>
      <c r="B750" s="24" t="s">
        <v>45</v>
      </c>
      <c r="C750" s="24" t="s">
        <v>281</v>
      </c>
      <c r="D750" s="25">
        <v>36186</v>
      </c>
      <c r="E750" s="25">
        <v>734885</v>
      </c>
      <c r="F750" s="26">
        <v>68816</v>
      </c>
      <c r="G750" s="27">
        <v>9.3641862000000007</v>
      </c>
    </row>
    <row r="751" spans="1:7" hidden="1" x14ac:dyDescent="0.25">
      <c r="A751" s="24" t="s">
        <v>959</v>
      </c>
      <c r="B751" s="24" t="s">
        <v>45</v>
      </c>
      <c r="C751" s="24" t="s">
        <v>281</v>
      </c>
      <c r="D751" s="25">
        <v>60886</v>
      </c>
      <c r="E751" s="25">
        <v>2240581</v>
      </c>
      <c r="F751" s="26">
        <v>163817</v>
      </c>
      <c r="G751" s="27">
        <v>7.3113625000000004</v>
      </c>
    </row>
    <row r="752" spans="1:7" hidden="1" x14ac:dyDescent="0.25">
      <c r="A752" s="24" t="s">
        <v>960</v>
      </c>
      <c r="B752" s="24" t="s">
        <v>45</v>
      </c>
      <c r="C752" s="24" t="s">
        <v>281</v>
      </c>
      <c r="D752" s="25">
        <v>43606</v>
      </c>
      <c r="E752" s="25">
        <v>1157660</v>
      </c>
      <c r="F752" s="26">
        <v>117529</v>
      </c>
      <c r="G752" s="27">
        <v>10.152290000000001</v>
      </c>
    </row>
    <row r="753" spans="1:7" hidden="1" x14ac:dyDescent="0.25">
      <c r="A753" s="24" t="s">
        <v>961</v>
      </c>
      <c r="B753" s="24" t="s">
        <v>45</v>
      </c>
      <c r="C753" s="24" t="s">
        <v>281</v>
      </c>
      <c r="D753" s="25">
        <v>50935</v>
      </c>
      <c r="E753" s="25">
        <v>1140882</v>
      </c>
      <c r="F753" s="26">
        <v>98861</v>
      </c>
      <c r="G753" s="27">
        <v>8.6653132999999993</v>
      </c>
    </row>
    <row r="754" spans="1:7" hidden="1" x14ac:dyDescent="0.25">
      <c r="A754" s="24" t="s">
        <v>962</v>
      </c>
      <c r="B754" s="24" t="s">
        <v>45</v>
      </c>
      <c r="C754" s="24" t="s">
        <v>281</v>
      </c>
      <c r="D754" s="25">
        <v>16136</v>
      </c>
      <c r="E754" s="25">
        <v>484761</v>
      </c>
      <c r="F754" s="26">
        <v>43237</v>
      </c>
      <c r="G754" s="27">
        <v>8.9192406000000002</v>
      </c>
    </row>
    <row r="755" spans="1:7" hidden="1" x14ac:dyDescent="0.25">
      <c r="A755" s="24" t="s">
        <v>963</v>
      </c>
      <c r="B755" s="24" t="s">
        <v>45</v>
      </c>
      <c r="C755" s="24" t="s">
        <v>281</v>
      </c>
      <c r="D755" s="25">
        <v>67630</v>
      </c>
      <c r="E755" s="25">
        <v>1198387</v>
      </c>
      <c r="F755" s="26">
        <v>118558.5</v>
      </c>
      <c r="G755" s="27">
        <v>9.8931731000000003</v>
      </c>
    </row>
    <row r="756" spans="1:7" hidden="1" x14ac:dyDescent="0.25">
      <c r="A756" s="24" t="s">
        <v>964</v>
      </c>
      <c r="B756" s="24" t="s">
        <v>45</v>
      </c>
      <c r="C756" s="24" t="s">
        <v>281</v>
      </c>
      <c r="D756" s="25">
        <v>26459</v>
      </c>
      <c r="E756" s="25">
        <v>534465</v>
      </c>
      <c r="F756" s="26">
        <v>44846</v>
      </c>
      <c r="G756" s="27">
        <v>8.3908207000000008</v>
      </c>
    </row>
    <row r="757" spans="1:7" hidden="1" x14ac:dyDescent="0.25">
      <c r="A757" s="24" t="s">
        <v>350</v>
      </c>
      <c r="B757" s="24" t="s">
        <v>45</v>
      </c>
      <c r="C757" s="24" t="s">
        <v>351</v>
      </c>
      <c r="D757" s="25">
        <v>17</v>
      </c>
      <c r="E757" s="25">
        <v>3158872</v>
      </c>
      <c r="F757" s="26">
        <v>144492</v>
      </c>
      <c r="G757" s="27">
        <v>4.5741643999999999</v>
      </c>
    </row>
    <row r="758" spans="1:7" hidden="1" x14ac:dyDescent="0.25">
      <c r="A758" s="24" t="s">
        <v>642</v>
      </c>
      <c r="B758" s="24" t="s">
        <v>45</v>
      </c>
      <c r="C758" s="24" t="s">
        <v>281</v>
      </c>
      <c r="D758" s="25">
        <v>24843</v>
      </c>
      <c r="E758" s="25">
        <v>688668</v>
      </c>
      <c r="F758" s="26">
        <v>65781</v>
      </c>
      <c r="G758" s="27">
        <v>9.5519175999999995</v>
      </c>
    </row>
    <row r="759" spans="1:7" hidden="1" x14ac:dyDescent="0.25">
      <c r="A759" s="24" t="s">
        <v>965</v>
      </c>
      <c r="B759" s="24" t="s">
        <v>45</v>
      </c>
      <c r="C759" s="24" t="s">
        <v>281</v>
      </c>
      <c r="D759" s="25">
        <v>64895</v>
      </c>
      <c r="E759" s="25">
        <v>1977410</v>
      </c>
      <c r="F759" s="26">
        <v>179196</v>
      </c>
      <c r="G759" s="27">
        <v>9.0621571000000003</v>
      </c>
    </row>
    <row r="760" spans="1:7" hidden="1" x14ac:dyDescent="0.25">
      <c r="A760" s="24" t="s">
        <v>966</v>
      </c>
      <c r="B760" s="24" t="s">
        <v>45</v>
      </c>
      <c r="C760" s="24" t="s">
        <v>281</v>
      </c>
      <c r="D760" s="25">
        <v>38623</v>
      </c>
      <c r="E760" s="25">
        <v>646519</v>
      </c>
      <c r="F760" s="26">
        <v>76879</v>
      </c>
      <c r="G760" s="27">
        <v>11.891221</v>
      </c>
    </row>
    <row r="761" spans="1:7" hidden="1" x14ac:dyDescent="0.25">
      <c r="A761" s="24" t="s">
        <v>967</v>
      </c>
      <c r="B761" s="24" t="s">
        <v>48</v>
      </c>
      <c r="C761" s="24" t="s">
        <v>281</v>
      </c>
      <c r="D761" s="25">
        <v>42711</v>
      </c>
      <c r="E761" s="25">
        <v>1055813</v>
      </c>
      <c r="F761" s="26">
        <v>93573</v>
      </c>
      <c r="G761" s="27">
        <v>8.8626489999999993</v>
      </c>
    </row>
    <row r="762" spans="1:7" hidden="1" x14ac:dyDescent="0.25">
      <c r="A762" s="24" t="s">
        <v>968</v>
      </c>
      <c r="B762" s="24" t="s">
        <v>48</v>
      </c>
      <c r="C762" s="24" t="s">
        <v>283</v>
      </c>
      <c r="D762" s="25">
        <v>5523</v>
      </c>
      <c r="E762" s="25">
        <v>127849</v>
      </c>
      <c r="F762" s="26">
        <v>12574.4</v>
      </c>
      <c r="G762" s="27">
        <v>9.8353526000000002</v>
      </c>
    </row>
    <row r="763" spans="1:7" hidden="1" x14ac:dyDescent="0.25">
      <c r="A763" s="24" t="s">
        <v>969</v>
      </c>
      <c r="B763" s="24" t="s">
        <v>48</v>
      </c>
      <c r="C763" s="24" t="s">
        <v>283</v>
      </c>
      <c r="D763" s="25">
        <v>24000</v>
      </c>
      <c r="E763" s="25">
        <v>660204</v>
      </c>
      <c r="F763" s="26">
        <v>66890.5</v>
      </c>
      <c r="G763" s="27">
        <v>10.131793</v>
      </c>
    </row>
    <row r="764" spans="1:7" hidden="1" x14ac:dyDescent="0.25">
      <c r="A764" s="24" t="s">
        <v>970</v>
      </c>
      <c r="B764" s="24" t="s">
        <v>48</v>
      </c>
      <c r="C764" s="24" t="s">
        <v>283</v>
      </c>
      <c r="D764" s="25">
        <v>66861</v>
      </c>
      <c r="E764" s="25">
        <v>1980653</v>
      </c>
      <c r="F764" s="26">
        <v>171382</v>
      </c>
      <c r="G764" s="27">
        <v>8.6528028999999993</v>
      </c>
    </row>
    <row r="765" spans="1:7" hidden="1" x14ac:dyDescent="0.25">
      <c r="A765" s="24" t="s">
        <v>971</v>
      </c>
      <c r="B765" s="24" t="s">
        <v>48</v>
      </c>
      <c r="C765" s="24" t="s">
        <v>283</v>
      </c>
      <c r="D765" s="25">
        <v>6411</v>
      </c>
      <c r="E765" s="25">
        <v>127825</v>
      </c>
      <c r="F765" s="26">
        <v>17126</v>
      </c>
      <c r="G765" s="27">
        <v>13.398004999999999</v>
      </c>
    </row>
    <row r="766" spans="1:7" hidden="1" x14ac:dyDescent="0.25">
      <c r="A766" s="24" t="s">
        <v>972</v>
      </c>
      <c r="B766" s="24" t="s">
        <v>48</v>
      </c>
      <c r="C766" s="24" t="s">
        <v>283</v>
      </c>
      <c r="D766" s="25">
        <v>8779</v>
      </c>
      <c r="E766" s="25">
        <v>276557</v>
      </c>
      <c r="F766" s="26">
        <v>18267.900000000001</v>
      </c>
      <c r="G766" s="27">
        <v>6.6054737000000001</v>
      </c>
    </row>
    <row r="767" spans="1:7" hidden="1" x14ac:dyDescent="0.25">
      <c r="A767" s="24" t="s">
        <v>973</v>
      </c>
      <c r="B767" s="24" t="s">
        <v>48</v>
      </c>
      <c r="C767" s="24" t="s">
        <v>283</v>
      </c>
      <c r="D767" s="25">
        <v>10572</v>
      </c>
      <c r="E767" s="25">
        <v>260272</v>
      </c>
      <c r="F767" s="26">
        <v>8345</v>
      </c>
      <c r="G767" s="27">
        <v>3.2062610999999999</v>
      </c>
    </row>
    <row r="768" spans="1:7" hidden="1" x14ac:dyDescent="0.25">
      <c r="A768" s="24" t="s">
        <v>974</v>
      </c>
      <c r="B768" s="24" t="s">
        <v>48</v>
      </c>
      <c r="C768" s="24" t="s">
        <v>281</v>
      </c>
      <c r="D768" s="25">
        <v>23623</v>
      </c>
      <c r="E768" s="25">
        <v>609415</v>
      </c>
      <c r="F768" s="26">
        <v>52973.1</v>
      </c>
      <c r="G768" s="27">
        <v>8.6924510000000001</v>
      </c>
    </row>
    <row r="769" spans="1:7" hidden="1" x14ac:dyDescent="0.25">
      <c r="A769" s="24" t="s">
        <v>975</v>
      </c>
      <c r="B769" s="24" t="s">
        <v>48</v>
      </c>
      <c r="C769" s="24" t="s">
        <v>278</v>
      </c>
      <c r="D769" s="25">
        <v>286400</v>
      </c>
      <c r="E769" s="25">
        <v>8385065</v>
      </c>
      <c r="F769" s="26">
        <v>870893</v>
      </c>
      <c r="G769" s="27">
        <v>10.386240000000001</v>
      </c>
    </row>
    <row r="770" spans="1:7" hidden="1" x14ac:dyDescent="0.25">
      <c r="A770" s="24" t="s">
        <v>976</v>
      </c>
      <c r="B770" s="24" t="s">
        <v>48</v>
      </c>
      <c r="C770" s="24" t="s">
        <v>281</v>
      </c>
      <c r="D770" s="25">
        <v>13767</v>
      </c>
      <c r="E770" s="25">
        <v>193400</v>
      </c>
      <c r="F770" s="26">
        <v>21290</v>
      </c>
      <c r="G770" s="27">
        <v>11.008273000000001</v>
      </c>
    </row>
    <row r="771" spans="1:7" hidden="1" x14ac:dyDescent="0.25">
      <c r="A771" s="24" t="s">
        <v>977</v>
      </c>
      <c r="B771" s="24" t="s">
        <v>48</v>
      </c>
      <c r="C771" s="24" t="s">
        <v>281</v>
      </c>
      <c r="D771" s="25">
        <v>110025</v>
      </c>
      <c r="E771" s="25">
        <v>2030799</v>
      </c>
      <c r="F771" s="26">
        <v>202798</v>
      </c>
      <c r="G771" s="27">
        <v>9.9861187999999999</v>
      </c>
    </row>
    <row r="772" spans="1:7" hidden="1" x14ac:dyDescent="0.25">
      <c r="A772" s="24" t="s">
        <v>978</v>
      </c>
      <c r="B772" s="24" t="s">
        <v>48</v>
      </c>
      <c r="C772" s="24" t="s">
        <v>278</v>
      </c>
      <c r="D772" s="25">
        <v>1078545</v>
      </c>
      <c r="E772" s="25">
        <v>55243264</v>
      </c>
      <c r="F772" s="26">
        <v>3731956</v>
      </c>
      <c r="G772" s="27">
        <v>6.7554951000000001</v>
      </c>
    </row>
    <row r="773" spans="1:7" hidden="1" x14ac:dyDescent="0.25">
      <c r="A773" s="24" t="s">
        <v>979</v>
      </c>
      <c r="B773" s="24" t="s">
        <v>48</v>
      </c>
      <c r="C773" s="24" t="s">
        <v>278</v>
      </c>
      <c r="D773" s="25">
        <v>200137</v>
      </c>
      <c r="E773" s="25">
        <v>5623978</v>
      </c>
      <c r="F773" s="26">
        <v>577760.80000000005</v>
      </c>
      <c r="G773" s="27">
        <v>10.27317</v>
      </c>
    </row>
    <row r="774" spans="1:7" hidden="1" x14ac:dyDescent="0.25">
      <c r="A774" s="24" t="s">
        <v>980</v>
      </c>
      <c r="B774" s="24" t="s">
        <v>48</v>
      </c>
      <c r="C774" s="24" t="s">
        <v>281</v>
      </c>
      <c r="D774" s="25">
        <v>10219</v>
      </c>
      <c r="E774" s="25">
        <v>238196</v>
      </c>
      <c r="F774" s="26">
        <v>23646</v>
      </c>
      <c r="G774" s="27">
        <v>9.9271188000000006</v>
      </c>
    </row>
    <row r="775" spans="1:7" hidden="1" x14ac:dyDescent="0.25">
      <c r="A775" s="24" t="s">
        <v>981</v>
      </c>
      <c r="B775" s="24" t="s">
        <v>48</v>
      </c>
      <c r="C775" s="24" t="s">
        <v>283</v>
      </c>
      <c r="D775" s="25">
        <v>5693</v>
      </c>
      <c r="E775" s="25">
        <v>163466</v>
      </c>
      <c r="F775" s="26">
        <v>14824</v>
      </c>
      <c r="G775" s="27">
        <v>9.0685524999999991</v>
      </c>
    </row>
    <row r="776" spans="1:7" hidden="1" x14ac:dyDescent="0.25">
      <c r="A776" s="24" t="s">
        <v>982</v>
      </c>
      <c r="B776" s="24" t="s">
        <v>48</v>
      </c>
      <c r="C776" s="24" t="s">
        <v>281</v>
      </c>
      <c r="D776" s="25">
        <v>17191</v>
      </c>
      <c r="E776" s="25">
        <v>239007</v>
      </c>
      <c r="F776" s="26">
        <v>23690</v>
      </c>
      <c r="G776" s="27">
        <v>9.9118435999999992</v>
      </c>
    </row>
    <row r="777" spans="1:7" hidden="1" x14ac:dyDescent="0.25">
      <c r="A777" s="24" t="s">
        <v>983</v>
      </c>
      <c r="B777" s="24" t="s">
        <v>48</v>
      </c>
      <c r="C777" s="24" t="s">
        <v>281</v>
      </c>
      <c r="D777" s="25">
        <v>9267</v>
      </c>
      <c r="E777" s="25">
        <v>152055</v>
      </c>
      <c r="F777" s="26">
        <v>15152.9</v>
      </c>
      <c r="G777" s="27">
        <v>9.9654073000000007</v>
      </c>
    </row>
    <row r="778" spans="1:7" hidden="1" x14ac:dyDescent="0.25">
      <c r="A778" s="24" t="s">
        <v>984</v>
      </c>
      <c r="B778" s="24" t="s">
        <v>48</v>
      </c>
      <c r="C778" s="24" t="s">
        <v>281</v>
      </c>
      <c r="D778" s="25">
        <v>10517</v>
      </c>
      <c r="E778" s="25">
        <v>214214</v>
      </c>
      <c r="F778" s="26">
        <v>21576</v>
      </c>
      <c r="G778" s="27">
        <v>10.072171000000001</v>
      </c>
    </row>
    <row r="779" spans="1:7" hidden="1" x14ac:dyDescent="0.25">
      <c r="A779" s="24" t="s">
        <v>985</v>
      </c>
      <c r="B779" s="24" t="s">
        <v>48</v>
      </c>
      <c r="C779" s="24" t="s">
        <v>281</v>
      </c>
      <c r="D779" s="25">
        <v>21584</v>
      </c>
      <c r="E779" s="25">
        <v>544426</v>
      </c>
      <c r="F779" s="26">
        <v>48075</v>
      </c>
      <c r="G779" s="27">
        <v>8.8304012000000007</v>
      </c>
    </row>
    <row r="780" spans="1:7" hidden="1" x14ac:dyDescent="0.25">
      <c r="A780" s="24" t="s">
        <v>986</v>
      </c>
      <c r="B780" s="24" t="s">
        <v>48</v>
      </c>
      <c r="C780" s="24" t="s">
        <v>281</v>
      </c>
      <c r="D780" s="25">
        <v>108068</v>
      </c>
      <c r="E780" s="25">
        <v>2300770</v>
      </c>
      <c r="F780" s="26">
        <v>212220.2</v>
      </c>
      <c r="G780" s="27">
        <v>9.2238772000000004</v>
      </c>
    </row>
    <row r="781" spans="1:7" hidden="1" x14ac:dyDescent="0.25">
      <c r="A781" s="24" t="s">
        <v>382</v>
      </c>
      <c r="B781" s="24" t="s">
        <v>48</v>
      </c>
      <c r="C781" s="24" t="s">
        <v>278</v>
      </c>
      <c r="D781" s="25">
        <v>230568</v>
      </c>
      <c r="E781" s="25">
        <v>6337219</v>
      </c>
      <c r="F781" s="26">
        <v>582132.69999999995</v>
      </c>
      <c r="G781" s="27">
        <v>9.1859330999999997</v>
      </c>
    </row>
    <row r="782" spans="1:7" hidden="1" x14ac:dyDescent="0.25">
      <c r="A782" s="24" t="s">
        <v>409</v>
      </c>
      <c r="B782" s="24" t="s">
        <v>48</v>
      </c>
      <c r="C782" s="24" t="s">
        <v>392</v>
      </c>
      <c r="D782" s="25">
        <v>77</v>
      </c>
      <c r="E782" s="25">
        <v>599</v>
      </c>
      <c r="F782" s="26">
        <v>44</v>
      </c>
      <c r="G782" s="27">
        <v>7.3455760000000003</v>
      </c>
    </row>
    <row r="783" spans="1:7" hidden="1" x14ac:dyDescent="0.25">
      <c r="A783" s="24" t="s">
        <v>414</v>
      </c>
      <c r="B783" s="24" t="s">
        <v>48</v>
      </c>
      <c r="C783" s="24" t="s">
        <v>392</v>
      </c>
      <c r="D783" s="25">
        <v>28</v>
      </c>
      <c r="E783" s="25">
        <v>201</v>
      </c>
      <c r="F783" s="26">
        <v>28.4</v>
      </c>
      <c r="G783" s="27">
        <v>14.129353</v>
      </c>
    </row>
    <row r="784" spans="1:7" hidden="1" x14ac:dyDescent="0.25">
      <c r="A784" s="24" t="s">
        <v>987</v>
      </c>
      <c r="B784" s="24" t="s">
        <v>48</v>
      </c>
      <c r="C784" s="24" t="s">
        <v>283</v>
      </c>
      <c r="D784" s="25">
        <v>13860</v>
      </c>
      <c r="E784" s="25">
        <v>349091</v>
      </c>
      <c r="F784" s="26">
        <v>32250</v>
      </c>
      <c r="G784" s="27">
        <v>9.2382787999999998</v>
      </c>
    </row>
    <row r="785" spans="1:7" hidden="1" x14ac:dyDescent="0.25">
      <c r="A785" s="24" t="s">
        <v>988</v>
      </c>
      <c r="B785" s="24" t="s">
        <v>48</v>
      </c>
      <c r="C785" s="24" t="s">
        <v>385</v>
      </c>
      <c r="D785" s="25">
        <v>3</v>
      </c>
      <c r="E785" s="25">
        <v>2542577</v>
      </c>
      <c r="F785" s="26">
        <v>137502.5</v>
      </c>
      <c r="G785" s="27">
        <v>5.4079974999999996</v>
      </c>
    </row>
    <row r="786" spans="1:7" hidden="1" x14ac:dyDescent="0.25">
      <c r="A786" s="24" t="s">
        <v>989</v>
      </c>
      <c r="B786" s="24" t="s">
        <v>48</v>
      </c>
      <c r="C786" s="24" t="s">
        <v>281</v>
      </c>
      <c r="D786" s="25">
        <v>51137</v>
      </c>
      <c r="E786" s="25">
        <v>962794</v>
      </c>
      <c r="F786" s="26">
        <v>91108.5</v>
      </c>
      <c r="G786" s="27">
        <v>9.4629276999999998</v>
      </c>
    </row>
    <row r="787" spans="1:7" hidden="1" x14ac:dyDescent="0.25">
      <c r="A787" s="24" t="s">
        <v>424</v>
      </c>
      <c r="B787" s="24" t="s">
        <v>56</v>
      </c>
      <c r="C787" s="24" t="s">
        <v>392</v>
      </c>
      <c r="D787" s="25">
        <v>16</v>
      </c>
      <c r="E787" s="25">
        <v>33176</v>
      </c>
      <c r="F787" s="26">
        <v>7471.1</v>
      </c>
      <c r="G787" s="27">
        <v>22.519591999999999</v>
      </c>
    </row>
    <row r="788" spans="1:7" hidden="1" x14ac:dyDescent="0.25">
      <c r="A788" s="24" t="s">
        <v>990</v>
      </c>
      <c r="B788" s="24" t="s">
        <v>56</v>
      </c>
      <c r="C788" s="24" t="s">
        <v>283</v>
      </c>
      <c r="D788" s="25">
        <v>25705</v>
      </c>
      <c r="E788" s="25">
        <v>449829</v>
      </c>
      <c r="F788" s="26">
        <v>54442.9</v>
      </c>
      <c r="G788" s="27">
        <v>12.103021</v>
      </c>
    </row>
    <row r="789" spans="1:7" hidden="1" x14ac:dyDescent="0.25">
      <c r="A789" s="24" t="s">
        <v>991</v>
      </c>
      <c r="B789" s="24" t="s">
        <v>56</v>
      </c>
      <c r="C789" s="24" t="s">
        <v>283</v>
      </c>
      <c r="D789" s="25">
        <v>9593</v>
      </c>
      <c r="E789" s="25">
        <v>195841</v>
      </c>
      <c r="F789" s="26">
        <v>27473</v>
      </c>
      <c r="G789" s="27">
        <v>14.028217</v>
      </c>
    </row>
    <row r="790" spans="1:7" hidden="1" x14ac:dyDescent="0.25">
      <c r="A790" s="24" t="s">
        <v>992</v>
      </c>
      <c r="B790" s="24" t="s">
        <v>56</v>
      </c>
      <c r="C790" s="24" t="s">
        <v>283</v>
      </c>
      <c r="D790" s="25">
        <v>17578</v>
      </c>
      <c r="E790" s="25">
        <v>331556</v>
      </c>
      <c r="F790" s="26">
        <v>42190</v>
      </c>
      <c r="G790" s="27">
        <v>12.724849000000001</v>
      </c>
    </row>
    <row r="791" spans="1:7" hidden="1" x14ac:dyDescent="0.25">
      <c r="A791" s="24" t="s">
        <v>993</v>
      </c>
      <c r="B791" s="24" t="s">
        <v>56</v>
      </c>
      <c r="C791" s="24" t="s">
        <v>283</v>
      </c>
      <c r="D791" s="25">
        <v>10942</v>
      </c>
      <c r="E791" s="25">
        <v>106718</v>
      </c>
      <c r="F791" s="26">
        <v>16037</v>
      </c>
      <c r="G791" s="27">
        <v>15.027456000000001</v>
      </c>
    </row>
    <row r="792" spans="1:7" hidden="1" x14ac:dyDescent="0.25">
      <c r="A792" s="24" t="s">
        <v>994</v>
      </c>
      <c r="B792" s="24" t="s">
        <v>56</v>
      </c>
      <c r="C792" s="24" t="s">
        <v>283</v>
      </c>
      <c r="D792" s="25">
        <v>15837</v>
      </c>
      <c r="E792" s="25">
        <v>315245</v>
      </c>
      <c r="F792" s="26">
        <v>48035</v>
      </c>
      <c r="G792" s="27">
        <v>15.237355000000001</v>
      </c>
    </row>
    <row r="793" spans="1:7" hidden="1" x14ac:dyDescent="0.25">
      <c r="A793" s="24" t="s">
        <v>995</v>
      </c>
      <c r="B793" s="24" t="s">
        <v>56</v>
      </c>
      <c r="C793" s="24" t="s">
        <v>283</v>
      </c>
      <c r="D793" s="25">
        <v>26174</v>
      </c>
      <c r="E793" s="25">
        <v>482073</v>
      </c>
      <c r="F793" s="26">
        <v>58486.9</v>
      </c>
      <c r="G793" s="27">
        <v>12.132374</v>
      </c>
    </row>
    <row r="794" spans="1:7" hidden="1" x14ac:dyDescent="0.25">
      <c r="A794" s="24" t="s">
        <v>996</v>
      </c>
      <c r="B794" s="24" t="s">
        <v>56</v>
      </c>
      <c r="C794" s="24" t="s">
        <v>283</v>
      </c>
      <c r="D794" s="25">
        <v>38046</v>
      </c>
      <c r="E794" s="25">
        <v>666904</v>
      </c>
      <c r="F794" s="26">
        <v>97068</v>
      </c>
      <c r="G794" s="27">
        <v>14.555018</v>
      </c>
    </row>
    <row r="795" spans="1:7" hidden="1" x14ac:dyDescent="0.25">
      <c r="A795" s="24" t="s">
        <v>997</v>
      </c>
      <c r="B795" s="24" t="s">
        <v>56</v>
      </c>
      <c r="C795" s="24" t="s">
        <v>283</v>
      </c>
      <c r="D795" s="25">
        <v>17989</v>
      </c>
      <c r="E795" s="25">
        <v>360621</v>
      </c>
      <c r="F795" s="26">
        <v>48636</v>
      </c>
      <c r="G795" s="27">
        <v>13.486734999999999</v>
      </c>
    </row>
    <row r="796" spans="1:7" hidden="1" x14ac:dyDescent="0.25">
      <c r="A796" s="24" t="s">
        <v>391</v>
      </c>
      <c r="B796" s="24" t="s">
        <v>56</v>
      </c>
      <c r="C796" s="24" t="s">
        <v>392</v>
      </c>
      <c r="D796" s="25">
        <v>5</v>
      </c>
      <c r="E796" s="25">
        <v>3781</v>
      </c>
      <c r="F796" s="26">
        <v>417.5</v>
      </c>
      <c r="G796" s="27">
        <v>11.042052</v>
      </c>
    </row>
    <row r="797" spans="1:7" hidden="1" x14ac:dyDescent="0.25">
      <c r="A797" s="24" t="s">
        <v>998</v>
      </c>
      <c r="B797" s="24" t="s">
        <v>56</v>
      </c>
      <c r="C797" s="24" t="s">
        <v>278</v>
      </c>
      <c r="D797" s="25">
        <v>20547</v>
      </c>
      <c r="E797" s="25">
        <v>163357</v>
      </c>
      <c r="F797" s="26">
        <v>35180.400000000001</v>
      </c>
      <c r="G797" s="27">
        <v>21.535900000000002</v>
      </c>
    </row>
    <row r="798" spans="1:7" hidden="1" x14ac:dyDescent="0.25">
      <c r="A798" s="24" t="s">
        <v>400</v>
      </c>
      <c r="B798" s="24" t="s">
        <v>56</v>
      </c>
      <c r="C798" s="24" t="s">
        <v>392</v>
      </c>
      <c r="D798" s="25">
        <v>451</v>
      </c>
      <c r="E798" s="25">
        <v>2525</v>
      </c>
      <c r="F798" s="26">
        <v>192</v>
      </c>
      <c r="G798" s="27">
        <v>7.6039604000000001</v>
      </c>
    </row>
    <row r="799" spans="1:7" hidden="1" x14ac:dyDescent="0.25">
      <c r="A799" s="24" t="s">
        <v>401</v>
      </c>
      <c r="B799" s="24" t="s">
        <v>56</v>
      </c>
      <c r="C799" s="24" t="s">
        <v>392</v>
      </c>
      <c r="D799" s="25">
        <v>1</v>
      </c>
      <c r="E799" s="25">
        <v>102</v>
      </c>
      <c r="F799" s="26">
        <v>16</v>
      </c>
      <c r="G799" s="27">
        <v>15.686275</v>
      </c>
    </row>
    <row r="800" spans="1:7" hidden="1" x14ac:dyDescent="0.25">
      <c r="A800" s="24" t="s">
        <v>999</v>
      </c>
      <c r="B800" s="24" t="s">
        <v>56</v>
      </c>
      <c r="C800" s="24" t="s">
        <v>278</v>
      </c>
      <c r="D800" s="25">
        <v>755114</v>
      </c>
      <c r="E800" s="25">
        <v>6423818</v>
      </c>
      <c r="F800" s="26">
        <v>1207292</v>
      </c>
      <c r="G800" s="27">
        <v>18.793994000000001</v>
      </c>
    </row>
    <row r="801" spans="1:7" hidden="1" x14ac:dyDescent="0.25">
      <c r="A801" s="24" t="s">
        <v>1000</v>
      </c>
      <c r="B801" s="24" t="s">
        <v>56</v>
      </c>
      <c r="C801" s="24" t="s">
        <v>278</v>
      </c>
      <c r="D801" s="25">
        <v>701224</v>
      </c>
      <c r="E801" s="25">
        <v>5818742</v>
      </c>
      <c r="F801" s="26">
        <v>1129345</v>
      </c>
      <c r="G801" s="27">
        <v>19.408747999999999</v>
      </c>
    </row>
    <row r="802" spans="1:7" hidden="1" x14ac:dyDescent="0.25">
      <c r="A802" s="24" t="s">
        <v>1001</v>
      </c>
      <c r="B802" s="24" t="s">
        <v>56</v>
      </c>
      <c r="C802" s="24" t="s">
        <v>278</v>
      </c>
      <c r="D802" s="25">
        <v>3816</v>
      </c>
      <c r="E802" s="25">
        <v>30351</v>
      </c>
      <c r="F802" s="26">
        <v>6932</v>
      </c>
      <c r="G802" s="27">
        <v>22.839445000000001</v>
      </c>
    </row>
    <row r="803" spans="1:7" hidden="1" x14ac:dyDescent="0.25">
      <c r="A803" s="24" t="s">
        <v>408</v>
      </c>
      <c r="B803" s="24" t="s">
        <v>56</v>
      </c>
      <c r="C803" s="24" t="s">
        <v>392</v>
      </c>
      <c r="D803" s="25">
        <v>18521</v>
      </c>
      <c r="E803" s="25">
        <v>123997</v>
      </c>
      <c r="F803" s="26">
        <v>16819.5</v>
      </c>
      <c r="G803" s="27">
        <v>13.564441</v>
      </c>
    </row>
    <row r="804" spans="1:7" hidden="1" x14ac:dyDescent="0.25">
      <c r="A804" s="24" t="s">
        <v>409</v>
      </c>
      <c r="B804" s="24" t="s">
        <v>56</v>
      </c>
      <c r="C804" s="24" t="s">
        <v>392</v>
      </c>
      <c r="D804" s="25">
        <v>323</v>
      </c>
      <c r="E804" s="25">
        <v>2536</v>
      </c>
      <c r="F804" s="26">
        <v>329</v>
      </c>
      <c r="G804" s="27">
        <v>12.973186</v>
      </c>
    </row>
    <row r="805" spans="1:7" hidden="1" x14ac:dyDescent="0.25">
      <c r="A805" s="24" t="s">
        <v>411</v>
      </c>
      <c r="B805" s="24" t="s">
        <v>56</v>
      </c>
      <c r="C805" s="24" t="s">
        <v>392</v>
      </c>
      <c r="D805" s="25">
        <v>71</v>
      </c>
      <c r="E805" s="25">
        <v>4898</v>
      </c>
      <c r="F805" s="26">
        <v>702.6</v>
      </c>
      <c r="G805" s="27">
        <v>14.34463</v>
      </c>
    </row>
    <row r="806" spans="1:7" hidden="1" x14ac:dyDescent="0.25">
      <c r="A806" s="24" t="s">
        <v>412</v>
      </c>
      <c r="B806" s="24" t="s">
        <v>56</v>
      </c>
      <c r="C806" s="24" t="s">
        <v>392</v>
      </c>
      <c r="D806" s="25">
        <v>48</v>
      </c>
      <c r="E806" s="25">
        <v>429</v>
      </c>
      <c r="F806" s="26">
        <v>119.7</v>
      </c>
      <c r="G806" s="27">
        <v>27.902097999999999</v>
      </c>
    </row>
    <row r="807" spans="1:7" hidden="1" x14ac:dyDescent="0.25">
      <c r="A807" s="24" t="s">
        <v>413</v>
      </c>
      <c r="B807" s="24" t="s">
        <v>56</v>
      </c>
      <c r="C807" s="24" t="s">
        <v>392</v>
      </c>
      <c r="D807" s="25">
        <v>307</v>
      </c>
      <c r="E807" s="25">
        <v>2111</v>
      </c>
      <c r="F807" s="26">
        <v>111.4</v>
      </c>
      <c r="G807" s="27">
        <v>5.2771198000000004</v>
      </c>
    </row>
    <row r="808" spans="1:7" hidden="1" x14ac:dyDescent="0.25">
      <c r="A808" s="24" t="s">
        <v>414</v>
      </c>
      <c r="B808" s="24" t="s">
        <v>56</v>
      </c>
      <c r="C808" s="24" t="s">
        <v>392</v>
      </c>
      <c r="D808" s="25">
        <v>2287</v>
      </c>
      <c r="E808" s="25">
        <v>17837</v>
      </c>
      <c r="F808" s="26">
        <v>2686</v>
      </c>
      <c r="G808" s="27">
        <v>15.058586</v>
      </c>
    </row>
    <row r="809" spans="1:7" hidden="1" x14ac:dyDescent="0.25">
      <c r="A809" s="24" t="s">
        <v>415</v>
      </c>
      <c r="B809" s="24" t="s">
        <v>56</v>
      </c>
      <c r="C809" s="24" t="s">
        <v>392</v>
      </c>
      <c r="D809" s="25">
        <v>6443</v>
      </c>
      <c r="E809" s="25">
        <v>44404</v>
      </c>
      <c r="F809" s="26">
        <v>6590.3</v>
      </c>
      <c r="G809" s="27">
        <v>14.841680999999999</v>
      </c>
    </row>
    <row r="810" spans="1:7" hidden="1" x14ac:dyDescent="0.25">
      <c r="A810" s="24" t="s">
        <v>416</v>
      </c>
      <c r="B810" s="24" t="s">
        <v>56</v>
      </c>
      <c r="C810" s="24" t="s">
        <v>392</v>
      </c>
      <c r="D810" s="25">
        <v>26</v>
      </c>
      <c r="E810" s="25">
        <v>10123</v>
      </c>
      <c r="F810" s="26">
        <v>1070</v>
      </c>
      <c r="G810" s="27">
        <v>10.569989</v>
      </c>
    </row>
    <row r="811" spans="1:7" hidden="1" x14ac:dyDescent="0.25">
      <c r="A811" s="24" t="s">
        <v>1002</v>
      </c>
      <c r="B811" s="24" t="s">
        <v>56</v>
      </c>
      <c r="C811" s="24" t="s">
        <v>283</v>
      </c>
      <c r="D811" s="25">
        <v>11456</v>
      </c>
      <c r="E811" s="25">
        <v>122072</v>
      </c>
      <c r="F811" s="26">
        <v>24415.9</v>
      </c>
      <c r="G811" s="27">
        <v>20.001228999999999</v>
      </c>
    </row>
    <row r="812" spans="1:7" hidden="1" x14ac:dyDescent="0.25">
      <c r="A812" s="24" t="s">
        <v>1003</v>
      </c>
      <c r="B812" s="24" t="s">
        <v>56</v>
      </c>
      <c r="C812" s="24" t="s">
        <v>283</v>
      </c>
      <c r="D812" s="25">
        <v>16635</v>
      </c>
      <c r="E812" s="25">
        <v>335165</v>
      </c>
      <c r="F812" s="26">
        <v>49399</v>
      </c>
      <c r="G812" s="27">
        <v>14.738711</v>
      </c>
    </row>
    <row r="813" spans="1:7" hidden="1" x14ac:dyDescent="0.25">
      <c r="A813" s="24" t="s">
        <v>1004</v>
      </c>
      <c r="B813" s="24" t="s">
        <v>56</v>
      </c>
      <c r="C813" s="24" t="s">
        <v>283</v>
      </c>
      <c r="D813" s="25">
        <v>8218</v>
      </c>
      <c r="E813" s="25">
        <v>163833</v>
      </c>
      <c r="F813" s="26">
        <v>25084.7</v>
      </c>
      <c r="G813" s="27">
        <v>15.31114</v>
      </c>
    </row>
    <row r="814" spans="1:7" hidden="1" x14ac:dyDescent="0.25">
      <c r="A814" s="24" t="s">
        <v>1005</v>
      </c>
      <c r="B814" s="24" t="s">
        <v>56</v>
      </c>
      <c r="C814" s="24" t="s">
        <v>283</v>
      </c>
      <c r="D814" s="25">
        <v>13235</v>
      </c>
      <c r="E814" s="25">
        <v>300250</v>
      </c>
      <c r="F814" s="26">
        <v>41443.800000000003</v>
      </c>
      <c r="G814" s="27">
        <v>13.803096999999999</v>
      </c>
    </row>
    <row r="815" spans="1:7" hidden="1" x14ac:dyDescent="0.25">
      <c r="A815" s="24" t="s">
        <v>1006</v>
      </c>
      <c r="B815" s="24" t="s">
        <v>56</v>
      </c>
      <c r="C815" s="24" t="s">
        <v>283</v>
      </c>
      <c r="D815" s="25">
        <v>13093</v>
      </c>
      <c r="E815" s="25">
        <v>222832</v>
      </c>
      <c r="F815" s="26">
        <v>21181.1</v>
      </c>
      <c r="G815" s="27">
        <v>9.5054120999999991</v>
      </c>
    </row>
    <row r="816" spans="1:7" hidden="1" x14ac:dyDescent="0.25">
      <c r="A816" s="24" t="s">
        <v>1007</v>
      </c>
      <c r="B816" s="24" t="s">
        <v>56</v>
      </c>
      <c r="C816" s="24" t="s">
        <v>283</v>
      </c>
      <c r="D816" s="25">
        <v>7123</v>
      </c>
      <c r="E816" s="25">
        <v>111519</v>
      </c>
      <c r="F816" s="26">
        <v>15264</v>
      </c>
      <c r="G816" s="27">
        <v>13.687353999999999</v>
      </c>
    </row>
    <row r="817" spans="1:7" hidden="1" x14ac:dyDescent="0.25">
      <c r="A817" s="24" t="s">
        <v>1008</v>
      </c>
      <c r="B817" s="24" t="s">
        <v>56</v>
      </c>
      <c r="C817" s="24" t="s">
        <v>283</v>
      </c>
      <c r="D817" s="25">
        <v>7171</v>
      </c>
      <c r="E817" s="25">
        <v>273012</v>
      </c>
      <c r="F817" s="26">
        <v>30457.5</v>
      </c>
      <c r="G817" s="27">
        <v>11.156103</v>
      </c>
    </row>
    <row r="818" spans="1:7" hidden="1" x14ac:dyDescent="0.25">
      <c r="A818" s="24" t="s">
        <v>1009</v>
      </c>
      <c r="B818" s="24" t="s">
        <v>56</v>
      </c>
      <c r="C818" s="24" t="s">
        <v>283</v>
      </c>
      <c r="D818" s="25">
        <v>9966</v>
      </c>
      <c r="E818" s="25">
        <v>201282</v>
      </c>
      <c r="F818" s="26">
        <v>25266.5</v>
      </c>
      <c r="G818" s="27">
        <v>12.552787</v>
      </c>
    </row>
    <row r="819" spans="1:7" hidden="1" x14ac:dyDescent="0.25">
      <c r="A819" s="24" t="s">
        <v>1010</v>
      </c>
      <c r="B819" s="24" t="s">
        <v>56</v>
      </c>
      <c r="C819" s="24" t="s">
        <v>283</v>
      </c>
      <c r="D819" s="25">
        <v>16621</v>
      </c>
      <c r="E819" s="25">
        <v>266601</v>
      </c>
      <c r="F819" s="26">
        <v>33493</v>
      </c>
      <c r="G819" s="27">
        <v>12.562969000000001</v>
      </c>
    </row>
    <row r="820" spans="1:7" hidden="1" x14ac:dyDescent="0.25">
      <c r="A820" s="24" t="s">
        <v>1011</v>
      </c>
      <c r="B820" s="24" t="s">
        <v>56</v>
      </c>
      <c r="C820" s="24" t="s">
        <v>283</v>
      </c>
      <c r="D820" s="25">
        <v>3701</v>
      </c>
      <c r="E820" s="25">
        <v>94578</v>
      </c>
      <c r="F820" s="26">
        <v>13606.4</v>
      </c>
      <c r="G820" s="27">
        <v>14.386431999999999</v>
      </c>
    </row>
    <row r="821" spans="1:7" hidden="1" x14ac:dyDescent="0.25">
      <c r="A821" s="24" t="s">
        <v>1012</v>
      </c>
      <c r="B821" s="24" t="s">
        <v>56</v>
      </c>
      <c r="C821" s="24" t="s">
        <v>283</v>
      </c>
      <c r="D821" s="25">
        <v>13333</v>
      </c>
      <c r="E821" s="25">
        <v>218788</v>
      </c>
      <c r="F821" s="26">
        <v>33407</v>
      </c>
      <c r="G821" s="27">
        <v>15.269119</v>
      </c>
    </row>
    <row r="822" spans="1:7" hidden="1" x14ac:dyDescent="0.25">
      <c r="A822" s="24" t="s">
        <v>1013</v>
      </c>
      <c r="B822" s="24" t="s">
        <v>56</v>
      </c>
      <c r="C822" s="24" t="s">
        <v>283</v>
      </c>
      <c r="D822" s="25">
        <v>30269</v>
      </c>
      <c r="E822" s="25">
        <v>659587</v>
      </c>
      <c r="F822" s="26">
        <v>89558.2</v>
      </c>
      <c r="G822" s="27">
        <v>13.577921</v>
      </c>
    </row>
    <row r="823" spans="1:7" hidden="1" x14ac:dyDescent="0.25">
      <c r="A823" s="24" t="s">
        <v>1014</v>
      </c>
      <c r="B823" s="24" t="s">
        <v>56</v>
      </c>
      <c r="C823" s="24" t="s">
        <v>283</v>
      </c>
      <c r="D823" s="25">
        <v>16206</v>
      </c>
      <c r="E823" s="25">
        <v>273481</v>
      </c>
      <c r="F823" s="26">
        <v>29558.6</v>
      </c>
      <c r="G823" s="27">
        <v>10.808282999999999</v>
      </c>
    </row>
    <row r="824" spans="1:7" hidden="1" x14ac:dyDescent="0.25">
      <c r="A824" s="24" t="s">
        <v>1015</v>
      </c>
      <c r="B824" s="24" t="s">
        <v>56</v>
      </c>
      <c r="C824" s="24" t="s">
        <v>283</v>
      </c>
      <c r="D824" s="25">
        <v>8063</v>
      </c>
      <c r="E824" s="25">
        <v>109872</v>
      </c>
      <c r="F824" s="26">
        <v>12834.1</v>
      </c>
      <c r="G824" s="27">
        <v>11.680956</v>
      </c>
    </row>
    <row r="825" spans="1:7" hidden="1" x14ac:dyDescent="0.25">
      <c r="A825" s="24" t="s">
        <v>1016</v>
      </c>
      <c r="B825" s="24" t="s">
        <v>56</v>
      </c>
      <c r="C825" s="24" t="s">
        <v>283</v>
      </c>
      <c r="D825" s="25">
        <v>3823</v>
      </c>
      <c r="E825" s="25">
        <v>57141</v>
      </c>
      <c r="F825" s="26">
        <v>7319.5</v>
      </c>
      <c r="G825" s="27">
        <v>12.809540999999999</v>
      </c>
    </row>
    <row r="826" spans="1:7" hidden="1" x14ac:dyDescent="0.25">
      <c r="A826" s="24" t="s">
        <v>1017</v>
      </c>
      <c r="B826" s="24" t="s">
        <v>56</v>
      </c>
      <c r="C826" s="24" t="s">
        <v>283</v>
      </c>
      <c r="D826" s="25">
        <v>13055</v>
      </c>
      <c r="E826" s="25">
        <v>182764</v>
      </c>
      <c r="F826" s="26">
        <v>26812</v>
      </c>
      <c r="G826" s="27">
        <v>14.670285</v>
      </c>
    </row>
    <row r="827" spans="1:7" hidden="1" x14ac:dyDescent="0.25">
      <c r="A827" s="24" t="s">
        <v>1018</v>
      </c>
      <c r="B827" s="24" t="s">
        <v>56</v>
      </c>
      <c r="C827" s="24" t="s">
        <v>283</v>
      </c>
      <c r="D827" s="25">
        <v>10108</v>
      </c>
      <c r="E827" s="25">
        <v>234202</v>
      </c>
      <c r="F827" s="26">
        <v>32246.799999999999</v>
      </c>
      <c r="G827" s="27">
        <v>13.768798</v>
      </c>
    </row>
    <row r="828" spans="1:7" hidden="1" x14ac:dyDescent="0.25">
      <c r="A828" s="24" t="s">
        <v>421</v>
      </c>
      <c r="B828" s="24" t="s">
        <v>56</v>
      </c>
      <c r="C828" s="24" t="s">
        <v>392</v>
      </c>
      <c r="D828" s="25">
        <v>13289</v>
      </c>
      <c r="E828" s="25">
        <v>78892</v>
      </c>
      <c r="F828" s="26">
        <v>9329.4</v>
      </c>
      <c r="G828" s="27">
        <v>11.825533999999999</v>
      </c>
    </row>
    <row r="829" spans="1:7" hidden="1" x14ac:dyDescent="0.25">
      <c r="A829" s="24" t="s">
        <v>1019</v>
      </c>
      <c r="B829" s="24" t="s">
        <v>56</v>
      </c>
      <c r="C829" s="24" t="s">
        <v>278</v>
      </c>
      <c r="D829" s="25">
        <v>159406</v>
      </c>
      <c r="E829" s="25">
        <v>1328510</v>
      </c>
      <c r="F829" s="26">
        <v>241957.2</v>
      </c>
      <c r="G829" s="27">
        <v>18.212674</v>
      </c>
    </row>
    <row r="830" spans="1:7" hidden="1" x14ac:dyDescent="0.25">
      <c r="A830" s="24" t="s">
        <v>1020</v>
      </c>
      <c r="B830" s="24" t="s">
        <v>53</v>
      </c>
      <c r="C830" s="24" t="s">
        <v>281</v>
      </c>
      <c r="D830" s="25">
        <v>301</v>
      </c>
      <c r="E830" s="25">
        <v>2393</v>
      </c>
      <c r="F830" s="26">
        <v>275.3</v>
      </c>
      <c r="G830" s="27">
        <v>11.504388000000001</v>
      </c>
    </row>
    <row r="831" spans="1:7" hidden="1" x14ac:dyDescent="0.25">
      <c r="A831" s="24" t="s">
        <v>1021</v>
      </c>
      <c r="B831" s="24" t="s">
        <v>53</v>
      </c>
      <c r="C831" s="24" t="s">
        <v>278</v>
      </c>
      <c r="D831" s="25">
        <v>941241</v>
      </c>
      <c r="E831" s="25">
        <v>11645890</v>
      </c>
      <c r="F831" s="26">
        <v>1588834.2</v>
      </c>
      <c r="G831" s="27">
        <v>13.642875</v>
      </c>
    </row>
    <row r="832" spans="1:7" hidden="1" x14ac:dyDescent="0.25">
      <c r="A832" s="24" t="s">
        <v>1022</v>
      </c>
      <c r="B832" s="24" t="s">
        <v>53</v>
      </c>
      <c r="C832" s="24" t="s">
        <v>281</v>
      </c>
      <c r="D832" s="25">
        <v>53825</v>
      </c>
      <c r="E832" s="25">
        <v>967285</v>
      </c>
      <c r="F832" s="26">
        <v>125980</v>
      </c>
      <c r="G832" s="27">
        <v>13.024082999999999</v>
      </c>
    </row>
    <row r="833" spans="1:7" hidden="1" x14ac:dyDescent="0.25">
      <c r="A833" s="24" t="s">
        <v>391</v>
      </c>
      <c r="B833" s="24" t="s">
        <v>53</v>
      </c>
      <c r="C833" s="24" t="s">
        <v>392</v>
      </c>
      <c r="D833" s="25">
        <v>11</v>
      </c>
      <c r="E833" s="25">
        <v>5680</v>
      </c>
      <c r="F833" s="26">
        <v>490.3</v>
      </c>
      <c r="G833" s="27">
        <v>8.6320423000000002</v>
      </c>
    </row>
    <row r="834" spans="1:7" hidden="1" x14ac:dyDescent="0.25">
      <c r="A834" s="24" t="s">
        <v>527</v>
      </c>
      <c r="B834" s="24" t="s">
        <v>53</v>
      </c>
      <c r="C834" s="24" t="s">
        <v>278</v>
      </c>
      <c r="D834" s="25">
        <v>167448</v>
      </c>
      <c r="E834" s="25">
        <v>2124292</v>
      </c>
      <c r="F834" s="26">
        <v>301009.90000000002</v>
      </c>
      <c r="G834" s="27">
        <v>14.169893</v>
      </c>
    </row>
    <row r="835" spans="1:7" hidden="1" x14ac:dyDescent="0.25">
      <c r="A835" s="24" t="s">
        <v>1023</v>
      </c>
      <c r="B835" s="24" t="s">
        <v>53</v>
      </c>
      <c r="C835" s="24" t="s">
        <v>283</v>
      </c>
      <c r="D835" s="25">
        <v>10659</v>
      </c>
      <c r="E835" s="25">
        <v>251765</v>
      </c>
      <c r="F835" s="26">
        <v>24317.599999999999</v>
      </c>
      <c r="G835" s="27">
        <v>9.6588484999999995</v>
      </c>
    </row>
    <row r="836" spans="1:7" hidden="1" x14ac:dyDescent="0.25">
      <c r="A836" s="24" t="s">
        <v>400</v>
      </c>
      <c r="B836" s="24" t="s">
        <v>53</v>
      </c>
      <c r="C836" s="24" t="s">
        <v>392</v>
      </c>
      <c r="D836" s="25">
        <v>231</v>
      </c>
      <c r="E836" s="25">
        <v>1553</v>
      </c>
      <c r="F836" s="26">
        <v>75</v>
      </c>
      <c r="G836" s="27">
        <v>4.8293625000000002</v>
      </c>
    </row>
    <row r="837" spans="1:7" hidden="1" x14ac:dyDescent="0.25">
      <c r="A837" s="24" t="s">
        <v>1024</v>
      </c>
      <c r="B837" s="24" t="s">
        <v>53</v>
      </c>
      <c r="C837" s="24" t="s">
        <v>283</v>
      </c>
      <c r="D837" s="25">
        <v>17466</v>
      </c>
      <c r="E837" s="25">
        <v>295000</v>
      </c>
      <c r="F837" s="26">
        <v>22266.9</v>
      </c>
      <c r="G837" s="27">
        <v>7.5481017000000001</v>
      </c>
    </row>
    <row r="838" spans="1:7" hidden="1" x14ac:dyDescent="0.25">
      <c r="A838" s="24" t="s">
        <v>401</v>
      </c>
      <c r="B838" s="24" t="s">
        <v>53</v>
      </c>
      <c r="C838" s="24" t="s">
        <v>392</v>
      </c>
      <c r="D838" s="25">
        <v>27</v>
      </c>
      <c r="E838" s="25">
        <v>1830</v>
      </c>
      <c r="F838" s="26">
        <v>322.8</v>
      </c>
      <c r="G838" s="27">
        <v>17.639344000000001</v>
      </c>
    </row>
    <row r="839" spans="1:7" hidden="1" x14ac:dyDescent="0.25">
      <c r="A839" s="24" t="s">
        <v>521</v>
      </c>
      <c r="B839" s="24" t="s">
        <v>53</v>
      </c>
      <c r="C839" s="24" t="s">
        <v>278</v>
      </c>
      <c r="D839" s="25">
        <v>439519</v>
      </c>
      <c r="E839" s="25">
        <v>5575441</v>
      </c>
      <c r="F839" s="26">
        <v>779029.3</v>
      </c>
      <c r="G839" s="27">
        <v>13.972514</v>
      </c>
    </row>
    <row r="840" spans="1:7" hidden="1" x14ac:dyDescent="0.25">
      <c r="A840" s="24" t="s">
        <v>408</v>
      </c>
      <c r="B840" s="24" t="s">
        <v>53</v>
      </c>
      <c r="C840" s="24" t="s">
        <v>392</v>
      </c>
      <c r="D840" s="25">
        <v>23851</v>
      </c>
      <c r="E840" s="25">
        <v>235580</v>
      </c>
      <c r="F840" s="26">
        <v>27532</v>
      </c>
      <c r="G840" s="27">
        <v>11.6869</v>
      </c>
    </row>
    <row r="841" spans="1:7" hidden="1" x14ac:dyDescent="0.25">
      <c r="A841" s="24" t="s">
        <v>1025</v>
      </c>
      <c r="B841" s="24" t="s">
        <v>53</v>
      </c>
      <c r="C841" s="24" t="s">
        <v>281</v>
      </c>
      <c r="D841" s="25">
        <v>159680</v>
      </c>
      <c r="E841" s="25">
        <v>3292736</v>
      </c>
      <c r="F841" s="26">
        <v>389283.9</v>
      </c>
      <c r="G841" s="27">
        <v>11.822506000000001</v>
      </c>
    </row>
    <row r="842" spans="1:7" hidden="1" x14ac:dyDescent="0.25">
      <c r="A842" s="24" t="s">
        <v>409</v>
      </c>
      <c r="B842" s="24" t="s">
        <v>53</v>
      </c>
      <c r="C842" s="24" t="s">
        <v>392</v>
      </c>
      <c r="D842" s="25">
        <v>53</v>
      </c>
      <c r="E842" s="25">
        <v>762</v>
      </c>
      <c r="F842" s="26">
        <v>79</v>
      </c>
      <c r="G842" s="27">
        <v>10.367454</v>
      </c>
    </row>
    <row r="843" spans="1:7" hidden="1" x14ac:dyDescent="0.25">
      <c r="A843" s="24" t="s">
        <v>411</v>
      </c>
      <c r="B843" s="24" t="s">
        <v>53</v>
      </c>
      <c r="C843" s="24" t="s">
        <v>392</v>
      </c>
      <c r="D843" s="25">
        <v>64</v>
      </c>
      <c r="E843" s="25">
        <v>3033</v>
      </c>
      <c r="F843" s="26">
        <v>257.60000000000002</v>
      </c>
      <c r="G843" s="27">
        <v>8.4932409999999994</v>
      </c>
    </row>
    <row r="844" spans="1:7" hidden="1" x14ac:dyDescent="0.25">
      <c r="A844" s="24" t="s">
        <v>414</v>
      </c>
      <c r="B844" s="24" t="s">
        <v>53</v>
      </c>
      <c r="C844" s="24" t="s">
        <v>392</v>
      </c>
      <c r="D844" s="25">
        <v>478</v>
      </c>
      <c r="E844" s="25">
        <v>5269</v>
      </c>
      <c r="F844" s="26">
        <v>633.4</v>
      </c>
      <c r="G844" s="27">
        <v>12.021255999999999</v>
      </c>
    </row>
    <row r="845" spans="1:7" hidden="1" x14ac:dyDescent="0.25">
      <c r="A845" s="24" t="s">
        <v>415</v>
      </c>
      <c r="B845" s="24" t="s">
        <v>53</v>
      </c>
      <c r="C845" s="24" t="s">
        <v>392</v>
      </c>
      <c r="D845" s="25">
        <v>2605</v>
      </c>
      <c r="E845" s="25">
        <v>29651</v>
      </c>
      <c r="F845" s="26">
        <v>4071.6</v>
      </c>
      <c r="G845" s="27">
        <v>13.731745999999999</v>
      </c>
    </row>
    <row r="846" spans="1:7" hidden="1" x14ac:dyDescent="0.25">
      <c r="A846" s="24" t="s">
        <v>416</v>
      </c>
      <c r="B846" s="24" t="s">
        <v>53</v>
      </c>
      <c r="C846" s="24" t="s">
        <v>392</v>
      </c>
      <c r="D846" s="25">
        <v>7</v>
      </c>
      <c r="E846" s="25">
        <v>2226</v>
      </c>
      <c r="F846" s="26">
        <v>157</v>
      </c>
      <c r="G846" s="27">
        <v>7.0530099000000002</v>
      </c>
    </row>
    <row r="847" spans="1:7" hidden="1" x14ac:dyDescent="0.25">
      <c r="A847" s="24" t="s">
        <v>1026</v>
      </c>
      <c r="B847" s="24" t="s">
        <v>53</v>
      </c>
      <c r="C847" s="24" t="s">
        <v>278</v>
      </c>
      <c r="D847" s="25">
        <v>228656</v>
      </c>
      <c r="E847" s="25">
        <v>3393547</v>
      </c>
      <c r="F847" s="26">
        <v>374031.3</v>
      </c>
      <c r="G847" s="27">
        <v>11.021839</v>
      </c>
    </row>
    <row r="848" spans="1:7" hidden="1" x14ac:dyDescent="0.25">
      <c r="A848" s="24" t="s">
        <v>421</v>
      </c>
      <c r="B848" s="24" t="s">
        <v>53</v>
      </c>
      <c r="C848" s="24" t="s">
        <v>392</v>
      </c>
      <c r="D848" s="25">
        <v>14364</v>
      </c>
      <c r="E848" s="25">
        <v>118069</v>
      </c>
      <c r="F848" s="26">
        <v>12103.2</v>
      </c>
      <c r="G848" s="27">
        <v>10.250954999999999</v>
      </c>
    </row>
    <row r="849" spans="1:7" hidden="1" x14ac:dyDescent="0.25">
      <c r="A849" s="24" t="s">
        <v>1027</v>
      </c>
      <c r="B849" s="24" t="s">
        <v>51</v>
      </c>
      <c r="C849" s="24" t="s">
        <v>278</v>
      </c>
      <c r="D849" s="25">
        <v>502991</v>
      </c>
      <c r="E849" s="25">
        <v>4337182</v>
      </c>
      <c r="F849" s="26">
        <v>604533.4</v>
      </c>
      <c r="G849" s="27">
        <v>13.938390999999999</v>
      </c>
    </row>
    <row r="850" spans="1:7" hidden="1" x14ac:dyDescent="0.25">
      <c r="A850" s="24" t="s">
        <v>1028</v>
      </c>
      <c r="B850" s="24" t="s">
        <v>51</v>
      </c>
      <c r="C850" s="24" t="s">
        <v>281</v>
      </c>
      <c r="D850" s="25">
        <v>12620</v>
      </c>
      <c r="E850" s="25">
        <v>91487</v>
      </c>
      <c r="F850" s="26">
        <v>15011.2</v>
      </c>
      <c r="G850" s="27">
        <v>16.408014000000001</v>
      </c>
    </row>
    <row r="851" spans="1:7" hidden="1" x14ac:dyDescent="0.25">
      <c r="A851" s="24" t="s">
        <v>1029</v>
      </c>
      <c r="B851" s="24" t="s">
        <v>51</v>
      </c>
      <c r="C851" s="24" t="s">
        <v>278</v>
      </c>
      <c r="D851" s="25">
        <v>146615</v>
      </c>
      <c r="E851" s="25">
        <v>1382488</v>
      </c>
      <c r="F851" s="26">
        <v>205439.6</v>
      </c>
      <c r="G851" s="27">
        <v>14.860136000000001</v>
      </c>
    </row>
    <row r="852" spans="1:7" hidden="1" x14ac:dyDescent="0.25">
      <c r="A852" s="24" t="s">
        <v>1030</v>
      </c>
      <c r="B852" s="24" t="s">
        <v>51</v>
      </c>
      <c r="C852" s="24" t="s">
        <v>281</v>
      </c>
      <c r="D852" s="25">
        <v>2029</v>
      </c>
      <c r="E852" s="25">
        <v>10245</v>
      </c>
      <c r="F852" s="26">
        <v>2925.3</v>
      </c>
      <c r="G852" s="27">
        <v>28.553440999999999</v>
      </c>
    </row>
    <row r="853" spans="1:7" hidden="1" x14ac:dyDescent="0.25">
      <c r="A853" s="24" t="s">
        <v>1031</v>
      </c>
      <c r="B853" s="24" t="s">
        <v>51</v>
      </c>
      <c r="C853" s="24" t="s">
        <v>283</v>
      </c>
      <c r="D853" s="25">
        <v>5411</v>
      </c>
      <c r="E853" s="25">
        <v>73583</v>
      </c>
      <c r="F853" s="26">
        <v>7523.3</v>
      </c>
      <c r="G853" s="27">
        <v>10.224237</v>
      </c>
    </row>
    <row r="854" spans="1:7" hidden="1" x14ac:dyDescent="0.25">
      <c r="A854" s="24" t="s">
        <v>1032</v>
      </c>
      <c r="B854" s="24" t="s">
        <v>51</v>
      </c>
      <c r="C854" s="24" t="s">
        <v>283</v>
      </c>
      <c r="D854" s="25">
        <v>6956</v>
      </c>
      <c r="E854" s="25">
        <v>91462</v>
      </c>
      <c r="F854" s="26">
        <v>12156</v>
      </c>
      <c r="G854" s="27">
        <v>13.290766</v>
      </c>
    </row>
    <row r="855" spans="1:7" hidden="1" x14ac:dyDescent="0.25">
      <c r="A855" s="24" t="s">
        <v>408</v>
      </c>
      <c r="B855" s="24" t="s">
        <v>51</v>
      </c>
      <c r="C855" s="24" t="s">
        <v>392</v>
      </c>
      <c r="D855" s="25">
        <v>4</v>
      </c>
      <c r="E855" s="25">
        <v>1243</v>
      </c>
      <c r="F855" s="26">
        <v>146</v>
      </c>
      <c r="G855" s="27">
        <v>11.745775999999999</v>
      </c>
    </row>
    <row r="856" spans="1:7" hidden="1" x14ac:dyDescent="0.25">
      <c r="A856" s="24" t="s">
        <v>1033</v>
      </c>
      <c r="B856" s="24" t="s">
        <v>51</v>
      </c>
      <c r="C856" s="24" t="s">
        <v>283</v>
      </c>
      <c r="D856" s="25">
        <v>2498</v>
      </c>
      <c r="E856" s="25">
        <v>24812</v>
      </c>
      <c r="F856" s="26">
        <v>3707.3</v>
      </c>
      <c r="G856" s="27">
        <v>14.941561</v>
      </c>
    </row>
    <row r="857" spans="1:7" hidden="1" x14ac:dyDescent="0.25">
      <c r="A857" s="24" t="s">
        <v>1034</v>
      </c>
      <c r="B857" s="24" t="s">
        <v>59</v>
      </c>
      <c r="C857" s="24" t="s">
        <v>281</v>
      </c>
      <c r="D857" s="25">
        <v>9951</v>
      </c>
      <c r="E857" s="25">
        <v>83141</v>
      </c>
      <c r="F857" s="26">
        <v>14836</v>
      </c>
      <c r="G857" s="27">
        <v>17.844384999999999</v>
      </c>
    </row>
    <row r="858" spans="1:7" hidden="1" x14ac:dyDescent="0.25">
      <c r="A858" s="24" t="s">
        <v>1035</v>
      </c>
      <c r="B858" s="24" t="s">
        <v>59</v>
      </c>
      <c r="C858" s="24" t="s">
        <v>278</v>
      </c>
      <c r="D858" s="25">
        <v>17691</v>
      </c>
      <c r="E858" s="25">
        <v>358831</v>
      </c>
      <c r="F858" s="26">
        <v>34742.1</v>
      </c>
      <c r="G858" s="27">
        <v>9.6820229999999992</v>
      </c>
    </row>
    <row r="859" spans="1:7" hidden="1" x14ac:dyDescent="0.25">
      <c r="A859" s="24" t="s">
        <v>1036</v>
      </c>
      <c r="B859" s="24" t="s">
        <v>59</v>
      </c>
      <c r="C859" s="24" t="s">
        <v>281</v>
      </c>
      <c r="D859" s="25">
        <v>65</v>
      </c>
      <c r="E859" s="25">
        <v>170</v>
      </c>
      <c r="F859" s="26">
        <v>50</v>
      </c>
      <c r="G859" s="27">
        <v>29.411764999999999</v>
      </c>
    </row>
    <row r="860" spans="1:7" hidden="1" x14ac:dyDescent="0.25">
      <c r="A860" s="24" t="s">
        <v>1037</v>
      </c>
      <c r="B860" s="24" t="s">
        <v>59</v>
      </c>
      <c r="C860" s="24" t="s">
        <v>281</v>
      </c>
      <c r="D860" s="25">
        <v>35145</v>
      </c>
      <c r="E860" s="25">
        <v>385994</v>
      </c>
      <c r="F860" s="26">
        <v>49663.9</v>
      </c>
      <c r="G860" s="27">
        <v>12.866495</v>
      </c>
    </row>
    <row r="861" spans="1:7" hidden="1" x14ac:dyDescent="0.25">
      <c r="A861" s="24" t="s">
        <v>1038</v>
      </c>
      <c r="B861" s="24" t="s">
        <v>59</v>
      </c>
      <c r="C861" s="24" t="s">
        <v>283</v>
      </c>
      <c r="D861" s="25">
        <v>20206</v>
      </c>
      <c r="E861" s="25">
        <v>307941</v>
      </c>
      <c r="F861" s="26">
        <v>38275</v>
      </c>
      <c r="G861" s="27">
        <v>12.429328999999999</v>
      </c>
    </row>
    <row r="862" spans="1:7" hidden="1" x14ac:dyDescent="0.25">
      <c r="A862" s="24" t="s">
        <v>1039</v>
      </c>
      <c r="B862" s="24" t="s">
        <v>59</v>
      </c>
      <c r="C862" s="24" t="s">
        <v>283</v>
      </c>
      <c r="D862" s="25">
        <v>1630</v>
      </c>
      <c r="E862" s="25">
        <v>16017</v>
      </c>
      <c r="F862" s="26">
        <v>2369</v>
      </c>
      <c r="G862" s="27">
        <v>14.790535</v>
      </c>
    </row>
    <row r="863" spans="1:7" hidden="1" x14ac:dyDescent="0.25">
      <c r="A863" s="24" t="s">
        <v>1040</v>
      </c>
      <c r="B863" s="24" t="s">
        <v>59</v>
      </c>
      <c r="C863" s="24" t="s">
        <v>283</v>
      </c>
      <c r="D863" s="25">
        <v>7243</v>
      </c>
      <c r="E863" s="25">
        <v>134420</v>
      </c>
      <c r="F863" s="26">
        <v>12619</v>
      </c>
      <c r="G863" s="27">
        <v>9.3877398999999997</v>
      </c>
    </row>
    <row r="864" spans="1:7" hidden="1" x14ac:dyDescent="0.25">
      <c r="A864" s="24" t="s">
        <v>1041</v>
      </c>
      <c r="B864" s="24" t="s">
        <v>59</v>
      </c>
      <c r="C864" s="24" t="s">
        <v>283</v>
      </c>
      <c r="D864" s="25">
        <v>2864</v>
      </c>
      <c r="E864" s="25">
        <v>30739</v>
      </c>
      <c r="F864" s="26">
        <v>3773.8</v>
      </c>
      <c r="G864" s="27">
        <v>12.276911999999999</v>
      </c>
    </row>
    <row r="865" spans="1:7" hidden="1" x14ac:dyDescent="0.25">
      <c r="A865" s="24" t="s">
        <v>1042</v>
      </c>
      <c r="B865" s="24" t="s">
        <v>59</v>
      </c>
      <c r="C865" s="24" t="s">
        <v>283</v>
      </c>
      <c r="D865" s="25">
        <v>13850</v>
      </c>
      <c r="E865" s="25">
        <v>293903</v>
      </c>
      <c r="F865" s="26">
        <v>36177.599999999999</v>
      </c>
      <c r="G865" s="27">
        <v>12.309367</v>
      </c>
    </row>
    <row r="866" spans="1:7" hidden="1" x14ac:dyDescent="0.25">
      <c r="A866" s="24" t="s">
        <v>1043</v>
      </c>
      <c r="B866" s="24" t="s">
        <v>59</v>
      </c>
      <c r="C866" s="24" t="s">
        <v>283</v>
      </c>
      <c r="D866" s="25">
        <v>28578</v>
      </c>
      <c r="E866" s="25">
        <v>1077300</v>
      </c>
      <c r="F866" s="26">
        <v>107038</v>
      </c>
      <c r="G866" s="27">
        <v>9.9357652999999999</v>
      </c>
    </row>
    <row r="867" spans="1:7" hidden="1" x14ac:dyDescent="0.25">
      <c r="A867" s="24" t="s">
        <v>1044</v>
      </c>
      <c r="B867" s="24" t="s">
        <v>59</v>
      </c>
      <c r="C867" s="24" t="s">
        <v>283</v>
      </c>
      <c r="D867" s="25">
        <v>97185</v>
      </c>
      <c r="E867" s="25">
        <v>2096596</v>
      </c>
      <c r="F867" s="26">
        <v>273808</v>
      </c>
      <c r="G867" s="27">
        <v>13.059645</v>
      </c>
    </row>
    <row r="868" spans="1:7" hidden="1" x14ac:dyDescent="0.25">
      <c r="A868" s="24" t="s">
        <v>1045</v>
      </c>
      <c r="B868" s="24" t="s">
        <v>59</v>
      </c>
      <c r="C868" s="24" t="s">
        <v>283</v>
      </c>
      <c r="D868" s="25">
        <v>17163</v>
      </c>
      <c r="E868" s="25">
        <v>283285</v>
      </c>
      <c r="F868" s="26">
        <v>45584.3</v>
      </c>
      <c r="G868" s="27">
        <v>16.091321000000001</v>
      </c>
    </row>
    <row r="869" spans="1:7" hidden="1" x14ac:dyDescent="0.25">
      <c r="A869" s="24" t="s">
        <v>1046</v>
      </c>
      <c r="B869" s="24" t="s">
        <v>59</v>
      </c>
      <c r="C869" s="24" t="s">
        <v>283</v>
      </c>
      <c r="D869" s="25">
        <v>4557</v>
      </c>
      <c r="E869" s="25">
        <v>105610</v>
      </c>
      <c r="F869" s="26">
        <v>12100</v>
      </c>
      <c r="G869" s="27">
        <v>11.457248</v>
      </c>
    </row>
    <row r="870" spans="1:7" hidden="1" x14ac:dyDescent="0.25">
      <c r="A870" s="24" t="s">
        <v>1047</v>
      </c>
      <c r="B870" s="24" t="s">
        <v>59</v>
      </c>
      <c r="C870" s="24" t="s">
        <v>283</v>
      </c>
      <c r="D870" s="25">
        <v>2215</v>
      </c>
      <c r="E870" s="25">
        <v>21045</v>
      </c>
      <c r="F870" s="26">
        <v>3275</v>
      </c>
      <c r="G870" s="27">
        <v>15.561890999999999</v>
      </c>
    </row>
    <row r="871" spans="1:7" hidden="1" x14ac:dyDescent="0.25">
      <c r="A871" s="24" t="s">
        <v>1048</v>
      </c>
      <c r="B871" s="24" t="s">
        <v>59</v>
      </c>
      <c r="C871" s="24" t="s">
        <v>283</v>
      </c>
      <c r="D871" s="25">
        <v>7026</v>
      </c>
      <c r="E871" s="25">
        <v>119309</v>
      </c>
      <c r="F871" s="26">
        <v>13099</v>
      </c>
      <c r="G871" s="27">
        <v>10.979054</v>
      </c>
    </row>
    <row r="872" spans="1:7" hidden="1" x14ac:dyDescent="0.25">
      <c r="A872" s="24" t="s">
        <v>1049</v>
      </c>
      <c r="B872" s="24" t="s">
        <v>59</v>
      </c>
      <c r="C872" s="24" t="s">
        <v>283</v>
      </c>
      <c r="D872" s="25">
        <v>2090</v>
      </c>
      <c r="E872" s="25">
        <v>23572</v>
      </c>
      <c r="F872" s="26">
        <v>3376</v>
      </c>
      <c r="G872" s="27">
        <v>14.322077</v>
      </c>
    </row>
    <row r="873" spans="1:7" hidden="1" x14ac:dyDescent="0.25">
      <c r="A873" s="24" t="s">
        <v>1050</v>
      </c>
      <c r="B873" s="24" t="s">
        <v>59</v>
      </c>
      <c r="C873" s="24" t="s">
        <v>283</v>
      </c>
      <c r="D873" s="25">
        <v>5373</v>
      </c>
      <c r="E873" s="25">
        <v>99081</v>
      </c>
      <c r="F873" s="26">
        <v>10167</v>
      </c>
      <c r="G873" s="27">
        <v>10.261301</v>
      </c>
    </row>
    <row r="874" spans="1:7" hidden="1" x14ac:dyDescent="0.25">
      <c r="A874" s="24" t="s">
        <v>1051</v>
      </c>
      <c r="B874" s="24" t="s">
        <v>59</v>
      </c>
      <c r="C874" s="24" t="s">
        <v>283</v>
      </c>
      <c r="D874" s="25">
        <v>8334</v>
      </c>
      <c r="E874" s="25">
        <v>136725</v>
      </c>
      <c r="F874" s="26">
        <v>16075.8</v>
      </c>
      <c r="G874" s="27">
        <v>11.757762</v>
      </c>
    </row>
    <row r="875" spans="1:7" hidden="1" x14ac:dyDescent="0.25">
      <c r="A875" s="24" t="s">
        <v>1052</v>
      </c>
      <c r="B875" s="24" t="s">
        <v>59</v>
      </c>
      <c r="C875" s="24" t="s">
        <v>283</v>
      </c>
      <c r="D875" s="25">
        <v>7080</v>
      </c>
      <c r="E875" s="25">
        <v>218963</v>
      </c>
      <c r="F875" s="26">
        <v>26459</v>
      </c>
      <c r="G875" s="27">
        <v>12.083777</v>
      </c>
    </row>
    <row r="876" spans="1:7" hidden="1" x14ac:dyDescent="0.25">
      <c r="A876" s="24" t="s">
        <v>1053</v>
      </c>
      <c r="B876" s="24" t="s">
        <v>59</v>
      </c>
      <c r="C876" s="24" t="s">
        <v>283</v>
      </c>
      <c r="D876" s="25">
        <v>12098</v>
      </c>
      <c r="E876" s="25">
        <v>318111</v>
      </c>
      <c r="F876" s="26">
        <v>30644</v>
      </c>
      <c r="G876" s="27">
        <v>9.6331155000000006</v>
      </c>
    </row>
    <row r="877" spans="1:7" hidden="1" x14ac:dyDescent="0.25">
      <c r="A877" s="24" t="s">
        <v>1054</v>
      </c>
      <c r="B877" s="24" t="s">
        <v>59</v>
      </c>
      <c r="C877" s="24" t="s">
        <v>283</v>
      </c>
      <c r="D877" s="25">
        <v>6606</v>
      </c>
      <c r="E877" s="25">
        <v>384535</v>
      </c>
      <c r="F877" s="26">
        <v>28678</v>
      </c>
      <c r="G877" s="27">
        <v>7.4578386999999999</v>
      </c>
    </row>
    <row r="878" spans="1:7" hidden="1" x14ac:dyDescent="0.25">
      <c r="A878" s="24" t="s">
        <v>1055</v>
      </c>
      <c r="B878" s="24" t="s">
        <v>59</v>
      </c>
      <c r="C878" s="24" t="s">
        <v>281</v>
      </c>
      <c r="D878" s="25">
        <v>42503</v>
      </c>
      <c r="E878" s="25">
        <v>710453</v>
      </c>
      <c r="F878" s="26">
        <v>76930.8</v>
      </c>
      <c r="G878" s="27">
        <v>10.828415</v>
      </c>
    </row>
    <row r="879" spans="1:7" hidden="1" x14ac:dyDescent="0.25">
      <c r="A879" s="24" t="s">
        <v>1056</v>
      </c>
      <c r="B879" s="24" t="s">
        <v>59</v>
      </c>
      <c r="C879" s="24" t="s">
        <v>283</v>
      </c>
      <c r="D879" s="25">
        <v>7127</v>
      </c>
      <c r="E879" s="25">
        <v>427577</v>
      </c>
      <c r="F879" s="26">
        <v>37461</v>
      </c>
      <c r="G879" s="27">
        <v>8.7612290000000002</v>
      </c>
    </row>
    <row r="880" spans="1:7" hidden="1" x14ac:dyDescent="0.25">
      <c r="A880" s="24" t="s">
        <v>1057</v>
      </c>
      <c r="B880" s="24" t="s">
        <v>59</v>
      </c>
      <c r="C880" s="24" t="s">
        <v>278</v>
      </c>
      <c r="D880" s="25">
        <v>1816948</v>
      </c>
      <c r="E880" s="25">
        <v>33248491</v>
      </c>
      <c r="F880" s="26">
        <v>4210442.0999999996</v>
      </c>
      <c r="G880" s="27">
        <v>12.663558</v>
      </c>
    </row>
    <row r="881" spans="1:7" hidden="1" x14ac:dyDescent="0.25">
      <c r="A881" s="24" t="s">
        <v>1058</v>
      </c>
      <c r="B881" s="24" t="s">
        <v>59</v>
      </c>
      <c r="C881" s="24" t="s">
        <v>278</v>
      </c>
      <c r="D881" s="25">
        <v>2184813</v>
      </c>
      <c r="E881" s="25">
        <v>42243910</v>
      </c>
      <c r="F881" s="26">
        <v>4777824.8</v>
      </c>
      <c r="G881" s="27">
        <v>11.310091</v>
      </c>
    </row>
    <row r="882" spans="1:7" hidden="1" x14ac:dyDescent="0.25">
      <c r="A882" s="24" t="s">
        <v>1059</v>
      </c>
      <c r="B882" s="24" t="s">
        <v>59</v>
      </c>
      <c r="C882" s="24" t="s">
        <v>281</v>
      </c>
      <c r="D882" s="25">
        <v>124622</v>
      </c>
      <c r="E882" s="25">
        <v>1416604</v>
      </c>
      <c r="F882" s="26">
        <v>181534.3</v>
      </c>
      <c r="G882" s="27">
        <v>12.814753</v>
      </c>
    </row>
    <row r="883" spans="1:7" hidden="1" x14ac:dyDescent="0.25">
      <c r="A883" s="24" t="s">
        <v>1060</v>
      </c>
      <c r="B883" s="24" t="s">
        <v>59</v>
      </c>
      <c r="C883" s="24" t="s">
        <v>283</v>
      </c>
      <c r="D883" s="25">
        <v>6041</v>
      </c>
      <c r="E883" s="25">
        <v>121769</v>
      </c>
      <c r="F883" s="26">
        <v>14103.9</v>
      </c>
      <c r="G883" s="27">
        <v>11.582504999999999</v>
      </c>
    </row>
    <row r="884" spans="1:7" hidden="1" x14ac:dyDescent="0.25">
      <c r="A884" s="24" t="s">
        <v>825</v>
      </c>
      <c r="B884" s="24" t="s">
        <v>59</v>
      </c>
      <c r="C884" s="24" t="s">
        <v>278</v>
      </c>
      <c r="D884" s="25">
        <v>128632</v>
      </c>
      <c r="E884" s="25">
        <v>2780497</v>
      </c>
      <c r="F884" s="26">
        <v>283408.5</v>
      </c>
      <c r="G884" s="27">
        <v>10.192728000000001</v>
      </c>
    </row>
    <row r="885" spans="1:7" hidden="1" x14ac:dyDescent="0.25">
      <c r="A885" s="24" t="s">
        <v>837</v>
      </c>
      <c r="B885" s="24" t="s">
        <v>59</v>
      </c>
      <c r="C885" s="24" t="s">
        <v>281</v>
      </c>
      <c r="D885" s="25">
        <v>34578</v>
      </c>
      <c r="E885" s="25">
        <v>597810</v>
      </c>
      <c r="F885" s="26">
        <v>75540.899999999994</v>
      </c>
      <c r="G885" s="27">
        <v>12.636272</v>
      </c>
    </row>
    <row r="886" spans="1:7" hidden="1" x14ac:dyDescent="0.25">
      <c r="A886" s="24" t="s">
        <v>1061</v>
      </c>
      <c r="B886" s="24" t="s">
        <v>59</v>
      </c>
      <c r="C886" s="24" t="s">
        <v>278</v>
      </c>
      <c r="D886" s="25">
        <v>8958</v>
      </c>
      <c r="E886" s="25">
        <v>137226</v>
      </c>
      <c r="F886" s="26">
        <v>15310.7</v>
      </c>
      <c r="G886" s="27">
        <v>11.157287999999999</v>
      </c>
    </row>
    <row r="887" spans="1:7" hidden="1" x14ac:dyDescent="0.25">
      <c r="A887" s="24" t="s">
        <v>1062</v>
      </c>
      <c r="B887" s="24" t="s">
        <v>59</v>
      </c>
      <c r="C887" s="24" t="s">
        <v>281</v>
      </c>
      <c r="D887" s="25">
        <v>33468</v>
      </c>
      <c r="E887" s="25">
        <v>236536</v>
      </c>
      <c r="F887" s="26">
        <v>34787.199999999997</v>
      </c>
      <c r="G887" s="27">
        <v>14.706937</v>
      </c>
    </row>
    <row r="888" spans="1:7" hidden="1" x14ac:dyDescent="0.25">
      <c r="A888" s="24" t="s">
        <v>1063</v>
      </c>
      <c r="B888" s="24" t="s">
        <v>59</v>
      </c>
      <c r="C888" s="24" t="s">
        <v>281</v>
      </c>
      <c r="D888" s="25">
        <v>12232</v>
      </c>
      <c r="E888" s="25">
        <v>164684</v>
      </c>
      <c r="F888" s="26">
        <v>20907</v>
      </c>
      <c r="G888" s="27">
        <v>12.695221999999999</v>
      </c>
    </row>
    <row r="889" spans="1:7" hidden="1" x14ac:dyDescent="0.25">
      <c r="A889" s="24" t="s">
        <v>1064</v>
      </c>
      <c r="B889" s="24" t="s">
        <v>59</v>
      </c>
      <c r="C889" s="24" t="s">
        <v>281</v>
      </c>
      <c r="D889" s="25">
        <v>25873</v>
      </c>
      <c r="E889" s="25">
        <v>339455</v>
      </c>
      <c r="F889" s="26">
        <v>45043.9</v>
      </c>
      <c r="G889" s="27">
        <v>13.269475999999999</v>
      </c>
    </row>
    <row r="890" spans="1:7" hidden="1" x14ac:dyDescent="0.25">
      <c r="A890" s="24" t="s">
        <v>1065</v>
      </c>
      <c r="B890" s="24" t="s">
        <v>59</v>
      </c>
      <c r="C890" s="24" t="s">
        <v>278</v>
      </c>
      <c r="D890" s="25">
        <v>36727</v>
      </c>
      <c r="E890" s="25">
        <v>601553</v>
      </c>
      <c r="F890" s="26">
        <v>68096.5</v>
      </c>
      <c r="G890" s="27">
        <v>11.320116000000001</v>
      </c>
    </row>
    <row r="891" spans="1:7" hidden="1" x14ac:dyDescent="0.25">
      <c r="A891" s="24" t="s">
        <v>1066</v>
      </c>
      <c r="B891" s="24" t="s">
        <v>59</v>
      </c>
      <c r="C891" s="24" t="s">
        <v>278</v>
      </c>
      <c r="D891" s="25">
        <v>62872</v>
      </c>
      <c r="E891" s="25">
        <v>730716</v>
      </c>
      <c r="F891" s="26">
        <v>107997.7</v>
      </c>
      <c r="G891" s="27">
        <v>14.779709</v>
      </c>
    </row>
    <row r="892" spans="1:7" hidden="1" x14ac:dyDescent="0.25">
      <c r="A892" s="24" t="s">
        <v>1067</v>
      </c>
      <c r="B892" s="24" t="s">
        <v>59</v>
      </c>
      <c r="C892" s="24" t="s">
        <v>283</v>
      </c>
      <c r="D892" s="25">
        <v>894</v>
      </c>
      <c r="E892" s="25">
        <v>19176</v>
      </c>
      <c r="F892" s="26">
        <v>2432</v>
      </c>
      <c r="G892" s="27">
        <v>12.68252</v>
      </c>
    </row>
    <row r="893" spans="1:7" hidden="1" x14ac:dyDescent="0.25">
      <c r="A893" s="24" t="s">
        <v>1068</v>
      </c>
      <c r="B893" s="24" t="s">
        <v>59</v>
      </c>
      <c r="C893" s="24" t="s">
        <v>283</v>
      </c>
      <c r="D893" s="25">
        <v>1184</v>
      </c>
      <c r="E893" s="25">
        <v>11632</v>
      </c>
      <c r="F893" s="26">
        <v>1584.4</v>
      </c>
      <c r="G893" s="27">
        <v>13.621045000000001</v>
      </c>
    </row>
    <row r="894" spans="1:7" hidden="1" x14ac:dyDescent="0.25">
      <c r="A894" s="24" t="s">
        <v>1069</v>
      </c>
      <c r="B894" s="24" t="s">
        <v>59</v>
      </c>
      <c r="C894" s="24" t="s">
        <v>278</v>
      </c>
      <c r="D894" s="25">
        <v>1</v>
      </c>
      <c r="E894" s="25">
        <v>1246490</v>
      </c>
      <c r="F894" s="26">
        <v>72449.899999999994</v>
      </c>
      <c r="G894" s="27">
        <v>5.8123129999999996</v>
      </c>
    </row>
    <row r="895" spans="1:7" hidden="1" x14ac:dyDescent="0.25">
      <c r="A895" s="24" t="s">
        <v>1070</v>
      </c>
      <c r="B895" s="24" t="s">
        <v>59</v>
      </c>
      <c r="C895" s="24" t="s">
        <v>283</v>
      </c>
      <c r="D895" s="25">
        <v>12728</v>
      </c>
      <c r="E895" s="25">
        <v>291363</v>
      </c>
      <c r="F895" s="26">
        <v>32378.2</v>
      </c>
      <c r="G895" s="27">
        <v>11.112667</v>
      </c>
    </row>
    <row r="896" spans="1:7" hidden="1" x14ac:dyDescent="0.25">
      <c r="A896" s="24" t="s">
        <v>1071</v>
      </c>
      <c r="B896" s="24" t="s">
        <v>61</v>
      </c>
      <c r="C896" s="24" t="s">
        <v>278</v>
      </c>
      <c r="D896" s="25">
        <v>146353</v>
      </c>
      <c r="E896" s="25">
        <v>8997352</v>
      </c>
      <c r="F896" s="26">
        <v>664307.6</v>
      </c>
      <c r="G896" s="27">
        <v>7.3833678999999997</v>
      </c>
    </row>
    <row r="897" spans="1:7" hidden="1" x14ac:dyDescent="0.25">
      <c r="A897" s="24" t="s">
        <v>1072</v>
      </c>
      <c r="B897" s="24" t="s">
        <v>61</v>
      </c>
      <c r="C897" s="24" t="s">
        <v>283</v>
      </c>
      <c r="D897" s="25">
        <v>651</v>
      </c>
      <c r="E897" s="25">
        <v>12761</v>
      </c>
      <c r="F897" s="26">
        <v>1473</v>
      </c>
      <c r="G897" s="27">
        <v>11.542983</v>
      </c>
    </row>
    <row r="898" spans="1:7" hidden="1" x14ac:dyDescent="0.25">
      <c r="A898" s="24" t="s">
        <v>1073</v>
      </c>
      <c r="B898" s="24" t="s">
        <v>61</v>
      </c>
      <c r="C898" s="24" t="s">
        <v>281</v>
      </c>
      <c r="D898" s="25">
        <v>5226</v>
      </c>
      <c r="E898" s="25">
        <v>232971</v>
      </c>
      <c r="F898" s="26">
        <v>22389</v>
      </c>
      <c r="G898" s="27">
        <v>9.6102089999999993</v>
      </c>
    </row>
    <row r="899" spans="1:7" hidden="1" x14ac:dyDescent="0.25">
      <c r="A899" s="24" t="s">
        <v>1074</v>
      </c>
      <c r="B899" s="24" t="s">
        <v>61</v>
      </c>
      <c r="C899" s="24" t="s">
        <v>281</v>
      </c>
      <c r="D899" s="25">
        <v>4234</v>
      </c>
      <c r="E899" s="25">
        <v>71976</v>
      </c>
      <c r="F899" s="26">
        <v>9608</v>
      </c>
      <c r="G899" s="27">
        <v>13.348894</v>
      </c>
    </row>
    <row r="900" spans="1:7" hidden="1" x14ac:dyDescent="0.25">
      <c r="A900" s="24" t="s">
        <v>1075</v>
      </c>
      <c r="B900" s="24" t="s">
        <v>61</v>
      </c>
      <c r="C900" s="24" t="s">
        <v>281</v>
      </c>
      <c r="D900" s="25">
        <v>18526</v>
      </c>
      <c r="E900" s="25">
        <v>393014</v>
      </c>
      <c r="F900" s="26">
        <v>45194.5</v>
      </c>
      <c r="G900" s="27">
        <v>11.499463</v>
      </c>
    </row>
    <row r="901" spans="1:7" hidden="1" x14ac:dyDescent="0.25">
      <c r="A901" s="24" t="s">
        <v>1076</v>
      </c>
      <c r="B901" s="24" t="s">
        <v>61</v>
      </c>
      <c r="C901" s="24" t="s">
        <v>283</v>
      </c>
      <c r="D901" s="25">
        <v>761</v>
      </c>
      <c r="E901" s="25">
        <v>24112</v>
      </c>
      <c r="F901" s="26">
        <v>2710.3</v>
      </c>
      <c r="G901" s="27">
        <v>11.240461</v>
      </c>
    </row>
    <row r="902" spans="1:7" hidden="1" x14ac:dyDescent="0.25">
      <c r="A902" s="24" t="s">
        <v>1077</v>
      </c>
      <c r="B902" s="24" t="s">
        <v>61</v>
      </c>
      <c r="C902" s="24" t="s">
        <v>281</v>
      </c>
      <c r="D902" s="25">
        <v>20890</v>
      </c>
      <c r="E902" s="25">
        <v>363492</v>
      </c>
      <c r="F902" s="26">
        <v>44025</v>
      </c>
      <c r="G902" s="27">
        <v>12.111682999999999</v>
      </c>
    </row>
    <row r="903" spans="1:7" hidden="1" x14ac:dyDescent="0.25">
      <c r="A903" s="24" t="s">
        <v>1078</v>
      </c>
      <c r="B903" s="24" t="s">
        <v>61</v>
      </c>
      <c r="C903" s="24" t="s">
        <v>283</v>
      </c>
      <c r="D903" s="25">
        <v>2306</v>
      </c>
      <c r="E903" s="25">
        <v>53400</v>
      </c>
      <c r="F903" s="26">
        <v>5411</v>
      </c>
      <c r="G903" s="27">
        <v>10.132959</v>
      </c>
    </row>
    <row r="904" spans="1:7" hidden="1" x14ac:dyDescent="0.25">
      <c r="A904" s="24" t="s">
        <v>1079</v>
      </c>
      <c r="B904" s="24" t="s">
        <v>61</v>
      </c>
      <c r="C904" s="24" t="s">
        <v>283</v>
      </c>
      <c r="D904" s="25">
        <v>8039</v>
      </c>
      <c r="E904" s="25">
        <v>178511</v>
      </c>
      <c r="F904" s="26">
        <v>19412</v>
      </c>
      <c r="G904" s="27">
        <v>10.8744</v>
      </c>
    </row>
    <row r="905" spans="1:7" hidden="1" x14ac:dyDescent="0.25">
      <c r="A905" s="24" t="s">
        <v>1080</v>
      </c>
      <c r="B905" s="24" t="s">
        <v>61</v>
      </c>
      <c r="C905" s="24" t="s">
        <v>281</v>
      </c>
      <c r="D905" s="25">
        <v>4498</v>
      </c>
      <c r="E905" s="25">
        <v>129324</v>
      </c>
      <c r="F905" s="26">
        <v>14548.9</v>
      </c>
      <c r="G905" s="27">
        <v>11.249961000000001</v>
      </c>
    </row>
    <row r="906" spans="1:7" hidden="1" x14ac:dyDescent="0.25">
      <c r="A906" s="24" t="s">
        <v>1081</v>
      </c>
      <c r="B906" s="24" t="s">
        <v>61</v>
      </c>
      <c r="C906" s="24" t="s">
        <v>283</v>
      </c>
      <c r="D906" s="25">
        <v>9870</v>
      </c>
      <c r="E906" s="25">
        <v>280236</v>
      </c>
      <c r="F906" s="26">
        <v>24724</v>
      </c>
      <c r="G906" s="27">
        <v>8.8225637999999993</v>
      </c>
    </row>
    <row r="907" spans="1:7" hidden="1" x14ac:dyDescent="0.25">
      <c r="A907" s="24" t="s">
        <v>1082</v>
      </c>
      <c r="B907" s="24" t="s">
        <v>61</v>
      </c>
      <c r="C907" s="24" t="s">
        <v>283</v>
      </c>
      <c r="D907" s="25">
        <v>12105</v>
      </c>
      <c r="E907" s="25">
        <v>268852</v>
      </c>
      <c r="F907" s="26">
        <v>27493</v>
      </c>
      <c r="G907" s="27">
        <v>10.226072</v>
      </c>
    </row>
    <row r="908" spans="1:7" hidden="1" x14ac:dyDescent="0.25">
      <c r="A908" s="24" t="s">
        <v>1083</v>
      </c>
      <c r="B908" s="24" t="s">
        <v>61</v>
      </c>
      <c r="C908" s="24" t="s">
        <v>283</v>
      </c>
      <c r="D908" s="25">
        <v>1134</v>
      </c>
      <c r="E908" s="25">
        <v>15679</v>
      </c>
      <c r="F908" s="26">
        <v>1518.8</v>
      </c>
      <c r="G908" s="27">
        <v>9.6868423000000003</v>
      </c>
    </row>
    <row r="909" spans="1:7" hidden="1" x14ac:dyDescent="0.25">
      <c r="A909" s="24" t="s">
        <v>1084</v>
      </c>
      <c r="B909" s="24" t="s">
        <v>61</v>
      </c>
      <c r="C909" s="24" t="s">
        <v>283</v>
      </c>
      <c r="D909" s="25">
        <v>12179</v>
      </c>
      <c r="E909" s="25">
        <v>335917</v>
      </c>
      <c r="F909" s="26">
        <v>35895.199999999997</v>
      </c>
      <c r="G909" s="27">
        <v>10.685734999999999</v>
      </c>
    </row>
    <row r="910" spans="1:7" hidden="1" x14ac:dyDescent="0.25">
      <c r="A910" s="24" t="s">
        <v>1085</v>
      </c>
      <c r="B910" s="24" t="s">
        <v>61</v>
      </c>
      <c r="C910" s="24" t="s">
        <v>283</v>
      </c>
      <c r="D910" s="25">
        <v>1322</v>
      </c>
      <c r="E910" s="25">
        <v>21830</v>
      </c>
      <c r="F910" s="26">
        <v>2052.5</v>
      </c>
      <c r="G910" s="27">
        <v>9.4021988000000007</v>
      </c>
    </row>
    <row r="911" spans="1:7" hidden="1" x14ac:dyDescent="0.25">
      <c r="A911" s="24" t="s">
        <v>1086</v>
      </c>
      <c r="B911" s="24" t="s">
        <v>61</v>
      </c>
      <c r="C911" s="24" t="s">
        <v>283</v>
      </c>
      <c r="D911" s="25">
        <v>1837</v>
      </c>
      <c r="E911" s="25">
        <v>33217</v>
      </c>
      <c r="F911" s="26">
        <v>2923.3</v>
      </c>
      <c r="G911" s="27">
        <v>8.8006141000000007</v>
      </c>
    </row>
    <row r="912" spans="1:7" hidden="1" x14ac:dyDescent="0.25">
      <c r="A912" s="24" t="s">
        <v>1087</v>
      </c>
      <c r="B912" s="24" t="s">
        <v>61</v>
      </c>
      <c r="C912" s="24" t="s">
        <v>283</v>
      </c>
      <c r="D912" s="25">
        <v>1847</v>
      </c>
      <c r="E912" s="25">
        <v>36659</v>
      </c>
      <c r="F912" s="26">
        <v>2987</v>
      </c>
      <c r="G912" s="27">
        <v>8.1480672999999992</v>
      </c>
    </row>
    <row r="913" spans="1:7" hidden="1" x14ac:dyDescent="0.25">
      <c r="A913" s="24" t="s">
        <v>1088</v>
      </c>
      <c r="B913" s="24" t="s">
        <v>61</v>
      </c>
      <c r="C913" s="24" t="s">
        <v>283</v>
      </c>
      <c r="D913" s="25">
        <v>261</v>
      </c>
      <c r="E913" s="25">
        <v>4503</v>
      </c>
      <c r="F913" s="26">
        <v>522.70000000000005</v>
      </c>
      <c r="G913" s="27">
        <v>11.607817000000001</v>
      </c>
    </row>
    <row r="914" spans="1:7" hidden="1" x14ac:dyDescent="0.25">
      <c r="A914" s="24" t="s">
        <v>1089</v>
      </c>
      <c r="B914" s="24" t="s">
        <v>61</v>
      </c>
      <c r="C914" s="24" t="s">
        <v>283</v>
      </c>
      <c r="D914" s="25">
        <v>5935</v>
      </c>
      <c r="E914" s="25">
        <v>109253</v>
      </c>
      <c r="F914" s="26">
        <v>13739.1</v>
      </c>
      <c r="G914" s="27">
        <v>12.57549</v>
      </c>
    </row>
    <row r="915" spans="1:7" hidden="1" x14ac:dyDescent="0.25">
      <c r="A915" s="24" t="s">
        <v>1090</v>
      </c>
      <c r="B915" s="24" t="s">
        <v>61</v>
      </c>
      <c r="C915" s="24" t="s">
        <v>283</v>
      </c>
      <c r="D915" s="25">
        <v>10231</v>
      </c>
      <c r="E915" s="25">
        <v>354975</v>
      </c>
      <c r="F915" s="26">
        <v>38322.800000000003</v>
      </c>
      <c r="G915" s="27">
        <v>10.795915000000001</v>
      </c>
    </row>
    <row r="916" spans="1:7" hidden="1" x14ac:dyDescent="0.25">
      <c r="A916" s="24" t="s">
        <v>1091</v>
      </c>
      <c r="B916" s="24" t="s">
        <v>61</v>
      </c>
      <c r="C916" s="24" t="s">
        <v>283</v>
      </c>
      <c r="D916" s="25">
        <v>7348</v>
      </c>
      <c r="E916" s="25">
        <v>181586</v>
      </c>
      <c r="F916" s="26">
        <v>17403.599999999999</v>
      </c>
      <c r="G916" s="27">
        <v>9.5842189999999992</v>
      </c>
    </row>
    <row r="917" spans="1:7" hidden="1" x14ac:dyDescent="0.25">
      <c r="A917" s="24" t="s">
        <v>1092</v>
      </c>
      <c r="B917" s="24" t="s">
        <v>61</v>
      </c>
      <c r="C917" s="24" t="s">
        <v>283</v>
      </c>
      <c r="D917" s="25">
        <v>4387</v>
      </c>
      <c r="E917" s="25">
        <v>157583</v>
      </c>
      <c r="F917" s="26">
        <v>14126.9</v>
      </c>
      <c r="G917" s="27">
        <v>8.9647360000000003</v>
      </c>
    </row>
    <row r="918" spans="1:7" hidden="1" x14ac:dyDescent="0.25">
      <c r="A918" s="24" t="s">
        <v>1093</v>
      </c>
      <c r="B918" s="24" t="s">
        <v>61</v>
      </c>
      <c r="C918" s="24" t="s">
        <v>283</v>
      </c>
      <c r="D918" s="25">
        <v>11448</v>
      </c>
      <c r="E918" s="25">
        <v>313953</v>
      </c>
      <c r="F918" s="26">
        <v>35320</v>
      </c>
      <c r="G918" s="27">
        <v>11.250092</v>
      </c>
    </row>
    <row r="919" spans="1:7" hidden="1" x14ac:dyDescent="0.25">
      <c r="A919" s="24" t="s">
        <v>1094</v>
      </c>
      <c r="B919" s="24" t="s">
        <v>61</v>
      </c>
      <c r="C919" s="24" t="s">
        <v>283</v>
      </c>
      <c r="D919" s="25">
        <v>2024</v>
      </c>
      <c r="E919" s="25">
        <v>34439</v>
      </c>
      <c r="F919" s="26">
        <v>3418.1</v>
      </c>
      <c r="G919" s="27">
        <v>9.9250848999999999</v>
      </c>
    </row>
    <row r="920" spans="1:7" hidden="1" x14ac:dyDescent="0.25">
      <c r="A920" s="24" t="s">
        <v>1095</v>
      </c>
      <c r="B920" s="24" t="s">
        <v>61</v>
      </c>
      <c r="C920" s="24" t="s">
        <v>283</v>
      </c>
      <c r="D920" s="25">
        <v>725</v>
      </c>
      <c r="E920" s="25">
        <v>10529</v>
      </c>
      <c r="F920" s="26">
        <v>984</v>
      </c>
      <c r="G920" s="27">
        <v>9.3456168999999996</v>
      </c>
    </row>
    <row r="921" spans="1:7" hidden="1" x14ac:dyDescent="0.25">
      <c r="A921" s="24" t="s">
        <v>1096</v>
      </c>
      <c r="B921" s="24" t="s">
        <v>61</v>
      </c>
      <c r="C921" s="24" t="s">
        <v>283</v>
      </c>
      <c r="D921" s="25">
        <v>339</v>
      </c>
      <c r="E921" s="25">
        <v>8219</v>
      </c>
      <c r="F921" s="26">
        <v>888</v>
      </c>
      <c r="G921" s="27">
        <v>10.804233999999999</v>
      </c>
    </row>
    <row r="922" spans="1:7" hidden="1" x14ac:dyDescent="0.25">
      <c r="A922" s="24" t="s">
        <v>1097</v>
      </c>
      <c r="B922" s="24" t="s">
        <v>61</v>
      </c>
      <c r="C922" s="24" t="s">
        <v>283</v>
      </c>
      <c r="D922" s="25">
        <v>1973</v>
      </c>
      <c r="E922" s="25">
        <v>44580</v>
      </c>
      <c r="F922" s="26">
        <v>5795.5</v>
      </c>
      <c r="G922" s="27">
        <v>13.000223999999999</v>
      </c>
    </row>
    <row r="923" spans="1:7" hidden="1" x14ac:dyDescent="0.25">
      <c r="A923" s="24" t="s">
        <v>1098</v>
      </c>
      <c r="B923" s="24" t="s">
        <v>61</v>
      </c>
      <c r="C923" s="24" t="s">
        <v>283</v>
      </c>
      <c r="D923" s="25">
        <v>3241</v>
      </c>
      <c r="E923" s="25">
        <v>145014</v>
      </c>
      <c r="F923" s="26">
        <v>13547</v>
      </c>
      <c r="G923" s="27">
        <v>9.3418565999999998</v>
      </c>
    </row>
    <row r="924" spans="1:7" hidden="1" x14ac:dyDescent="0.25">
      <c r="A924" s="24" t="s">
        <v>1099</v>
      </c>
      <c r="B924" s="24" t="s">
        <v>61</v>
      </c>
      <c r="C924" s="24" t="s">
        <v>283</v>
      </c>
      <c r="D924" s="25">
        <v>1207</v>
      </c>
      <c r="E924" s="25">
        <v>15820</v>
      </c>
      <c r="F924" s="26">
        <v>2708</v>
      </c>
      <c r="G924" s="27">
        <v>17.117573</v>
      </c>
    </row>
    <row r="925" spans="1:7" hidden="1" x14ac:dyDescent="0.25">
      <c r="A925" s="24" t="s">
        <v>1100</v>
      </c>
      <c r="B925" s="24" t="s">
        <v>61</v>
      </c>
      <c r="C925" s="24" t="s">
        <v>283</v>
      </c>
      <c r="D925" s="25">
        <v>2216</v>
      </c>
      <c r="E925" s="25">
        <v>95637</v>
      </c>
      <c r="F925" s="26">
        <v>9245</v>
      </c>
      <c r="G925" s="27">
        <v>9.6667608000000005</v>
      </c>
    </row>
    <row r="926" spans="1:7" hidden="1" x14ac:dyDescent="0.25">
      <c r="A926" s="24" t="s">
        <v>1101</v>
      </c>
      <c r="B926" s="24" t="s">
        <v>61</v>
      </c>
      <c r="C926" s="24" t="s">
        <v>283</v>
      </c>
      <c r="D926" s="25">
        <v>2533</v>
      </c>
      <c r="E926" s="25">
        <v>83335</v>
      </c>
      <c r="F926" s="26">
        <v>7571.1</v>
      </c>
      <c r="G926" s="27">
        <v>9.0851383000000006</v>
      </c>
    </row>
    <row r="927" spans="1:7" hidden="1" x14ac:dyDescent="0.25">
      <c r="A927" s="24" t="s">
        <v>1102</v>
      </c>
      <c r="B927" s="24" t="s">
        <v>61</v>
      </c>
      <c r="C927" s="24" t="s">
        <v>283</v>
      </c>
      <c r="D927" s="25">
        <v>6623</v>
      </c>
      <c r="E927" s="25">
        <v>570044</v>
      </c>
      <c r="F927" s="26">
        <v>41780.1</v>
      </c>
      <c r="G927" s="27">
        <v>7.3292763000000001</v>
      </c>
    </row>
    <row r="928" spans="1:7" hidden="1" x14ac:dyDescent="0.25">
      <c r="A928" s="24" t="s">
        <v>1103</v>
      </c>
      <c r="B928" s="24" t="s">
        <v>61</v>
      </c>
      <c r="C928" s="24" t="s">
        <v>283</v>
      </c>
      <c r="D928" s="25">
        <v>18983</v>
      </c>
      <c r="E928" s="25">
        <v>434064</v>
      </c>
      <c r="F928" s="26">
        <v>40828.199999999997</v>
      </c>
      <c r="G928" s="27">
        <v>9.4060322999999997</v>
      </c>
    </row>
    <row r="929" spans="1:7" hidden="1" x14ac:dyDescent="0.25">
      <c r="A929" s="24" t="s">
        <v>1104</v>
      </c>
      <c r="B929" s="24" t="s">
        <v>61</v>
      </c>
      <c r="C929" s="24" t="s">
        <v>283</v>
      </c>
      <c r="D929" s="25">
        <v>1828</v>
      </c>
      <c r="E929" s="25">
        <v>51173</v>
      </c>
      <c r="F929" s="26">
        <v>4966.3999999999996</v>
      </c>
      <c r="G929" s="27">
        <v>9.7051178999999994</v>
      </c>
    </row>
    <row r="930" spans="1:7" hidden="1" x14ac:dyDescent="0.25">
      <c r="A930" s="24" t="s">
        <v>1105</v>
      </c>
      <c r="B930" s="24" t="s">
        <v>61</v>
      </c>
      <c r="C930" s="24" t="s">
        <v>283</v>
      </c>
      <c r="D930" s="25">
        <v>6503</v>
      </c>
      <c r="E930" s="25">
        <v>68238</v>
      </c>
      <c r="F930" s="26">
        <v>9273.1</v>
      </c>
      <c r="G930" s="27">
        <v>13.589349</v>
      </c>
    </row>
    <row r="931" spans="1:7" hidden="1" x14ac:dyDescent="0.25">
      <c r="A931" s="24" t="s">
        <v>1106</v>
      </c>
      <c r="B931" s="24" t="s">
        <v>61</v>
      </c>
      <c r="C931" s="24" t="s">
        <v>283</v>
      </c>
      <c r="D931" s="25">
        <v>1262</v>
      </c>
      <c r="E931" s="25">
        <v>26205</v>
      </c>
      <c r="F931" s="26">
        <v>2501.1999999999998</v>
      </c>
      <c r="G931" s="27">
        <v>9.5447433999999998</v>
      </c>
    </row>
    <row r="932" spans="1:7" hidden="1" x14ac:dyDescent="0.25">
      <c r="A932" s="24" t="s">
        <v>1107</v>
      </c>
      <c r="B932" s="24" t="s">
        <v>61</v>
      </c>
      <c r="C932" s="24" t="s">
        <v>283</v>
      </c>
      <c r="D932" s="25">
        <v>11928</v>
      </c>
      <c r="E932" s="25">
        <v>362429</v>
      </c>
      <c r="F932" s="26">
        <v>35946</v>
      </c>
      <c r="G932" s="27">
        <v>9.9180805000000003</v>
      </c>
    </row>
    <row r="933" spans="1:7" hidden="1" x14ac:dyDescent="0.25">
      <c r="A933" s="24" t="s">
        <v>1108</v>
      </c>
      <c r="B933" s="24" t="s">
        <v>61</v>
      </c>
      <c r="C933" s="24" t="s">
        <v>283</v>
      </c>
      <c r="D933" s="25">
        <v>4311</v>
      </c>
      <c r="E933" s="25">
        <v>94758</v>
      </c>
      <c r="F933" s="26">
        <v>10651.9</v>
      </c>
      <c r="G933" s="27">
        <v>11.241161999999999</v>
      </c>
    </row>
    <row r="934" spans="1:7" hidden="1" x14ac:dyDescent="0.25">
      <c r="A934" s="24" t="s">
        <v>1109</v>
      </c>
      <c r="B934" s="24" t="s">
        <v>61</v>
      </c>
      <c r="C934" s="24" t="s">
        <v>283</v>
      </c>
      <c r="D934" s="25">
        <v>2308</v>
      </c>
      <c r="E934" s="25">
        <v>59058</v>
      </c>
      <c r="F934" s="26">
        <v>5173.2</v>
      </c>
      <c r="G934" s="27">
        <v>8.7595244999999995</v>
      </c>
    </row>
    <row r="935" spans="1:7" hidden="1" x14ac:dyDescent="0.25">
      <c r="A935" s="24" t="s">
        <v>1110</v>
      </c>
      <c r="B935" s="24" t="s">
        <v>61</v>
      </c>
      <c r="C935" s="24" t="s">
        <v>283</v>
      </c>
      <c r="D935" s="25">
        <v>2216</v>
      </c>
      <c r="E935" s="25">
        <v>53008</v>
      </c>
      <c r="F935" s="26">
        <v>4596</v>
      </c>
      <c r="G935" s="27">
        <v>8.6703893999999995</v>
      </c>
    </row>
    <row r="936" spans="1:7" hidden="1" x14ac:dyDescent="0.25">
      <c r="A936" s="24" t="s">
        <v>1111</v>
      </c>
      <c r="B936" s="24" t="s">
        <v>61</v>
      </c>
      <c r="C936" s="24" t="s">
        <v>283</v>
      </c>
      <c r="D936" s="25">
        <v>1252</v>
      </c>
      <c r="E936" s="25">
        <v>25810</v>
      </c>
      <c r="F936" s="26">
        <v>2884</v>
      </c>
      <c r="G936" s="27">
        <v>11.173964</v>
      </c>
    </row>
    <row r="937" spans="1:7" hidden="1" x14ac:dyDescent="0.25">
      <c r="A937" s="24" t="s">
        <v>1112</v>
      </c>
      <c r="B937" s="24" t="s">
        <v>61</v>
      </c>
      <c r="C937" s="24" t="s">
        <v>283</v>
      </c>
      <c r="D937" s="25">
        <v>4907</v>
      </c>
      <c r="E937" s="25">
        <v>133144</v>
      </c>
      <c r="F937" s="26">
        <v>13983</v>
      </c>
      <c r="G937" s="27">
        <v>10.502162999999999</v>
      </c>
    </row>
    <row r="938" spans="1:7" hidden="1" x14ac:dyDescent="0.25">
      <c r="A938" s="24" t="s">
        <v>1113</v>
      </c>
      <c r="B938" s="24" t="s">
        <v>61</v>
      </c>
      <c r="C938" s="24" t="s">
        <v>283</v>
      </c>
      <c r="D938" s="25">
        <v>5186</v>
      </c>
      <c r="E938" s="25">
        <v>108267</v>
      </c>
      <c r="F938" s="26">
        <v>13382.3</v>
      </c>
      <c r="G938" s="27">
        <v>12.360461000000001</v>
      </c>
    </row>
    <row r="939" spans="1:7" hidden="1" x14ac:dyDescent="0.25">
      <c r="A939" s="24" t="s">
        <v>1114</v>
      </c>
      <c r="B939" s="24" t="s">
        <v>61</v>
      </c>
      <c r="C939" s="24" t="s">
        <v>283</v>
      </c>
      <c r="D939" s="25">
        <v>2410</v>
      </c>
      <c r="E939" s="25">
        <v>67067</v>
      </c>
      <c r="F939" s="26">
        <v>5200.6000000000004</v>
      </c>
      <c r="G939" s="27">
        <v>7.7543351999999999</v>
      </c>
    </row>
    <row r="940" spans="1:7" hidden="1" x14ac:dyDescent="0.25">
      <c r="A940" s="24" t="s">
        <v>1115</v>
      </c>
      <c r="B940" s="24" t="s">
        <v>61</v>
      </c>
      <c r="C940" s="24" t="s">
        <v>283</v>
      </c>
      <c r="D940" s="25">
        <v>916</v>
      </c>
      <c r="E940" s="25">
        <v>56313</v>
      </c>
      <c r="F940" s="26">
        <v>4897.6000000000004</v>
      </c>
      <c r="G940" s="27">
        <v>8.6971036999999995</v>
      </c>
    </row>
    <row r="941" spans="1:7" hidden="1" x14ac:dyDescent="0.25">
      <c r="A941" s="24" t="s">
        <v>1116</v>
      </c>
      <c r="B941" s="24" t="s">
        <v>61</v>
      </c>
      <c r="C941" s="24" t="s">
        <v>283</v>
      </c>
      <c r="D941" s="25">
        <v>4175</v>
      </c>
      <c r="E941" s="25">
        <v>57744</v>
      </c>
      <c r="F941" s="26">
        <v>6895</v>
      </c>
      <c r="G941" s="27">
        <v>11.940635</v>
      </c>
    </row>
    <row r="942" spans="1:7" hidden="1" x14ac:dyDescent="0.25">
      <c r="A942" s="24" t="s">
        <v>1117</v>
      </c>
      <c r="B942" s="24" t="s">
        <v>61</v>
      </c>
      <c r="C942" s="24" t="s">
        <v>283</v>
      </c>
      <c r="D942" s="25">
        <v>2467</v>
      </c>
      <c r="E942" s="25">
        <v>68262</v>
      </c>
      <c r="F942" s="26">
        <v>6036.4</v>
      </c>
      <c r="G942" s="27">
        <v>8.8429873000000008</v>
      </c>
    </row>
    <row r="943" spans="1:7" hidden="1" x14ac:dyDescent="0.25">
      <c r="A943" s="24" t="s">
        <v>1118</v>
      </c>
      <c r="B943" s="24" t="s">
        <v>61</v>
      </c>
      <c r="C943" s="24" t="s">
        <v>283</v>
      </c>
      <c r="D943" s="25">
        <v>786</v>
      </c>
      <c r="E943" s="25">
        <v>14305</v>
      </c>
      <c r="F943" s="26">
        <v>1784</v>
      </c>
      <c r="G943" s="27">
        <v>12.471164</v>
      </c>
    </row>
    <row r="944" spans="1:7" hidden="1" x14ac:dyDescent="0.25">
      <c r="A944" s="24" t="s">
        <v>1119</v>
      </c>
      <c r="B944" s="24" t="s">
        <v>61</v>
      </c>
      <c r="C944" s="24" t="s">
        <v>283</v>
      </c>
      <c r="D944" s="25">
        <v>5402</v>
      </c>
      <c r="E944" s="25">
        <v>214039</v>
      </c>
      <c r="F944" s="26">
        <v>19751.900000000001</v>
      </c>
      <c r="G944" s="27">
        <v>9.2281779999999998</v>
      </c>
    </row>
    <row r="945" spans="1:7" hidden="1" x14ac:dyDescent="0.25">
      <c r="A945" s="24" t="s">
        <v>1120</v>
      </c>
      <c r="B945" s="24" t="s">
        <v>61</v>
      </c>
      <c r="C945" s="24" t="s">
        <v>281</v>
      </c>
      <c r="D945" s="25">
        <v>4393</v>
      </c>
      <c r="E945" s="25">
        <v>69982</v>
      </c>
      <c r="F945" s="26">
        <v>9505</v>
      </c>
      <c r="G945" s="27">
        <v>13.582064000000001</v>
      </c>
    </row>
    <row r="946" spans="1:7" hidden="1" x14ac:dyDescent="0.25">
      <c r="A946" s="24" t="s">
        <v>1121</v>
      </c>
      <c r="B946" s="24" t="s">
        <v>61</v>
      </c>
      <c r="C946" s="24" t="s">
        <v>281</v>
      </c>
      <c r="D946" s="25">
        <v>132289</v>
      </c>
      <c r="E946" s="25">
        <v>1918613</v>
      </c>
      <c r="F946" s="26">
        <v>235678.3</v>
      </c>
      <c r="G946" s="27">
        <v>12.283785</v>
      </c>
    </row>
    <row r="947" spans="1:7" hidden="1" x14ac:dyDescent="0.25">
      <c r="A947" s="24" t="s">
        <v>1122</v>
      </c>
      <c r="B947" s="24" t="s">
        <v>61</v>
      </c>
      <c r="C947" s="24" t="s">
        <v>281</v>
      </c>
      <c r="D947" s="25">
        <v>6092</v>
      </c>
      <c r="E947" s="25">
        <v>99018</v>
      </c>
      <c r="F947" s="26">
        <v>12326.5</v>
      </c>
      <c r="G947" s="27">
        <v>12.448746999999999</v>
      </c>
    </row>
    <row r="948" spans="1:7" hidden="1" x14ac:dyDescent="0.25">
      <c r="A948" s="24" t="s">
        <v>1123</v>
      </c>
      <c r="B948" s="24" t="s">
        <v>61</v>
      </c>
      <c r="C948" s="24" t="s">
        <v>281</v>
      </c>
      <c r="D948" s="25">
        <v>43899</v>
      </c>
      <c r="E948" s="25">
        <v>577894</v>
      </c>
      <c r="F948" s="26">
        <v>67845</v>
      </c>
      <c r="G948" s="27">
        <v>11.740042000000001</v>
      </c>
    </row>
    <row r="949" spans="1:7" hidden="1" x14ac:dyDescent="0.25">
      <c r="A949" s="24" t="s">
        <v>1124</v>
      </c>
      <c r="B949" s="24" t="s">
        <v>61</v>
      </c>
      <c r="C949" s="24" t="s">
        <v>281</v>
      </c>
      <c r="D949" s="25">
        <v>106076</v>
      </c>
      <c r="E949" s="25">
        <v>1820489</v>
      </c>
      <c r="F949" s="26">
        <v>199383</v>
      </c>
      <c r="G949" s="27">
        <v>10.952166999999999</v>
      </c>
    </row>
    <row r="950" spans="1:7" hidden="1" x14ac:dyDescent="0.25">
      <c r="A950" s="24" t="s">
        <v>1125</v>
      </c>
      <c r="B950" s="24" t="s">
        <v>61</v>
      </c>
      <c r="C950" s="24" t="s">
        <v>283</v>
      </c>
      <c r="D950" s="25">
        <v>2770</v>
      </c>
      <c r="E950" s="25">
        <v>57371</v>
      </c>
      <c r="F950" s="26">
        <v>5741.3</v>
      </c>
      <c r="G950" s="27">
        <v>10.007320999999999</v>
      </c>
    </row>
    <row r="951" spans="1:7" hidden="1" x14ac:dyDescent="0.25">
      <c r="A951" s="24" t="s">
        <v>1126</v>
      </c>
      <c r="B951" s="24" t="s">
        <v>61</v>
      </c>
      <c r="C951" s="24" t="s">
        <v>281</v>
      </c>
      <c r="D951" s="25">
        <v>54589</v>
      </c>
      <c r="E951" s="25">
        <v>863939</v>
      </c>
      <c r="F951" s="26">
        <v>115602</v>
      </c>
      <c r="G951" s="27">
        <v>13.380806</v>
      </c>
    </row>
    <row r="952" spans="1:7" hidden="1" x14ac:dyDescent="0.25">
      <c r="A952" s="24" t="s">
        <v>1127</v>
      </c>
      <c r="B952" s="24" t="s">
        <v>61</v>
      </c>
      <c r="C952" s="24" t="s">
        <v>283</v>
      </c>
      <c r="D952" s="25">
        <v>5834</v>
      </c>
      <c r="E952" s="25">
        <v>146088</v>
      </c>
      <c r="F952" s="26">
        <v>15370.2</v>
      </c>
      <c r="G952" s="27">
        <v>10.521193</v>
      </c>
    </row>
    <row r="953" spans="1:7" hidden="1" x14ac:dyDescent="0.25">
      <c r="A953" s="24" t="s">
        <v>706</v>
      </c>
      <c r="B953" s="24" t="s">
        <v>61</v>
      </c>
      <c r="C953" s="24" t="s">
        <v>281</v>
      </c>
      <c r="D953" s="25">
        <v>6740</v>
      </c>
      <c r="E953" s="25">
        <v>426310</v>
      </c>
      <c r="F953" s="26">
        <v>37372.9</v>
      </c>
      <c r="G953" s="27">
        <v>8.7666018000000001</v>
      </c>
    </row>
    <row r="954" spans="1:7" hidden="1" x14ac:dyDescent="0.25">
      <c r="A954" s="24" t="s">
        <v>708</v>
      </c>
      <c r="B954" s="24" t="s">
        <v>61</v>
      </c>
      <c r="C954" s="24" t="s">
        <v>281</v>
      </c>
      <c r="D954" s="25">
        <v>20877</v>
      </c>
      <c r="E954" s="25">
        <v>513439</v>
      </c>
      <c r="F954" s="26">
        <v>52104</v>
      </c>
      <c r="G954" s="27">
        <v>10.148040999999999</v>
      </c>
    </row>
    <row r="955" spans="1:7" hidden="1" x14ac:dyDescent="0.25">
      <c r="A955" s="24" t="s">
        <v>1128</v>
      </c>
      <c r="B955" s="24" t="s">
        <v>61</v>
      </c>
      <c r="C955" s="24" t="s">
        <v>283</v>
      </c>
      <c r="D955" s="25">
        <v>2779</v>
      </c>
      <c r="E955" s="25">
        <v>75647</v>
      </c>
      <c r="F955" s="26">
        <v>8114.8</v>
      </c>
      <c r="G955" s="27">
        <v>10.727193</v>
      </c>
    </row>
    <row r="956" spans="1:7" hidden="1" x14ac:dyDescent="0.25">
      <c r="A956" s="24" t="s">
        <v>1129</v>
      </c>
      <c r="B956" s="24" t="s">
        <v>61</v>
      </c>
      <c r="C956" s="24" t="s">
        <v>281</v>
      </c>
      <c r="D956" s="25">
        <v>5088</v>
      </c>
      <c r="E956" s="25">
        <v>93148</v>
      </c>
      <c r="F956" s="26">
        <v>12312.8</v>
      </c>
      <c r="G956" s="27">
        <v>13.218534</v>
      </c>
    </row>
    <row r="957" spans="1:7" hidden="1" x14ac:dyDescent="0.25">
      <c r="A957" s="24" t="s">
        <v>1130</v>
      </c>
      <c r="B957" s="24" t="s">
        <v>61</v>
      </c>
      <c r="C957" s="24" t="s">
        <v>283</v>
      </c>
      <c r="D957" s="25">
        <v>7323</v>
      </c>
      <c r="E957" s="25">
        <v>157534</v>
      </c>
      <c r="F957" s="26">
        <v>14871</v>
      </c>
      <c r="G957" s="27">
        <v>9.4398669000000002</v>
      </c>
    </row>
    <row r="958" spans="1:7" hidden="1" x14ac:dyDescent="0.25">
      <c r="A958" s="24" t="s">
        <v>1131</v>
      </c>
      <c r="B958" s="24" t="s">
        <v>61</v>
      </c>
      <c r="C958" s="24" t="s">
        <v>281</v>
      </c>
      <c r="D958" s="25">
        <v>11</v>
      </c>
      <c r="E958" s="25">
        <v>118</v>
      </c>
      <c r="F958" s="26">
        <v>16</v>
      </c>
      <c r="G958" s="27">
        <v>13.559322</v>
      </c>
    </row>
    <row r="959" spans="1:7" hidden="1" x14ac:dyDescent="0.25">
      <c r="A959" s="24" t="s">
        <v>1132</v>
      </c>
      <c r="B959" s="24" t="s">
        <v>61</v>
      </c>
      <c r="C959" s="24" t="s">
        <v>283</v>
      </c>
      <c r="D959" s="25">
        <v>1166</v>
      </c>
      <c r="E959" s="25">
        <v>19419</v>
      </c>
      <c r="F959" s="26">
        <v>2414</v>
      </c>
      <c r="G959" s="27">
        <v>12.431124000000001</v>
      </c>
    </row>
    <row r="960" spans="1:7" hidden="1" x14ac:dyDescent="0.25">
      <c r="A960" s="24" t="s">
        <v>715</v>
      </c>
      <c r="B960" s="24" t="s">
        <v>61</v>
      </c>
      <c r="C960" s="24" t="s">
        <v>281</v>
      </c>
      <c r="D960" s="25">
        <v>32</v>
      </c>
      <c r="E960" s="25">
        <v>801</v>
      </c>
      <c r="F960" s="26">
        <v>95.3</v>
      </c>
      <c r="G960" s="27">
        <v>11.897627999999999</v>
      </c>
    </row>
    <row r="961" spans="1:7" hidden="1" x14ac:dyDescent="0.25">
      <c r="A961" s="24" t="s">
        <v>1133</v>
      </c>
      <c r="B961" s="24" t="s">
        <v>61</v>
      </c>
      <c r="C961" s="24" t="s">
        <v>283</v>
      </c>
      <c r="D961" s="25">
        <v>8134</v>
      </c>
      <c r="E961" s="25">
        <v>113118</v>
      </c>
      <c r="F961" s="26">
        <v>13872</v>
      </c>
      <c r="G961" s="27">
        <v>12.263299999999999</v>
      </c>
    </row>
    <row r="962" spans="1:7" hidden="1" x14ac:dyDescent="0.25">
      <c r="A962" s="24" t="s">
        <v>1134</v>
      </c>
      <c r="B962" s="24" t="s">
        <v>61</v>
      </c>
      <c r="C962" s="24" t="s">
        <v>283</v>
      </c>
      <c r="D962" s="25">
        <v>7202</v>
      </c>
      <c r="E962" s="25">
        <v>278507</v>
      </c>
      <c r="F962" s="26">
        <v>25170.5</v>
      </c>
      <c r="G962" s="27">
        <v>9.0376542999999998</v>
      </c>
    </row>
    <row r="963" spans="1:7" hidden="1" x14ac:dyDescent="0.25">
      <c r="A963" s="24" t="s">
        <v>1135</v>
      </c>
      <c r="B963" s="24" t="s">
        <v>61</v>
      </c>
      <c r="C963" s="24" t="s">
        <v>281</v>
      </c>
      <c r="D963" s="25">
        <v>11818</v>
      </c>
      <c r="E963" s="25">
        <v>211008</v>
      </c>
      <c r="F963" s="26">
        <v>24197.4</v>
      </c>
      <c r="G963" s="27">
        <v>11.467527</v>
      </c>
    </row>
    <row r="964" spans="1:7" hidden="1" x14ac:dyDescent="0.25">
      <c r="A964" s="24" t="s">
        <v>1136</v>
      </c>
      <c r="B964" s="24" t="s">
        <v>61</v>
      </c>
      <c r="C964" s="24" t="s">
        <v>281</v>
      </c>
      <c r="D964" s="25">
        <v>8296</v>
      </c>
      <c r="E964" s="25">
        <v>157538</v>
      </c>
      <c r="F964" s="26">
        <v>19998</v>
      </c>
      <c r="G964" s="27">
        <v>12.69408</v>
      </c>
    </row>
    <row r="965" spans="1:7" hidden="1" x14ac:dyDescent="0.25">
      <c r="A965" s="24" t="s">
        <v>1137</v>
      </c>
      <c r="B965" s="24" t="s">
        <v>61</v>
      </c>
      <c r="C965" s="24" t="s">
        <v>283</v>
      </c>
      <c r="D965" s="25">
        <v>968</v>
      </c>
      <c r="E965" s="25">
        <v>15463</v>
      </c>
      <c r="F965" s="26">
        <v>1899</v>
      </c>
      <c r="G965" s="27">
        <v>12.280929</v>
      </c>
    </row>
    <row r="966" spans="1:7" hidden="1" x14ac:dyDescent="0.25">
      <c r="A966" s="24" t="s">
        <v>1138</v>
      </c>
      <c r="B966" s="24" t="s">
        <v>61</v>
      </c>
      <c r="C966" s="24" t="s">
        <v>281</v>
      </c>
      <c r="D966" s="25">
        <v>49100</v>
      </c>
      <c r="E966" s="25">
        <v>600047</v>
      </c>
      <c r="F966" s="26">
        <v>86491.6</v>
      </c>
      <c r="G966" s="27">
        <v>14.414137999999999</v>
      </c>
    </row>
    <row r="967" spans="1:7" hidden="1" x14ac:dyDescent="0.25">
      <c r="A967" s="24" t="s">
        <v>1139</v>
      </c>
      <c r="B967" s="24" t="s">
        <v>61</v>
      </c>
      <c r="C967" s="24" t="s">
        <v>281</v>
      </c>
      <c r="D967" s="25">
        <v>27836</v>
      </c>
      <c r="E967" s="25">
        <v>427941</v>
      </c>
      <c r="F967" s="26">
        <v>49311.1</v>
      </c>
      <c r="G967" s="27">
        <v>11.522873000000001</v>
      </c>
    </row>
    <row r="968" spans="1:7" hidden="1" x14ac:dyDescent="0.25">
      <c r="A968" s="24" t="s">
        <v>1140</v>
      </c>
      <c r="B968" s="24" t="s">
        <v>61</v>
      </c>
      <c r="C968" s="24" t="s">
        <v>283</v>
      </c>
      <c r="D968" s="25">
        <v>3201</v>
      </c>
      <c r="E968" s="25">
        <v>121544</v>
      </c>
      <c r="F968" s="26">
        <v>9725</v>
      </c>
      <c r="G968" s="27">
        <v>8.0012176999999998</v>
      </c>
    </row>
    <row r="969" spans="1:7" hidden="1" x14ac:dyDescent="0.25">
      <c r="A969" s="24" t="s">
        <v>1141</v>
      </c>
      <c r="B969" s="24" t="s">
        <v>61</v>
      </c>
      <c r="C969" s="24" t="s">
        <v>281</v>
      </c>
      <c r="D969" s="25">
        <v>3931</v>
      </c>
      <c r="E969" s="25">
        <v>91766</v>
      </c>
      <c r="F969" s="26">
        <v>10328.799999999999</v>
      </c>
      <c r="G969" s="27">
        <v>11.255585</v>
      </c>
    </row>
    <row r="970" spans="1:7" hidden="1" x14ac:dyDescent="0.25">
      <c r="A970" s="24" t="s">
        <v>1142</v>
      </c>
      <c r="B970" s="24" t="s">
        <v>61</v>
      </c>
      <c r="C970" s="24" t="s">
        <v>281</v>
      </c>
      <c r="D970" s="25">
        <v>6690</v>
      </c>
      <c r="E970" s="25">
        <v>161025</v>
      </c>
      <c r="F970" s="26">
        <v>19779.7</v>
      </c>
      <c r="G970" s="27">
        <v>12.283621</v>
      </c>
    </row>
    <row r="971" spans="1:7" hidden="1" x14ac:dyDescent="0.25">
      <c r="A971" s="24" t="s">
        <v>1143</v>
      </c>
      <c r="B971" s="24" t="s">
        <v>61</v>
      </c>
      <c r="C971" s="24" t="s">
        <v>281</v>
      </c>
      <c r="D971" s="25">
        <v>8879</v>
      </c>
      <c r="E971" s="25">
        <v>176016</v>
      </c>
      <c r="F971" s="26">
        <v>20821.3</v>
      </c>
      <c r="G971" s="27">
        <v>11.829209000000001</v>
      </c>
    </row>
    <row r="972" spans="1:7" hidden="1" x14ac:dyDescent="0.25">
      <c r="A972" s="24" t="s">
        <v>1144</v>
      </c>
      <c r="B972" s="24" t="s">
        <v>61</v>
      </c>
      <c r="C972" s="24" t="s">
        <v>283</v>
      </c>
      <c r="D972" s="25">
        <v>1719</v>
      </c>
      <c r="E972" s="25">
        <v>112387</v>
      </c>
      <c r="F972" s="26">
        <v>8588.9</v>
      </c>
      <c r="G972" s="27">
        <v>7.6422540000000003</v>
      </c>
    </row>
    <row r="973" spans="1:7" hidden="1" x14ac:dyDescent="0.25">
      <c r="A973" s="24" t="s">
        <v>722</v>
      </c>
      <c r="B973" s="24" t="s">
        <v>61</v>
      </c>
      <c r="C973" s="24" t="s">
        <v>281</v>
      </c>
      <c r="D973" s="25">
        <v>15719</v>
      </c>
      <c r="E973" s="25">
        <v>320357</v>
      </c>
      <c r="F973" s="26">
        <v>38738.1</v>
      </c>
      <c r="G973" s="27">
        <v>12.092166000000001</v>
      </c>
    </row>
    <row r="974" spans="1:7" hidden="1" x14ac:dyDescent="0.25">
      <c r="A974" s="24" t="s">
        <v>1145</v>
      </c>
      <c r="B974" s="24" t="s">
        <v>61</v>
      </c>
      <c r="C974" s="24" t="s">
        <v>281</v>
      </c>
      <c r="D974" s="25">
        <v>15147</v>
      </c>
      <c r="E974" s="25">
        <v>193466</v>
      </c>
      <c r="F974" s="26">
        <v>24710</v>
      </c>
      <c r="G974" s="27">
        <v>12.772270000000001</v>
      </c>
    </row>
    <row r="975" spans="1:7" hidden="1" x14ac:dyDescent="0.25">
      <c r="A975" s="24" t="s">
        <v>1146</v>
      </c>
      <c r="B975" s="24" t="s">
        <v>61</v>
      </c>
      <c r="C975" s="24" t="s">
        <v>281</v>
      </c>
      <c r="D975" s="25">
        <v>5271</v>
      </c>
      <c r="E975" s="25">
        <v>204647</v>
      </c>
      <c r="F975" s="26">
        <v>19411</v>
      </c>
      <c r="G975" s="27">
        <v>9.4851133999999995</v>
      </c>
    </row>
    <row r="976" spans="1:7" hidden="1" x14ac:dyDescent="0.25">
      <c r="A976" s="24" t="s">
        <v>1147</v>
      </c>
      <c r="B976" s="24" t="s">
        <v>61</v>
      </c>
      <c r="C976" s="24" t="s">
        <v>281</v>
      </c>
      <c r="D976" s="25">
        <v>42439</v>
      </c>
      <c r="E976" s="25">
        <v>828959</v>
      </c>
      <c r="F976" s="26">
        <v>87367</v>
      </c>
      <c r="G976" s="27">
        <v>10.539363</v>
      </c>
    </row>
    <row r="977" spans="1:7" hidden="1" x14ac:dyDescent="0.25">
      <c r="A977" s="24" t="s">
        <v>1148</v>
      </c>
      <c r="B977" s="24" t="s">
        <v>61</v>
      </c>
      <c r="C977" s="24" t="s">
        <v>283</v>
      </c>
      <c r="D977" s="25">
        <v>977</v>
      </c>
      <c r="E977" s="25">
        <v>35887</v>
      </c>
      <c r="F977" s="26">
        <v>4003.5</v>
      </c>
      <c r="G977" s="27">
        <v>11.155849999999999</v>
      </c>
    </row>
    <row r="978" spans="1:7" hidden="1" x14ac:dyDescent="0.25">
      <c r="A978" s="24" t="s">
        <v>1149</v>
      </c>
      <c r="B978" s="24" t="s">
        <v>61</v>
      </c>
      <c r="C978" s="24" t="s">
        <v>283</v>
      </c>
      <c r="D978" s="25">
        <v>2575</v>
      </c>
      <c r="E978" s="25">
        <v>65673</v>
      </c>
      <c r="F978" s="26">
        <v>6874</v>
      </c>
      <c r="G978" s="27">
        <v>10.467010999999999</v>
      </c>
    </row>
    <row r="979" spans="1:7" hidden="1" x14ac:dyDescent="0.25">
      <c r="A979" s="24" t="s">
        <v>1150</v>
      </c>
      <c r="B979" s="24" t="s">
        <v>61</v>
      </c>
      <c r="C979" s="24" t="s">
        <v>283</v>
      </c>
      <c r="D979" s="25">
        <v>7301</v>
      </c>
      <c r="E979" s="25">
        <v>197065</v>
      </c>
      <c r="F979" s="26">
        <v>22409</v>
      </c>
      <c r="G979" s="27">
        <v>11.371375</v>
      </c>
    </row>
    <row r="980" spans="1:7" hidden="1" x14ac:dyDescent="0.25">
      <c r="A980" s="24" t="s">
        <v>726</v>
      </c>
      <c r="B980" s="24" t="s">
        <v>61</v>
      </c>
      <c r="C980" s="24" t="s">
        <v>281</v>
      </c>
      <c r="D980" s="25">
        <v>6748</v>
      </c>
      <c r="E980" s="25">
        <v>195167</v>
      </c>
      <c r="F980" s="26">
        <v>20351.8</v>
      </c>
      <c r="G980" s="27">
        <v>10.42789</v>
      </c>
    </row>
    <row r="981" spans="1:7" hidden="1" x14ac:dyDescent="0.25">
      <c r="A981" s="24" t="s">
        <v>1151</v>
      </c>
      <c r="B981" s="24" t="s">
        <v>61</v>
      </c>
      <c r="C981" s="24" t="s">
        <v>281</v>
      </c>
      <c r="D981" s="25">
        <v>5417</v>
      </c>
      <c r="E981" s="25">
        <v>49857</v>
      </c>
      <c r="F981" s="26">
        <v>8240</v>
      </c>
      <c r="G981" s="27">
        <v>16.527267999999999</v>
      </c>
    </row>
    <row r="982" spans="1:7" hidden="1" x14ac:dyDescent="0.25">
      <c r="A982" s="24" t="s">
        <v>1152</v>
      </c>
      <c r="B982" s="24" t="s">
        <v>61</v>
      </c>
      <c r="C982" s="24" t="s">
        <v>281</v>
      </c>
      <c r="D982" s="25">
        <v>6513</v>
      </c>
      <c r="E982" s="25">
        <v>105527</v>
      </c>
      <c r="F982" s="26">
        <v>14534.6</v>
      </c>
      <c r="G982" s="27">
        <v>13.773346999999999</v>
      </c>
    </row>
    <row r="983" spans="1:7" hidden="1" x14ac:dyDescent="0.25">
      <c r="A983" s="24" t="s">
        <v>1153</v>
      </c>
      <c r="B983" s="24" t="s">
        <v>61</v>
      </c>
      <c r="C983" s="24" t="s">
        <v>278</v>
      </c>
      <c r="D983" s="25">
        <v>1279507</v>
      </c>
      <c r="E983" s="25">
        <v>29746782</v>
      </c>
      <c r="F983" s="26">
        <v>3224654</v>
      </c>
      <c r="G983" s="27">
        <v>10.840346</v>
      </c>
    </row>
    <row r="984" spans="1:7" hidden="1" x14ac:dyDescent="0.25">
      <c r="A984" s="24" t="s">
        <v>1154</v>
      </c>
      <c r="B984" s="24" t="s">
        <v>61</v>
      </c>
      <c r="C984" s="24" t="s">
        <v>278</v>
      </c>
      <c r="D984" s="25">
        <v>86</v>
      </c>
      <c r="E984" s="25">
        <v>562</v>
      </c>
      <c r="F984" s="26">
        <v>80</v>
      </c>
      <c r="G984" s="27">
        <v>14.234875000000001</v>
      </c>
    </row>
    <row r="985" spans="1:7" hidden="1" x14ac:dyDescent="0.25">
      <c r="A985" s="24" t="s">
        <v>1155</v>
      </c>
      <c r="B985" s="24" t="s">
        <v>61</v>
      </c>
      <c r="C985" s="24" t="s">
        <v>278</v>
      </c>
      <c r="D985" s="25">
        <v>60858</v>
      </c>
      <c r="E985" s="25">
        <v>2598516</v>
      </c>
      <c r="F985" s="26">
        <v>199021.3</v>
      </c>
      <c r="G985" s="27">
        <v>7.6590369000000003</v>
      </c>
    </row>
    <row r="986" spans="1:7" hidden="1" x14ac:dyDescent="0.25">
      <c r="A986" s="24" t="s">
        <v>1156</v>
      </c>
      <c r="B986" s="24" t="s">
        <v>61</v>
      </c>
      <c r="C986" s="24" t="s">
        <v>281</v>
      </c>
      <c r="D986" s="25">
        <v>3813</v>
      </c>
      <c r="E986" s="25">
        <v>105246</v>
      </c>
      <c r="F986" s="26">
        <v>13195</v>
      </c>
      <c r="G986" s="27">
        <v>12.537293999999999</v>
      </c>
    </row>
    <row r="987" spans="1:7" hidden="1" x14ac:dyDescent="0.25">
      <c r="A987" s="24" t="s">
        <v>1157</v>
      </c>
      <c r="B987" s="24" t="s">
        <v>61</v>
      </c>
      <c r="C987" s="24" t="s">
        <v>281</v>
      </c>
      <c r="D987" s="25">
        <v>22387</v>
      </c>
      <c r="E987" s="25">
        <v>345269</v>
      </c>
      <c r="F987" s="26">
        <v>45140.1</v>
      </c>
      <c r="G987" s="27">
        <v>13.073893</v>
      </c>
    </row>
    <row r="988" spans="1:7" hidden="1" x14ac:dyDescent="0.25">
      <c r="A988" s="24" t="s">
        <v>1158</v>
      </c>
      <c r="B988" s="24" t="s">
        <v>61</v>
      </c>
      <c r="C988" s="24" t="s">
        <v>283</v>
      </c>
      <c r="D988" s="25">
        <v>2497</v>
      </c>
      <c r="E988" s="25">
        <v>52237</v>
      </c>
      <c r="F988" s="26">
        <v>6692</v>
      </c>
      <c r="G988" s="27">
        <v>12.810843</v>
      </c>
    </row>
    <row r="989" spans="1:7" hidden="1" x14ac:dyDescent="0.25">
      <c r="A989" s="24" t="s">
        <v>1159</v>
      </c>
      <c r="B989" s="24" t="s">
        <v>61</v>
      </c>
      <c r="C989" s="24" t="s">
        <v>281</v>
      </c>
      <c r="D989" s="25">
        <v>5518</v>
      </c>
      <c r="E989" s="25">
        <v>113941</v>
      </c>
      <c r="F989" s="26">
        <v>13844.8</v>
      </c>
      <c r="G989" s="27">
        <v>12.15085</v>
      </c>
    </row>
    <row r="990" spans="1:7" hidden="1" x14ac:dyDescent="0.25">
      <c r="A990" s="24" t="s">
        <v>1160</v>
      </c>
      <c r="B990" s="24" t="s">
        <v>61</v>
      </c>
      <c r="C990" s="24" t="s">
        <v>281</v>
      </c>
      <c r="D990" s="25">
        <v>4606</v>
      </c>
      <c r="E990" s="25">
        <v>116219</v>
      </c>
      <c r="F990" s="26">
        <v>14950.3</v>
      </c>
      <c r="G990" s="27">
        <v>12.863903000000001</v>
      </c>
    </row>
    <row r="991" spans="1:7" hidden="1" x14ac:dyDescent="0.25">
      <c r="A991" s="24" t="s">
        <v>1161</v>
      </c>
      <c r="B991" s="24" t="s">
        <v>61</v>
      </c>
      <c r="C991" s="24" t="s">
        <v>281</v>
      </c>
      <c r="D991" s="25">
        <v>4431</v>
      </c>
      <c r="E991" s="25">
        <v>130992</v>
      </c>
      <c r="F991" s="26">
        <v>14743</v>
      </c>
      <c r="G991" s="27">
        <v>11.254886000000001</v>
      </c>
    </row>
    <row r="992" spans="1:7" hidden="1" x14ac:dyDescent="0.25">
      <c r="A992" s="24" t="s">
        <v>1162</v>
      </c>
      <c r="B992" s="24" t="s">
        <v>61</v>
      </c>
      <c r="C992" s="24" t="s">
        <v>283</v>
      </c>
      <c r="D992" s="25">
        <v>2915</v>
      </c>
      <c r="E992" s="25">
        <v>64247</v>
      </c>
      <c r="F992" s="26">
        <v>5896.1</v>
      </c>
      <c r="G992" s="27">
        <v>9.1772378000000003</v>
      </c>
    </row>
    <row r="993" spans="1:7" hidden="1" x14ac:dyDescent="0.25">
      <c r="A993" s="24" t="s">
        <v>1163</v>
      </c>
      <c r="B993" s="24" t="s">
        <v>61</v>
      </c>
      <c r="C993" s="24" t="s">
        <v>281</v>
      </c>
      <c r="D993" s="25">
        <v>1878</v>
      </c>
      <c r="E993" s="25">
        <v>175126</v>
      </c>
      <c r="F993" s="26">
        <v>14914.9</v>
      </c>
      <c r="G993" s="27">
        <v>8.5166679999999992</v>
      </c>
    </row>
    <row r="994" spans="1:7" hidden="1" x14ac:dyDescent="0.25">
      <c r="A994" s="24" t="s">
        <v>1164</v>
      </c>
      <c r="B994" s="24" t="s">
        <v>61</v>
      </c>
      <c r="C994" s="24" t="s">
        <v>283</v>
      </c>
      <c r="D994" s="25">
        <v>53868</v>
      </c>
      <c r="E994" s="25">
        <v>1187848</v>
      </c>
      <c r="F994" s="26">
        <v>143465.20000000001</v>
      </c>
      <c r="G994" s="27">
        <v>12.077741</v>
      </c>
    </row>
    <row r="995" spans="1:7" hidden="1" x14ac:dyDescent="0.25">
      <c r="A995" s="24" t="s">
        <v>1165</v>
      </c>
      <c r="B995" s="24" t="s">
        <v>61</v>
      </c>
      <c r="C995" s="24" t="s">
        <v>281</v>
      </c>
      <c r="D995" s="25">
        <v>6439</v>
      </c>
      <c r="E995" s="25">
        <v>148966</v>
      </c>
      <c r="F995" s="26">
        <v>18610</v>
      </c>
      <c r="G995" s="27">
        <v>12.492784</v>
      </c>
    </row>
    <row r="996" spans="1:7" hidden="1" x14ac:dyDescent="0.25">
      <c r="A996" s="24" t="s">
        <v>1166</v>
      </c>
      <c r="B996" s="24" t="s">
        <v>61</v>
      </c>
      <c r="C996" s="24" t="s">
        <v>281</v>
      </c>
      <c r="D996" s="25">
        <v>14315</v>
      </c>
      <c r="E996" s="25">
        <v>222939</v>
      </c>
      <c r="F996" s="26">
        <v>27157</v>
      </c>
      <c r="G996" s="27">
        <v>12.181359</v>
      </c>
    </row>
    <row r="997" spans="1:7" hidden="1" x14ac:dyDescent="0.25">
      <c r="A997" s="24" t="s">
        <v>1167</v>
      </c>
      <c r="B997" s="24" t="s">
        <v>61</v>
      </c>
      <c r="C997" s="24" t="s">
        <v>283</v>
      </c>
      <c r="D997" s="25">
        <v>17118</v>
      </c>
      <c r="E997" s="25">
        <v>427960</v>
      </c>
      <c r="F997" s="26">
        <v>45479</v>
      </c>
      <c r="G997" s="27">
        <v>10.626927999999999</v>
      </c>
    </row>
    <row r="998" spans="1:7" hidden="1" x14ac:dyDescent="0.25">
      <c r="A998" s="24" t="s">
        <v>1168</v>
      </c>
      <c r="B998" s="24" t="s">
        <v>61</v>
      </c>
      <c r="C998" s="24" t="s">
        <v>281</v>
      </c>
      <c r="D998" s="25">
        <v>3816</v>
      </c>
      <c r="E998" s="25">
        <v>132337</v>
      </c>
      <c r="F998" s="26">
        <v>13594.4</v>
      </c>
      <c r="G998" s="27">
        <v>10.272562000000001</v>
      </c>
    </row>
    <row r="999" spans="1:7" hidden="1" x14ac:dyDescent="0.25">
      <c r="A999" s="24" t="s">
        <v>1169</v>
      </c>
      <c r="B999" s="24" t="s">
        <v>61</v>
      </c>
      <c r="C999" s="24" t="s">
        <v>283</v>
      </c>
      <c r="D999" s="25">
        <v>1952</v>
      </c>
      <c r="E999" s="25">
        <v>44142</v>
      </c>
      <c r="F999" s="26">
        <v>4632</v>
      </c>
      <c r="G999" s="27">
        <v>10.493408000000001</v>
      </c>
    </row>
    <row r="1000" spans="1:7" hidden="1" x14ac:dyDescent="0.25">
      <c r="A1000" s="24" t="s">
        <v>1170</v>
      </c>
      <c r="B1000" s="24" t="s">
        <v>61</v>
      </c>
      <c r="C1000" s="24" t="s">
        <v>281</v>
      </c>
      <c r="D1000" s="25">
        <v>5810</v>
      </c>
      <c r="E1000" s="25">
        <v>225508</v>
      </c>
      <c r="F1000" s="26">
        <v>23468</v>
      </c>
      <c r="G1000" s="27">
        <v>10.406726000000001</v>
      </c>
    </row>
    <row r="1001" spans="1:7" hidden="1" x14ac:dyDescent="0.25">
      <c r="A1001" s="24" t="s">
        <v>1171</v>
      </c>
      <c r="B1001" s="24" t="s">
        <v>61</v>
      </c>
      <c r="C1001" s="24" t="s">
        <v>281</v>
      </c>
      <c r="D1001" s="25">
        <v>26531</v>
      </c>
      <c r="E1001" s="25">
        <v>508498</v>
      </c>
      <c r="F1001" s="26">
        <v>55493.8</v>
      </c>
      <c r="G1001" s="27">
        <v>10.913278</v>
      </c>
    </row>
    <row r="1002" spans="1:7" hidden="1" x14ac:dyDescent="0.25">
      <c r="A1002" s="24" t="s">
        <v>1172</v>
      </c>
      <c r="B1002" s="24" t="s">
        <v>61</v>
      </c>
      <c r="C1002" s="24" t="s">
        <v>281</v>
      </c>
      <c r="D1002" s="25">
        <v>11466</v>
      </c>
      <c r="E1002" s="25">
        <v>337994</v>
      </c>
      <c r="F1002" s="26">
        <v>36727.199999999997</v>
      </c>
      <c r="G1002" s="27">
        <v>10.866228</v>
      </c>
    </row>
    <row r="1003" spans="1:7" hidden="1" x14ac:dyDescent="0.25">
      <c r="A1003" s="24" t="s">
        <v>1173</v>
      </c>
      <c r="B1003" s="24" t="s">
        <v>61</v>
      </c>
      <c r="C1003" s="24" t="s">
        <v>281</v>
      </c>
      <c r="D1003" s="25">
        <v>8686</v>
      </c>
      <c r="E1003" s="25">
        <v>174874</v>
      </c>
      <c r="F1003" s="26">
        <v>19301.8</v>
      </c>
      <c r="G1003" s="27">
        <v>11.037547</v>
      </c>
    </row>
    <row r="1004" spans="1:7" hidden="1" x14ac:dyDescent="0.25">
      <c r="A1004" s="24" t="s">
        <v>1174</v>
      </c>
      <c r="B1004" s="24" t="s">
        <v>61</v>
      </c>
      <c r="C1004" s="24" t="s">
        <v>281</v>
      </c>
      <c r="D1004" s="25">
        <v>1966</v>
      </c>
      <c r="E1004" s="25">
        <v>56994</v>
      </c>
      <c r="F1004" s="26">
        <v>6348</v>
      </c>
      <c r="G1004" s="27">
        <v>11.138014999999999</v>
      </c>
    </row>
    <row r="1005" spans="1:7" hidden="1" x14ac:dyDescent="0.25">
      <c r="A1005" s="24" t="s">
        <v>422</v>
      </c>
      <c r="B1005" s="24" t="s">
        <v>61</v>
      </c>
      <c r="C1005" s="24" t="s">
        <v>351</v>
      </c>
      <c r="D1005" s="25">
        <v>4</v>
      </c>
      <c r="E1005" s="25">
        <v>56558</v>
      </c>
      <c r="F1005" s="26">
        <v>1556.8</v>
      </c>
      <c r="G1005" s="27">
        <v>2.7525726000000001</v>
      </c>
    </row>
    <row r="1006" spans="1:7" hidden="1" x14ac:dyDescent="0.25">
      <c r="A1006" s="24" t="s">
        <v>1175</v>
      </c>
      <c r="B1006" s="24" t="s">
        <v>61</v>
      </c>
      <c r="C1006" s="24" t="s">
        <v>281</v>
      </c>
      <c r="D1006" s="25">
        <v>14291</v>
      </c>
      <c r="E1006" s="25">
        <v>255067</v>
      </c>
      <c r="F1006" s="26">
        <v>31303.7</v>
      </c>
      <c r="G1006" s="27">
        <v>12.272736</v>
      </c>
    </row>
    <row r="1007" spans="1:7" hidden="1" x14ac:dyDescent="0.25">
      <c r="A1007" s="24" t="s">
        <v>1176</v>
      </c>
      <c r="B1007" s="24" t="s">
        <v>61</v>
      </c>
      <c r="C1007" s="24" t="s">
        <v>283</v>
      </c>
      <c r="D1007" s="25">
        <v>9098</v>
      </c>
      <c r="E1007" s="25">
        <v>275185</v>
      </c>
      <c r="F1007" s="26">
        <v>28610</v>
      </c>
      <c r="G1007" s="27">
        <v>10.396642</v>
      </c>
    </row>
    <row r="1008" spans="1:7" hidden="1" x14ac:dyDescent="0.25">
      <c r="A1008" s="24" t="s">
        <v>1177</v>
      </c>
      <c r="B1008" s="24" t="s">
        <v>61</v>
      </c>
      <c r="C1008" s="24" t="s">
        <v>281</v>
      </c>
      <c r="D1008" s="25">
        <v>52144</v>
      </c>
      <c r="E1008" s="25">
        <v>868989</v>
      </c>
      <c r="F1008" s="26">
        <v>97030.7</v>
      </c>
      <c r="G1008" s="27">
        <v>11.165929999999999</v>
      </c>
    </row>
    <row r="1009" spans="1:7" hidden="1" x14ac:dyDescent="0.25">
      <c r="A1009" s="24" t="s">
        <v>654</v>
      </c>
      <c r="B1009" s="24" t="s">
        <v>67</v>
      </c>
      <c r="C1009" s="24" t="s">
        <v>281</v>
      </c>
      <c r="D1009" s="25">
        <v>2692</v>
      </c>
      <c r="E1009" s="25">
        <v>67093</v>
      </c>
      <c r="F1009" s="26">
        <v>7160</v>
      </c>
      <c r="G1009" s="27">
        <v>10.671754</v>
      </c>
    </row>
    <row r="1010" spans="1:7" hidden="1" x14ac:dyDescent="0.25">
      <c r="A1010" s="24" t="s">
        <v>1178</v>
      </c>
      <c r="B1010" s="24" t="s">
        <v>67</v>
      </c>
      <c r="C1010" s="24" t="s">
        <v>281</v>
      </c>
      <c r="D1010" s="25">
        <v>9714</v>
      </c>
      <c r="E1010" s="25">
        <v>168340</v>
      </c>
      <c r="F1010" s="26">
        <v>18056.900000000001</v>
      </c>
      <c r="G1010" s="27">
        <v>10.726445999999999</v>
      </c>
    </row>
    <row r="1011" spans="1:7" hidden="1" x14ac:dyDescent="0.25">
      <c r="A1011" s="24" t="s">
        <v>1179</v>
      </c>
      <c r="B1011" s="24" t="s">
        <v>67</v>
      </c>
      <c r="C1011" s="24" t="s">
        <v>281</v>
      </c>
      <c r="D1011" s="25">
        <v>6563</v>
      </c>
      <c r="E1011" s="25">
        <v>145477</v>
      </c>
      <c r="F1011" s="26">
        <v>16265</v>
      </c>
      <c r="G1011" s="27">
        <v>11.180462</v>
      </c>
    </row>
    <row r="1012" spans="1:7" hidden="1" x14ac:dyDescent="0.25">
      <c r="A1012" s="24" t="s">
        <v>1180</v>
      </c>
      <c r="B1012" s="24" t="s">
        <v>67</v>
      </c>
      <c r="C1012" s="24" t="s">
        <v>281</v>
      </c>
      <c r="D1012" s="25">
        <v>24250</v>
      </c>
      <c r="E1012" s="25">
        <v>445094</v>
      </c>
      <c r="F1012" s="26">
        <v>43855</v>
      </c>
      <c r="G1012" s="27">
        <v>9.8529748999999995</v>
      </c>
    </row>
    <row r="1013" spans="1:7" hidden="1" x14ac:dyDescent="0.25">
      <c r="A1013" s="24" t="s">
        <v>1181</v>
      </c>
      <c r="B1013" s="24" t="s">
        <v>67</v>
      </c>
      <c r="C1013" s="24" t="s">
        <v>281</v>
      </c>
      <c r="D1013" s="25">
        <v>32084</v>
      </c>
      <c r="E1013" s="25">
        <v>529808</v>
      </c>
      <c r="F1013" s="26">
        <v>56203</v>
      </c>
      <c r="G1013" s="27">
        <v>10.608183</v>
      </c>
    </row>
    <row r="1014" spans="1:7" hidden="1" x14ac:dyDescent="0.25">
      <c r="A1014" s="24" t="s">
        <v>1182</v>
      </c>
      <c r="B1014" s="24" t="s">
        <v>67</v>
      </c>
      <c r="C1014" s="24" t="s">
        <v>281</v>
      </c>
      <c r="D1014" s="25">
        <v>12985</v>
      </c>
      <c r="E1014" s="25">
        <v>203928</v>
      </c>
      <c r="F1014" s="26">
        <v>25545</v>
      </c>
      <c r="G1014" s="27">
        <v>12.526479999999999</v>
      </c>
    </row>
    <row r="1015" spans="1:7" hidden="1" x14ac:dyDescent="0.25">
      <c r="A1015" s="24" t="s">
        <v>356</v>
      </c>
      <c r="B1015" s="24" t="s">
        <v>67</v>
      </c>
      <c r="C1015" s="24" t="s">
        <v>281</v>
      </c>
      <c r="D1015" s="25">
        <v>12019</v>
      </c>
      <c r="E1015" s="25">
        <v>129891</v>
      </c>
      <c r="F1015" s="26">
        <v>13223</v>
      </c>
      <c r="G1015" s="27">
        <v>10.180073999999999</v>
      </c>
    </row>
    <row r="1016" spans="1:7" hidden="1" x14ac:dyDescent="0.25">
      <c r="A1016" s="24" t="s">
        <v>1183</v>
      </c>
      <c r="B1016" s="24" t="s">
        <v>67</v>
      </c>
      <c r="C1016" s="24" t="s">
        <v>281</v>
      </c>
      <c r="D1016" s="25">
        <v>10774</v>
      </c>
      <c r="E1016" s="25">
        <v>309158</v>
      </c>
      <c r="F1016" s="26">
        <v>26151</v>
      </c>
      <c r="G1016" s="27">
        <v>8.4587816</v>
      </c>
    </row>
    <row r="1017" spans="1:7" hidden="1" x14ac:dyDescent="0.25">
      <c r="A1017" s="24" t="s">
        <v>1184</v>
      </c>
      <c r="B1017" s="24" t="s">
        <v>67</v>
      </c>
      <c r="C1017" s="24" t="s">
        <v>283</v>
      </c>
      <c r="D1017" s="25">
        <v>4608</v>
      </c>
      <c r="E1017" s="25">
        <v>97763</v>
      </c>
      <c r="F1017" s="26">
        <v>9916.5</v>
      </c>
      <c r="G1017" s="27">
        <v>10.143408000000001</v>
      </c>
    </row>
    <row r="1018" spans="1:7" hidden="1" x14ac:dyDescent="0.25">
      <c r="A1018" s="24" t="s">
        <v>1185</v>
      </c>
      <c r="B1018" s="24" t="s">
        <v>67</v>
      </c>
      <c r="C1018" s="24" t="s">
        <v>281</v>
      </c>
      <c r="D1018" s="25">
        <v>27171</v>
      </c>
      <c r="E1018" s="25">
        <v>1636683</v>
      </c>
      <c r="F1018" s="26">
        <v>124096</v>
      </c>
      <c r="G1018" s="27">
        <v>7.5821646999999999</v>
      </c>
    </row>
    <row r="1019" spans="1:7" hidden="1" x14ac:dyDescent="0.25">
      <c r="A1019" s="24" t="s">
        <v>1186</v>
      </c>
      <c r="B1019" s="24" t="s">
        <v>67</v>
      </c>
      <c r="C1019" s="24" t="s">
        <v>283</v>
      </c>
      <c r="D1019" s="25">
        <v>114942</v>
      </c>
      <c r="E1019" s="25">
        <v>2928268</v>
      </c>
      <c r="F1019" s="26">
        <v>264068.90000000002</v>
      </c>
      <c r="G1019" s="27">
        <v>9.0179212</v>
      </c>
    </row>
    <row r="1020" spans="1:7" hidden="1" x14ac:dyDescent="0.25">
      <c r="A1020" s="24" t="s">
        <v>1187</v>
      </c>
      <c r="B1020" s="24" t="s">
        <v>67</v>
      </c>
      <c r="C1020" s="24" t="s">
        <v>283</v>
      </c>
      <c r="D1020" s="25">
        <v>1544</v>
      </c>
      <c r="E1020" s="25">
        <v>61245</v>
      </c>
      <c r="F1020" s="26">
        <v>3031</v>
      </c>
      <c r="G1020" s="27">
        <v>4.9489754000000001</v>
      </c>
    </row>
    <row r="1021" spans="1:7" hidden="1" x14ac:dyDescent="0.25">
      <c r="A1021" s="24" t="s">
        <v>1188</v>
      </c>
      <c r="B1021" s="24" t="s">
        <v>67</v>
      </c>
      <c r="C1021" s="24" t="s">
        <v>283</v>
      </c>
      <c r="D1021" s="25">
        <v>3373</v>
      </c>
      <c r="E1021" s="25">
        <v>77371</v>
      </c>
      <c r="F1021" s="26">
        <v>7653</v>
      </c>
      <c r="G1021" s="27">
        <v>9.8913028999999995</v>
      </c>
    </row>
    <row r="1022" spans="1:7" hidden="1" x14ac:dyDescent="0.25">
      <c r="A1022" s="24" t="s">
        <v>1189</v>
      </c>
      <c r="B1022" s="24" t="s">
        <v>67</v>
      </c>
      <c r="C1022" s="24" t="s">
        <v>283</v>
      </c>
      <c r="D1022" s="25">
        <v>7674</v>
      </c>
      <c r="E1022" s="25">
        <v>283078</v>
      </c>
      <c r="F1022" s="26">
        <v>23558</v>
      </c>
      <c r="G1022" s="27">
        <v>8.3220878999999996</v>
      </c>
    </row>
    <row r="1023" spans="1:7" hidden="1" x14ac:dyDescent="0.25">
      <c r="A1023" s="24" t="s">
        <v>1190</v>
      </c>
      <c r="B1023" s="24" t="s">
        <v>67</v>
      </c>
      <c r="C1023" s="24" t="s">
        <v>283</v>
      </c>
      <c r="D1023" s="25">
        <v>49882</v>
      </c>
      <c r="E1023" s="25">
        <v>1133524</v>
      </c>
      <c r="F1023" s="26">
        <v>114684.4</v>
      </c>
      <c r="G1023" s="27">
        <v>10.117509999999999</v>
      </c>
    </row>
    <row r="1024" spans="1:7" hidden="1" x14ac:dyDescent="0.25">
      <c r="A1024" s="24" t="s">
        <v>1191</v>
      </c>
      <c r="B1024" s="24" t="s">
        <v>67</v>
      </c>
      <c r="C1024" s="24" t="s">
        <v>283</v>
      </c>
      <c r="D1024" s="25">
        <v>7401</v>
      </c>
      <c r="E1024" s="25">
        <v>218726</v>
      </c>
      <c r="F1024" s="26">
        <v>20880.5</v>
      </c>
      <c r="G1024" s="27">
        <v>9.5464187999999996</v>
      </c>
    </row>
    <row r="1025" spans="1:7" hidden="1" x14ac:dyDescent="0.25">
      <c r="A1025" s="24" t="s">
        <v>1192</v>
      </c>
      <c r="B1025" s="24" t="s">
        <v>67</v>
      </c>
      <c r="C1025" s="24" t="s">
        <v>283</v>
      </c>
      <c r="D1025" s="25">
        <v>5612</v>
      </c>
      <c r="E1025" s="25">
        <v>147849</v>
      </c>
      <c r="F1025" s="26">
        <v>14258</v>
      </c>
      <c r="G1025" s="27">
        <v>9.6436229000000004</v>
      </c>
    </row>
    <row r="1026" spans="1:7" hidden="1" x14ac:dyDescent="0.25">
      <c r="A1026" s="24" t="s">
        <v>1193</v>
      </c>
      <c r="B1026" s="24" t="s">
        <v>67</v>
      </c>
      <c r="C1026" s="24" t="s">
        <v>283</v>
      </c>
      <c r="D1026" s="25">
        <v>8824</v>
      </c>
      <c r="E1026" s="25">
        <v>248316</v>
      </c>
      <c r="F1026" s="26">
        <v>24600.3</v>
      </c>
      <c r="G1026" s="27">
        <v>9.9068526000000006</v>
      </c>
    </row>
    <row r="1027" spans="1:7" hidden="1" x14ac:dyDescent="0.25">
      <c r="A1027" s="24" t="s">
        <v>1194</v>
      </c>
      <c r="B1027" s="24" t="s">
        <v>67</v>
      </c>
      <c r="C1027" s="24" t="s">
        <v>283</v>
      </c>
      <c r="D1027" s="25">
        <v>4537</v>
      </c>
      <c r="E1027" s="25">
        <v>97329</v>
      </c>
      <c r="F1027" s="26">
        <v>11382.3</v>
      </c>
      <c r="G1027" s="27">
        <v>11.694664</v>
      </c>
    </row>
    <row r="1028" spans="1:7" hidden="1" x14ac:dyDescent="0.25">
      <c r="A1028" s="24" t="s">
        <v>1195</v>
      </c>
      <c r="B1028" s="24" t="s">
        <v>67</v>
      </c>
      <c r="C1028" s="24" t="s">
        <v>283</v>
      </c>
      <c r="D1028" s="25">
        <v>57176</v>
      </c>
      <c r="E1028" s="25">
        <v>992519</v>
      </c>
      <c r="F1028" s="26">
        <v>130409</v>
      </c>
      <c r="G1028" s="27">
        <v>13.139194</v>
      </c>
    </row>
    <row r="1029" spans="1:7" hidden="1" x14ac:dyDescent="0.25">
      <c r="A1029" s="24" t="s">
        <v>1196</v>
      </c>
      <c r="B1029" s="24" t="s">
        <v>67</v>
      </c>
      <c r="C1029" s="24" t="s">
        <v>283</v>
      </c>
      <c r="D1029" s="25">
        <v>7035</v>
      </c>
      <c r="E1029" s="25">
        <v>140025</v>
      </c>
      <c r="F1029" s="26">
        <v>16146.3</v>
      </c>
      <c r="G1029" s="27">
        <v>11.531012</v>
      </c>
    </row>
    <row r="1030" spans="1:7" hidden="1" x14ac:dyDescent="0.25">
      <c r="A1030" s="24" t="s">
        <v>1197</v>
      </c>
      <c r="B1030" s="24" t="s">
        <v>67</v>
      </c>
      <c r="C1030" s="24" t="s">
        <v>283</v>
      </c>
      <c r="D1030" s="25">
        <v>5638</v>
      </c>
      <c r="E1030" s="25">
        <v>131384</v>
      </c>
      <c r="F1030" s="26">
        <v>10733.5</v>
      </c>
      <c r="G1030" s="27">
        <v>8.1695639999999994</v>
      </c>
    </row>
    <row r="1031" spans="1:7" hidden="1" x14ac:dyDescent="0.25">
      <c r="A1031" s="24" t="s">
        <v>1198</v>
      </c>
      <c r="B1031" s="24" t="s">
        <v>67</v>
      </c>
      <c r="C1031" s="24" t="s">
        <v>283</v>
      </c>
      <c r="D1031" s="25">
        <v>10025</v>
      </c>
      <c r="E1031" s="25">
        <v>202311</v>
      </c>
      <c r="F1031" s="26">
        <v>21708.799999999999</v>
      </c>
      <c r="G1031" s="27">
        <v>10.730409999999999</v>
      </c>
    </row>
    <row r="1032" spans="1:7" hidden="1" x14ac:dyDescent="0.25">
      <c r="A1032" s="24" t="s">
        <v>1199</v>
      </c>
      <c r="B1032" s="24" t="s">
        <v>67</v>
      </c>
      <c r="C1032" s="24" t="s">
        <v>283</v>
      </c>
      <c r="D1032" s="25">
        <v>2452</v>
      </c>
      <c r="E1032" s="25">
        <v>58334</v>
      </c>
      <c r="F1032" s="26">
        <v>6127</v>
      </c>
      <c r="G1032" s="27">
        <v>10.503309</v>
      </c>
    </row>
    <row r="1033" spans="1:7" hidden="1" x14ac:dyDescent="0.25">
      <c r="A1033" s="24" t="s">
        <v>1200</v>
      </c>
      <c r="B1033" s="24" t="s">
        <v>67</v>
      </c>
      <c r="C1033" s="24" t="s">
        <v>283</v>
      </c>
      <c r="D1033" s="25">
        <v>6762</v>
      </c>
      <c r="E1033" s="25">
        <v>242898</v>
      </c>
      <c r="F1033" s="26">
        <v>23083</v>
      </c>
      <c r="G1033" s="27">
        <v>9.5031659000000008</v>
      </c>
    </row>
    <row r="1034" spans="1:7" hidden="1" x14ac:dyDescent="0.25">
      <c r="A1034" s="24" t="s">
        <v>1201</v>
      </c>
      <c r="B1034" s="24" t="s">
        <v>67</v>
      </c>
      <c r="C1034" s="24" t="s">
        <v>283</v>
      </c>
      <c r="D1034" s="25">
        <v>3010</v>
      </c>
      <c r="E1034" s="25">
        <v>78915</v>
      </c>
      <c r="F1034" s="26">
        <v>9595</v>
      </c>
      <c r="G1034" s="27">
        <v>12.158652</v>
      </c>
    </row>
    <row r="1035" spans="1:7" hidden="1" x14ac:dyDescent="0.25">
      <c r="A1035" s="24" t="s">
        <v>1202</v>
      </c>
      <c r="B1035" s="24" t="s">
        <v>67</v>
      </c>
      <c r="C1035" s="24" t="s">
        <v>283</v>
      </c>
      <c r="D1035" s="25">
        <v>5943</v>
      </c>
      <c r="E1035" s="25">
        <v>168143</v>
      </c>
      <c r="F1035" s="26">
        <v>18521.8</v>
      </c>
      <c r="G1035" s="27">
        <v>11.015504999999999</v>
      </c>
    </row>
    <row r="1036" spans="1:7" hidden="1" x14ac:dyDescent="0.25">
      <c r="A1036" s="24" t="s">
        <v>1203</v>
      </c>
      <c r="B1036" s="24" t="s">
        <v>67</v>
      </c>
      <c r="C1036" s="24" t="s">
        <v>283</v>
      </c>
      <c r="D1036" s="25">
        <v>4637</v>
      </c>
      <c r="E1036" s="25">
        <v>210763</v>
      </c>
      <c r="F1036" s="26">
        <v>19729.900000000001</v>
      </c>
      <c r="G1036" s="27">
        <v>9.3611781999999994</v>
      </c>
    </row>
    <row r="1037" spans="1:7" hidden="1" x14ac:dyDescent="0.25">
      <c r="A1037" s="24" t="s">
        <v>1204</v>
      </c>
      <c r="B1037" s="24" t="s">
        <v>67</v>
      </c>
      <c r="C1037" s="24" t="s">
        <v>283</v>
      </c>
      <c r="D1037" s="25">
        <v>2238</v>
      </c>
      <c r="E1037" s="25">
        <v>63311</v>
      </c>
      <c r="F1037" s="26">
        <v>7232</v>
      </c>
      <c r="G1037" s="27">
        <v>11.422974999999999</v>
      </c>
    </row>
    <row r="1038" spans="1:7" hidden="1" x14ac:dyDescent="0.25">
      <c r="A1038" s="24" t="s">
        <v>1205</v>
      </c>
      <c r="B1038" s="24" t="s">
        <v>67</v>
      </c>
      <c r="C1038" s="24" t="s">
        <v>283</v>
      </c>
      <c r="D1038" s="25">
        <v>9795</v>
      </c>
      <c r="E1038" s="25">
        <v>145964</v>
      </c>
      <c r="F1038" s="26">
        <v>19001</v>
      </c>
      <c r="G1038" s="27">
        <v>13.017593</v>
      </c>
    </row>
    <row r="1039" spans="1:7" hidden="1" x14ac:dyDescent="0.25">
      <c r="A1039" s="24" t="s">
        <v>1206</v>
      </c>
      <c r="B1039" s="24" t="s">
        <v>67</v>
      </c>
      <c r="C1039" s="24" t="s">
        <v>283</v>
      </c>
      <c r="D1039" s="25">
        <v>9445</v>
      </c>
      <c r="E1039" s="25">
        <v>353242</v>
      </c>
      <c r="F1039" s="26">
        <v>32101.7</v>
      </c>
      <c r="G1039" s="27">
        <v>9.0877359000000002</v>
      </c>
    </row>
    <row r="1040" spans="1:7" hidden="1" x14ac:dyDescent="0.25">
      <c r="A1040" s="24" t="s">
        <v>1207</v>
      </c>
      <c r="B1040" s="24" t="s">
        <v>67</v>
      </c>
      <c r="C1040" s="24" t="s">
        <v>283</v>
      </c>
      <c r="D1040" s="25">
        <v>9375</v>
      </c>
      <c r="E1040" s="25">
        <v>279628</v>
      </c>
      <c r="F1040" s="26">
        <v>26068.799999999999</v>
      </c>
      <c r="G1040" s="27">
        <v>9.3226715000000002</v>
      </c>
    </row>
    <row r="1041" spans="1:7" hidden="1" x14ac:dyDescent="0.25">
      <c r="A1041" s="24" t="s">
        <v>1208</v>
      </c>
      <c r="B1041" s="24" t="s">
        <v>67</v>
      </c>
      <c r="C1041" s="24" t="s">
        <v>283</v>
      </c>
      <c r="D1041" s="25">
        <v>9313</v>
      </c>
      <c r="E1041" s="25">
        <v>343482</v>
      </c>
      <c r="F1041" s="26">
        <v>21486</v>
      </c>
      <c r="G1041" s="27">
        <v>6.2553495999999997</v>
      </c>
    </row>
    <row r="1042" spans="1:7" hidden="1" x14ac:dyDescent="0.25">
      <c r="A1042" s="24" t="s">
        <v>1209</v>
      </c>
      <c r="B1042" s="24" t="s">
        <v>67</v>
      </c>
      <c r="C1042" s="24" t="s">
        <v>283</v>
      </c>
      <c r="D1042" s="25">
        <v>3871</v>
      </c>
      <c r="E1042" s="25">
        <v>108709</v>
      </c>
      <c r="F1042" s="26">
        <v>9437</v>
      </c>
      <c r="G1042" s="27">
        <v>8.6809740000000009</v>
      </c>
    </row>
    <row r="1043" spans="1:7" hidden="1" x14ac:dyDescent="0.25">
      <c r="A1043" s="24" t="s">
        <v>1210</v>
      </c>
      <c r="B1043" s="24" t="s">
        <v>67</v>
      </c>
      <c r="C1043" s="24" t="s">
        <v>283</v>
      </c>
      <c r="D1043" s="25">
        <v>6236</v>
      </c>
      <c r="E1043" s="25">
        <v>170052</v>
      </c>
      <c r="F1043" s="26">
        <v>14977</v>
      </c>
      <c r="G1043" s="27">
        <v>8.8073060000000005</v>
      </c>
    </row>
    <row r="1044" spans="1:7" hidden="1" x14ac:dyDescent="0.25">
      <c r="A1044" s="24" t="s">
        <v>366</v>
      </c>
      <c r="B1044" s="24" t="s">
        <v>67</v>
      </c>
      <c r="C1044" s="24" t="s">
        <v>281</v>
      </c>
      <c r="D1044" s="25">
        <v>51</v>
      </c>
      <c r="E1044" s="25">
        <v>559</v>
      </c>
      <c r="F1044" s="26">
        <v>77.2</v>
      </c>
      <c r="G1044" s="27">
        <v>13.810376</v>
      </c>
    </row>
    <row r="1045" spans="1:7" hidden="1" x14ac:dyDescent="0.25">
      <c r="A1045" s="24" t="s">
        <v>1211</v>
      </c>
      <c r="B1045" s="24" t="s">
        <v>67</v>
      </c>
      <c r="C1045" s="24" t="s">
        <v>281</v>
      </c>
      <c r="D1045" s="25">
        <v>31426</v>
      </c>
      <c r="E1045" s="25">
        <v>409390</v>
      </c>
      <c r="F1045" s="26">
        <v>49400</v>
      </c>
      <c r="G1045" s="27">
        <v>12.066732999999999</v>
      </c>
    </row>
    <row r="1046" spans="1:7" hidden="1" x14ac:dyDescent="0.25">
      <c r="A1046" s="24" t="s">
        <v>1212</v>
      </c>
      <c r="B1046" s="24" t="s">
        <v>67</v>
      </c>
      <c r="C1046" s="24" t="s">
        <v>281</v>
      </c>
      <c r="D1046" s="25">
        <v>7980</v>
      </c>
      <c r="E1046" s="25">
        <v>241903</v>
      </c>
      <c r="F1046" s="26">
        <v>22743</v>
      </c>
      <c r="G1046" s="27">
        <v>9.4017023000000002</v>
      </c>
    </row>
    <row r="1047" spans="1:7" hidden="1" x14ac:dyDescent="0.25">
      <c r="A1047" s="24" t="s">
        <v>1213</v>
      </c>
      <c r="B1047" s="24" t="s">
        <v>67</v>
      </c>
      <c r="C1047" s="24" t="s">
        <v>281</v>
      </c>
      <c r="D1047" s="25">
        <v>19899</v>
      </c>
      <c r="E1047" s="25">
        <v>285387</v>
      </c>
      <c r="F1047" s="26">
        <v>29528.9</v>
      </c>
      <c r="G1047" s="27">
        <v>10.346966999999999</v>
      </c>
    </row>
    <row r="1048" spans="1:7" hidden="1" x14ac:dyDescent="0.25">
      <c r="A1048" s="24" t="s">
        <v>1214</v>
      </c>
      <c r="B1048" s="24" t="s">
        <v>67</v>
      </c>
      <c r="C1048" s="24" t="s">
        <v>281</v>
      </c>
      <c r="D1048" s="25">
        <v>64370</v>
      </c>
      <c r="E1048" s="25">
        <v>1255956</v>
      </c>
      <c r="F1048" s="26">
        <v>113018</v>
      </c>
      <c r="G1048" s="27">
        <v>8.9985636000000007</v>
      </c>
    </row>
    <row r="1049" spans="1:7" hidden="1" x14ac:dyDescent="0.25">
      <c r="A1049" s="24" t="s">
        <v>369</v>
      </c>
      <c r="B1049" s="24" t="s">
        <v>67</v>
      </c>
      <c r="C1049" s="24" t="s">
        <v>278</v>
      </c>
      <c r="D1049" s="25">
        <v>152950</v>
      </c>
      <c r="E1049" s="25">
        <v>3976153</v>
      </c>
      <c r="F1049" s="26">
        <v>466785.6</v>
      </c>
      <c r="G1049" s="27">
        <v>11.739629000000001</v>
      </c>
    </row>
    <row r="1050" spans="1:7" hidden="1" x14ac:dyDescent="0.25">
      <c r="A1050" s="24" t="s">
        <v>1215</v>
      </c>
      <c r="B1050" s="24" t="s">
        <v>67</v>
      </c>
      <c r="C1050" s="24" t="s">
        <v>281</v>
      </c>
      <c r="D1050" s="25">
        <v>13095</v>
      </c>
      <c r="E1050" s="25">
        <v>278861</v>
      </c>
      <c r="F1050" s="26">
        <v>28632.6</v>
      </c>
      <c r="G1050" s="27">
        <v>10.267696000000001</v>
      </c>
    </row>
    <row r="1051" spans="1:7" hidden="1" x14ac:dyDescent="0.25">
      <c r="A1051" s="24" t="s">
        <v>1216</v>
      </c>
      <c r="B1051" s="24" t="s">
        <v>67</v>
      </c>
      <c r="C1051" s="24" t="s">
        <v>281</v>
      </c>
      <c r="D1051" s="25">
        <v>9876</v>
      </c>
      <c r="E1051" s="25">
        <v>184756</v>
      </c>
      <c r="F1051" s="26">
        <v>16942</v>
      </c>
      <c r="G1051" s="27">
        <v>9.1699321999999999</v>
      </c>
    </row>
    <row r="1052" spans="1:7" hidden="1" x14ac:dyDescent="0.25">
      <c r="A1052" s="24" t="s">
        <v>711</v>
      </c>
      <c r="B1052" s="24" t="s">
        <v>67</v>
      </c>
      <c r="C1052" s="24" t="s">
        <v>281</v>
      </c>
      <c r="D1052" s="25">
        <v>6495</v>
      </c>
      <c r="E1052" s="25">
        <v>114926</v>
      </c>
      <c r="F1052" s="26">
        <v>12990.4</v>
      </c>
      <c r="G1052" s="27">
        <v>11.303273000000001</v>
      </c>
    </row>
    <row r="1053" spans="1:7" hidden="1" x14ac:dyDescent="0.25">
      <c r="A1053" s="24" t="s">
        <v>1217</v>
      </c>
      <c r="B1053" s="24" t="s">
        <v>67</v>
      </c>
      <c r="C1053" s="24" t="s">
        <v>281</v>
      </c>
      <c r="D1053" s="25">
        <v>3522</v>
      </c>
      <c r="E1053" s="25">
        <v>48225</v>
      </c>
      <c r="F1053" s="26">
        <v>6344.7</v>
      </c>
      <c r="G1053" s="27">
        <v>13.156454</v>
      </c>
    </row>
    <row r="1054" spans="1:7" hidden="1" x14ac:dyDescent="0.25">
      <c r="A1054" s="24" t="s">
        <v>1218</v>
      </c>
      <c r="B1054" s="24" t="s">
        <v>67</v>
      </c>
      <c r="C1054" s="24" t="s">
        <v>281</v>
      </c>
      <c r="D1054" s="25">
        <v>24211</v>
      </c>
      <c r="E1054" s="25">
        <v>383696</v>
      </c>
      <c r="F1054" s="26">
        <v>37497.300000000003</v>
      </c>
      <c r="G1054" s="27">
        <v>9.7726585999999998</v>
      </c>
    </row>
    <row r="1055" spans="1:7" hidden="1" x14ac:dyDescent="0.25">
      <c r="A1055" s="24" t="s">
        <v>1219</v>
      </c>
      <c r="B1055" s="24" t="s">
        <v>67</v>
      </c>
      <c r="C1055" s="24" t="s">
        <v>281</v>
      </c>
      <c r="D1055" s="25">
        <v>30379</v>
      </c>
      <c r="E1055" s="25">
        <v>508735</v>
      </c>
      <c r="F1055" s="26">
        <v>53558.6</v>
      </c>
      <c r="G1055" s="27">
        <v>10.527799</v>
      </c>
    </row>
    <row r="1056" spans="1:7" hidden="1" x14ac:dyDescent="0.25">
      <c r="A1056" s="24" t="s">
        <v>1220</v>
      </c>
      <c r="B1056" s="24" t="s">
        <v>67</v>
      </c>
      <c r="C1056" s="24" t="s">
        <v>278</v>
      </c>
      <c r="D1056" s="25">
        <v>323470</v>
      </c>
      <c r="E1056" s="25">
        <v>7931919</v>
      </c>
      <c r="F1056" s="26">
        <v>763543.2</v>
      </c>
      <c r="G1056" s="27">
        <v>9.6262103000000003</v>
      </c>
    </row>
    <row r="1057" spans="1:7" hidden="1" x14ac:dyDescent="0.25">
      <c r="A1057" s="24" t="s">
        <v>901</v>
      </c>
      <c r="B1057" s="24" t="s">
        <v>67</v>
      </c>
      <c r="C1057" s="24" t="s">
        <v>278</v>
      </c>
      <c r="D1057" s="25">
        <v>284495</v>
      </c>
      <c r="E1057" s="25">
        <v>8289428</v>
      </c>
      <c r="F1057" s="26">
        <v>1001485.5</v>
      </c>
      <c r="G1057" s="27">
        <v>12.081479</v>
      </c>
    </row>
    <row r="1058" spans="1:7" hidden="1" x14ac:dyDescent="0.25">
      <c r="A1058" s="24" t="s">
        <v>1221</v>
      </c>
      <c r="B1058" s="24" t="s">
        <v>67</v>
      </c>
      <c r="C1058" s="24" t="s">
        <v>281</v>
      </c>
      <c r="D1058" s="25">
        <v>36881</v>
      </c>
      <c r="E1058" s="25">
        <v>589716</v>
      </c>
      <c r="F1058" s="26">
        <v>59789.9</v>
      </c>
      <c r="G1058" s="27">
        <v>10.138762</v>
      </c>
    </row>
    <row r="1059" spans="1:7" hidden="1" x14ac:dyDescent="0.25">
      <c r="A1059" s="24" t="s">
        <v>1222</v>
      </c>
      <c r="B1059" s="24" t="s">
        <v>67</v>
      </c>
      <c r="C1059" s="24" t="s">
        <v>281</v>
      </c>
      <c r="D1059" s="25">
        <v>7131</v>
      </c>
      <c r="E1059" s="25">
        <v>110164</v>
      </c>
      <c r="F1059" s="26">
        <v>14494.1</v>
      </c>
      <c r="G1059" s="27">
        <v>13.156839</v>
      </c>
    </row>
    <row r="1060" spans="1:7" hidden="1" x14ac:dyDescent="0.25">
      <c r="A1060" s="24" t="s">
        <v>1223</v>
      </c>
      <c r="B1060" s="24" t="s">
        <v>67</v>
      </c>
      <c r="C1060" s="24" t="s">
        <v>281</v>
      </c>
      <c r="D1060" s="25">
        <v>11249</v>
      </c>
      <c r="E1060" s="25">
        <v>231393</v>
      </c>
      <c r="F1060" s="26">
        <v>23972.9</v>
      </c>
      <c r="G1060" s="27">
        <v>10.360253</v>
      </c>
    </row>
    <row r="1061" spans="1:7" hidden="1" x14ac:dyDescent="0.25">
      <c r="A1061" s="24" t="s">
        <v>1224</v>
      </c>
      <c r="B1061" s="24" t="s">
        <v>67</v>
      </c>
      <c r="C1061" s="24" t="s">
        <v>281</v>
      </c>
      <c r="D1061" s="25">
        <v>5324</v>
      </c>
      <c r="E1061" s="25">
        <v>219305</v>
      </c>
      <c r="F1061" s="26">
        <v>17837</v>
      </c>
      <c r="G1061" s="27">
        <v>8.1334215000000007</v>
      </c>
    </row>
    <row r="1062" spans="1:7" hidden="1" x14ac:dyDescent="0.25">
      <c r="A1062" s="24" t="s">
        <v>1225</v>
      </c>
      <c r="B1062" s="24" t="s">
        <v>67</v>
      </c>
      <c r="C1062" s="24" t="s">
        <v>281</v>
      </c>
      <c r="D1062" s="25">
        <v>17569</v>
      </c>
      <c r="E1062" s="25">
        <v>371430</v>
      </c>
      <c r="F1062" s="26">
        <v>40424</v>
      </c>
      <c r="G1062" s="27">
        <v>10.883343</v>
      </c>
    </row>
    <row r="1063" spans="1:7" hidden="1" x14ac:dyDescent="0.25">
      <c r="A1063" s="24" t="s">
        <v>1226</v>
      </c>
      <c r="B1063" s="24" t="s">
        <v>67</v>
      </c>
      <c r="C1063" s="24" t="s">
        <v>281</v>
      </c>
      <c r="D1063" s="25">
        <v>4792</v>
      </c>
      <c r="E1063" s="25">
        <v>161190</v>
      </c>
      <c r="F1063" s="26">
        <v>14647</v>
      </c>
      <c r="G1063" s="27">
        <v>9.0867920000000009</v>
      </c>
    </row>
    <row r="1064" spans="1:7" hidden="1" x14ac:dyDescent="0.25">
      <c r="A1064" s="24" t="s">
        <v>1227</v>
      </c>
      <c r="B1064" s="24" t="s">
        <v>67</v>
      </c>
      <c r="C1064" s="24" t="s">
        <v>281</v>
      </c>
      <c r="D1064" s="25">
        <v>15969</v>
      </c>
      <c r="E1064" s="25">
        <v>254819</v>
      </c>
      <c r="F1064" s="26">
        <v>31995.5</v>
      </c>
      <c r="G1064" s="27">
        <v>12.556167</v>
      </c>
    </row>
    <row r="1065" spans="1:7" hidden="1" x14ac:dyDescent="0.25">
      <c r="A1065" s="24" t="s">
        <v>1228</v>
      </c>
      <c r="B1065" s="24" t="s">
        <v>67</v>
      </c>
      <c r="C1065" s="24" t="s">
        <v>281</v>
      </c>
      <c r="D1065" s="25">
        <v>39534</v>
      </c>
      <c r="E1065" s="25">
        <v>653356</v>
      </c>
      <c r="F1065" s="26">
        <v>67996</v>
      </c>
      <c r="G1065" s="27">
        <v>10.40719</v>
      </c>
    </row>
    <row r="1066" spans="1:7" hidden="1" x14ac:dyDescent="0.25">
      <c r="A1066" s="24" t="s">
        <v>1229</v>
      </c>
      <c r="B1066" s="24" t="s">
        <v>67</v>
      </c>
      <c r="C1066" s="24" t="s">
        <v>281</v>
      </c>
      <c r="D1066" s="25">
        <v>32990</v>
      </c>
      <c r="E1066" s="25">
        <v>471490</v>
      </c>
      <c r="F1066" s="26">
        <v>53868.9</v>
      </c>
      <c r="G1066" s="27">
        <v>11.425248</v>
      </c>
    </row>
    <row r="1067" spans="1:7" hidden="1" x14ac:dyDescent="0.25">
      <c r="A1067" s="24" t="s">
        <v>1230</v>
      </c>
      <c r="B1067" s="24" t="s">
        <v>67</v>
      </c>
      <c r="C1067" s="24" t="s">
        <v>281</v>
      </c>
      <c r="D1067" s="25">
        <v>8696</v>
      </c>
      <c r="E1067" s="25">
        <v>146718</v>
      </c>
      <c r="F1067" s="26">
        <v>18137</v>
      </c>
      <c r="G1067" s="27">
        <v>12.36181</v>
      </c>
    </row>
    <row r="1068" spans="1:7" hidden="1" x14ac:dyDescent="0.25">
      <c r="A1068" s="24" t="s">
        <v>1231</v>
      </c>
      <c r="B1068" s="24" t="s">
        <v>67</v>
      </c>
      <c r="C1068" s="24" t="s">
        <v>281</v>
      </c>
      <c r="D1068" s="25">
        <v>24180</v>
      </c>
      <c r="E1068" s="25">
        <v>502783</v>
      </c>
      <c r="F1068" s="26">
        <v>55307</v>
      </c>
      <c r="G1068" s="27">
        <v>11.000173</v>
      </c>
    </row>
    <row r="1069" spans="1:7" hidden="1" x14ac:dyDescent="0.25">
      <c r="A1069" s="24" t="s">
        <v>1232</v>
      </c>
      <c r="B1069" s="24" t="s">
        <v>67</v>
      </c>
      <c r="C1069" s="24" t="s">
        <v>281</v>
      </c>
      <c r="D1069" s="25">
        <v>6197</v>
      </c>
      <c r="E1069" s="25">
        <v>101289</v>
      </c>
      <c r="F1069" s="26">
        <v>13708</v>
      </c>
      <c r="G1069" s="27">
        <v>13.533552999999999</v>
      </c>
    </row>
    <row r="1070" spans="1:7" hidden="1" x14ac:dyDescent="0.25">
      <c r="A1070" s="24" t="s">
        <v>1233</v>
      </c>
      <c r="B1070" s="24" t="s">
        <v>67</v>
      </c>
      <c r="C1070" s="24" t="s">
        <v>281</v>
      </c>
      <c r="D1070" s="25">
        <v>6075</v>
      </c>
      <c r="E1070" s="25">
        <v>100509</v>
      </c>
      <c r="F1070" s="26">
        <v>9203</v>
      </c>
      <c r="G1070" s="27">
        <v>9.1563940000000006</v>
      </c>
    </row>
    <row r="1071" spans="1:7" hidden="1" x14ac:dyDescent="0.25">
      <c r="A1071" s="24" t="s">
        <v>1234</v>
      </c>
      <c r="B1071" s="24" t="s">
        <v>67</v>
      </c>
      <c r="C1071" s="24" t="s">
        <v>281</v>
      </c>
      <c r="D1071" s="25">
        <v>15865</v>
      </c>
      <c r="E1071" s="25">
        <v>311544</v>
      </c>
      <c r="F1071" s="26">
        <v>33680</v>
      </c>
      <c r="G1071" s="27">
        <v>10.810672</v>
      </c>
    </row>
    <row r="1072" spans="1:7" hidden="1" x14ac:dyDescent="0.25">
      <c r="A1072" s="24" t="s">
        <v>1235</v>
      </c>
      <c r="B1072" s="24" t="s">
        <v>67</v>
      </c>
      <c r="C1072" s="24" t="s">
        <v>281</v>
      </c>
      <c r="D1072" s="25">
        <v>11075</v>
      </c>
      <c r="E1072" s="25">
        <v>134362</v>
      </c>
      <c r="F1072" s="26">
        <v>17371</v>
      </c>
      <c r="G1072" s="27">
        <v>12.928507</v>
      </c>
    </row>
    <row r="1073" spans="1:7" hidden="1" x14ac:dyDescent="0.25">
      <c r="A1073" s="24" t="s">
        <v>1236</v>
      </c>
      <c r="B1073" s="24" t="s">
        <v>67</v>
      </c>
      <c r="C1073" s="24" t="s">
        <v>281</v>
      </c>
      <c r="D1073" s="25">
        <v>41168</v>
      </c>
      <c r="E1073" s="25">
        <v>532950</v>
      </c>
      <c r="F1073" s="26">
        <v>57982</v>
      </c>
      <c r="G1073" s="27">
        <v>10.879445</v>
      </c>
    </row>
    <row r="1074" spans="1:7" hidden="1" x14ac:dyDescent="0.25">
      <c r="A1074" s="24" t="s">
        <v>414</v>
      </c>
      <c r="B1074" s="24" t="s">
        <v>67</v>
      </c>
      <c r="C1074" s="24" t="s">
        <v>392</v>
      </c>
      <c r="D1074" s="25">
        <v>2</v>
      </c>
      <c r="E1074" s="25">
        <v>18</v>
      </c>
      <c r="F1074" s="26">
        <v>2.5</v>
      </c>
      <c r="G1074" s="27">
        <v>13.888889000000001</v>
      </c>
    </row>
    <row r="1075" spans="1:7" hidden="1" x14ac:dyDescent="0.25">
      <c r="A1075" s="24" t="s">
        <v>1237</v>
      </c>
      <c r="B1075" s="24" t="s">
        <v>67</v>
      </c>
      <c r="C1075" s="24" t="s">
        <v>281</v>
      </c>
      <c r="D1075" s="25">
        <v>22527</v>
      </c>
      <c r="E1075" s="25">
        <v>370965</v>
      </c>
      <c r="F1075" s="26">
        <v>38002</v>
      </c>
      <c r="G1075" s="27">
        <v>10.244092999999999</v>
      </c>
    </row>
    <row r="1076" spans="1:7" hidden="1" x14ac:dyDescent="0.25">
      <c r="A1076" s="24" t="s">
        <v>1238</v>
      </c>
      <c r="B1076" s="24" t="s">
        <v>67</v>
      </c>
      <c r="C1076" s="24" t="s">
        <v>283</v>
      </c>
      <c r="D1076" s="25">
        <v>3058</v>
      </c>
      <c r="E1076" s="25">
        <v>78761</v>
      </c>
      <c r="F1076" s="26">
        <v>8746.9</v>
      </c>
      <c r="G1076" s="27">
        <v>11.105623</v>
      </c>
    </row>
    <row r="1077" spans="1:7" hidden="1" x14ac:dyDescent="0.25">
      <c r="A1077" s="24" t="s">
        <v>1239</v>
      </c>
      <c r="B1077" s="24" t="s">
        <v>67</v>
      </c>
      <c r="C1077" s="24" t="s">
        <v>281</v>
      </c>
      <c r="D1077" s="25">
        <v>6348</v>
      </c>
      <c r="E1077" s="25">
        <v>82453</v>
      </c>
      <c r="F1077" s="26">
        <v>13349</v>
      </c>
      <c r="G1077" s="27">
        <v>16.189829</v>
      </c>
    </row>
    <row r="1078" spans="1:7" hidden="1" x14ac:dyDescent="0.25">
      <c r="A1078" s="24" t="s">
        <v>1240</v>
      </c>
      <c r="B1078" s="24" t="s">
        <v>67</v>
      </c>
      <c r="C1078" s="24" t="s">
        <v>278</v>
      </c>
      <c r="D1078" s="25">
        <v>1215790</v>
      </c>
      <c r="E1078" s="25">
        <v>31597238</v>
      </c>
      <c r="F1078" s="26">
        <v>2944964.2</v>
      </c>
      <c r="G1078" s="27">
        <v>9.3203215999999998</v>
      </c>
    </row>
    <row r="1079" spans="1:7" hidden="1" x14ac:dyDescent="0.25">
      <c r="A1079" s="24" t="s">
        <v>738</v>
      </c>
      <c r="B1079" s="24" t="s">
        <v>67</v>
      </c>
      <c r="C1079" s="24" t="s">
        <v>281</v>
      </c>
      <c r="D1079" s="25">
        <v>9290</v>
      </c>
      <c r="E1079" s="25">
        <v>141692</v>
      </c>
      <c r="F1079" s="26">
        <v>22012</v>
      </c>
      <c r="G1079" s="27">
        <v>15.535104</v>
      </c>
    </row>
    <row r="1080" spans="1:7" hidden="1" x14ac:dyDescent="0.25">
      <c r="A1080" s="24" t="s">
        <v>1241</v>
      </c>
      <c r="B1080" s="24" t="s">
        <v>67</v>
      </c>
      <c r="C1080" s="24" t="s">
        <v>281</v>
      </c>
      <c r="D1080" s="25">
        <v>18455</v>
      </c>
      <c r="E1080" s="25">
        <v>342116</v>
      </c>
      <c r="F1080" s="26">
        <v>28082</v>
      </c>
      <c r="G1080" s="27">
        <v>8.2083270000000006</v>
      </c>
    </row>
    <row r="1081" spans="1:7" hidden="1" x14ac:dyDescent="0.25">
      <c r="A1081" s="24" t="s">
        <v>1242</v>
      </c>
      <c r="B1081" s="24" t="s">
        <v>67</v>
      </c>
      <c r="C1081" s="24" t="s">
        <v>281</v>
      </c>
      <c r="D1081" s="25">
        <v>13908</v>
      </c>
      <c r="E1081" s="25">
        <v>241760</v>
      </c>
      <c r="F1081" s="26">
        <v>26336</v>
      </c>
      <c r="G1081" s="27">
        <v>10.893447999999999</v>
      </c>
    </row>
    <row r="1082" spans="1:7" hidden="1" x14ac:dyDescent="0.25">
      <c r="A1082" s="24" t="s">
        <v>1243</v>
      </c>
      <c r="B1082" s="24" t="s">
        <v>67</v>
      </c>
      <c r="C1082" s="24" t="s">
        <v>281</v>
      </c>
      <c r="D1082" s="25">
        <v>43837</v>
      </c>
      <c r="E1082" s="25">
        <v>705081</v>
      </c>
      <c r="F1082" s="26">
        <v>87461</v>
      </c>
      <c r="G1082" s="27">
        <v>12.404389999999999</v>
      </c>
    </row>
    <row r="1083" spans="1:7" hidden="1" x14ac:dyDescent="0.25">
      <c r="A1083" s="24" t="s">
        <v>1244</v>
      </c>
      <c r="B1083" s="24" t="s">
        <v>64</v>
      </c>
      <c r="C1083" s="24" t="s">
        <v>281</v>
      </c>
      <c r="D1083" s="25">
        <v>48243</v>
      </c>
      <c r="E1083" s="25">
        <v>1022634</v>
      </c>
      <c r="F1083" s="26">
        <v>114457</v>
      </c>
      <c r="G1083" s="27">
        <v>11.192372000000001</v>
      </c>
    </row>
    <row r="1084" spans="1:7" hidden="1" x14ac:dyDescent="0.25">
      <c r="A1084" s="24" t="s">
        <v>1245</v>
      </c>
      <c r="B1084" s="24" t="s">
        <v>64</v>
      </c>
      <c r="C1084" s="24" t="s">
        <v>281</v>
      </c>
      <c r="D1084" s="25">
        <v>18775</v>
      </c>
      <c r="E1084" s="25">
        <v>585887</v>
      </c>
      <c r="F1084" s="26">
        <v>55375</v>
      </c>
      <c r="G1084" s="27">
        <v>9.4514812999999993</v>
      </c>
    </row>
    <row r="1085" spans="1:7" hidden="1" x14ac:dyDescent="0.25">
      <c r="A1085" s="24" t="s">
        <v>1246</v>
      </c>
      <c r="B1085" s="24" t="s">
        <v>64</v>
      </c>
      <c r="C1085" s="24" t="s">
        <v>283</v>
      </c>
      <c r="D1085" s="25">
        <v>4644</v>
      </c>
      <c r="E1085" s="25">
        <v>116801</v>
      </c>
      <c r="F1085" s="26">
        <v>10985</v>
      </c>
      <c r="G1085" s="27">
        <v>9.4048852000000007</v>
      </c>
    </row>
    <row r="1086" spans="1:7" hidden="1" x14ac:dyDescent="0.25">
      <c r="A1086" s="24" t="s">
        <v>1247</v>
      </c>
      <c r="B1086" s="24" t="s">
        <v>64</v>
      </c>
      <c r="C1086" s="24" t="s">
        <v>281</v>
      </c>
      <c r="D1086" s="25">
        <v>36382</v>
      </c>
      <c r="E1086" s="25">
        <v>826255</v>
      </c>
      <c r="F1086" s="26">
        <v>86221</v>
      </c>
      <c r="G1086" s="27">
        <v>10.435155999999999</v>
      </c>
    </row>
    <row r="1087" spans="1:7" hidden="1" x14ac:dyDescent="0.25">
      <c r="A1087" s="24" t="s">
        <v>1248</v>
      </c>
      <c r="B1087" s="24" t="s">
        <v>64</v>
      </c>
      <c r="C1087" s="24" t="s">
        <v>283</v>
      </c>
      <c r="D1087" s="25">
        <v>3258</v>
      </c>
      <c r="E1087" s="25">
        <v>198442</v>
      </c>
      <c r="F1087" s="26">
        <v>14649</v>
      </c>
      <c r="G1087" s="27">
        <v>7.3820058</v>
      </c>
    </row>
    <row r="1088" spans="1:7" hidden="1" x14ac:dyDescent="0.25">
      <c r="A1088" s="24" t="s">
        <v>1249</v>
      </c>
      <c r="B1088" s="24" t="s">
        <v>64</v>
      </c>
      <c r="C1088" s="24" t="s">
        <v>283</v>
      </c>
      <c r="D1088" s="25">
        <v>4010</v>
      </c>
      <c r="E1088" s="25">
        <v>133137</v>
      </c>
      <c r="F1088" s="26">
        <v>13311</v>
      </c>
      <c r="G1088" s="27">
        <v>9.9979720000000007</v>
      </c>
    </row>
    <row r="1089" spans="1:7" hidden="1" x14ac:dyDescent="0.25">
      <c r="A1089" s="24" t="s">
        <v>1250</v>
      </c>
      <c r="B1089" s="24" t="s">
        <v>64</v>
      </c>
      <c r="C1089" s="24" t="s">
        <v>283</v>
      </c>
      <c r="D1089" s="25">
        <v>12918</v>
      </c>
      <c r="E1089" s="25">
        <v>366365</v>
      </c>
      <c r="F1089" s="26">
        <v>36735</v>
      </c>
      <c r="G1089" s="27">
        <v>10.026885999999999</v>
      </c>
    </row>
    <row r="1090" spans="1:7" hidden="1" x14ac:dyDescent="0.25">
      <c r="A1090" s="24" t="s">
        <v>1251</v>
      </c>
      <c r="B1090" s="24" t="s">
        <v>64</v>
      </c>
      <c r="C1090" s="24" t="s">
        <v>283</v>
      </c>
      <c r="D1090" s="25">
        <v>11623</v>
      </c>
      <c r="E1090" s="25">
        <v>216470</v>
      </c>
      <c r="F1090" s="26">
        <v>24832</v>
      </c>
      <c r="G1090" s="27">
        <v>11.471336000000001</v>
      </c>
    </row>
    <row r="1091" spans="1:7" hidden="1" x14ac:dyDescent="0.25">
      <c r="A1091" s="24" t="s">
        <v>1252</v>
      </c>
      <c r="B1091" s="24" t="s">
        <v>64</v>
      </c>
      <c r="C1091" s="24" t="s">
        <v>283</v>
      </c>
      <c r="D1091" s="25">
        <v>1205</v>
      </c>
      <c r="E1091" s="25">
        <v>24542</v>
      </c>
      <c r="F1091" s="26">
        <v>2868</v>
      </c>
      <c r="G1091" s="27">
        <v>11.686089000000001</v>
      </c>
    </row>
    <row r="1092" spans="1:7" hidden="1" x14ac:dyDescent="0.25">
      <c r="A1092" s="24" t="s">
        <v>1253</v>
      </c>
      <c r="B1092" s="24" t="s">
        <v>64</v>
      </c>
      <c r="C1092" s="24" t="s">
        <v>283</v>
      </c>
      <c r="D1092" s="25">
        <v>10710</v>
      </c>
      <c r="E1092" s="25">
        <v>314409</v>
      </c>
      <c r="F1092" s="26">
        <v>29533</v>
      </c>
      <c r="G1092" s="27">
        <v>9.3931789000000006</v>
      </c>
    </row>
    <row r="1093" spans="1:7" hidden="1" x14ac:dyDescent="0.25">
      <c r="A1093" s="24" t="s">
        <v>1254</v>
      </c>
      <c r="B1093" s="24" t="s">
        <v>64</v>
      </c>
      <c r="C1093" s="24" t="s">
        <v>283</v>
      </c>
      <c r="D1093" s="25">
        <v>5253</v>
      </c>
      <c r="E1093" s="25">
        <v>88242</v>
      </c>
      <c r="F1093" s="26">
        <v>10187</v>
      </c>
      <c r="G1093" s="27">
        <v>11.544389000000001</v>
      </c>
    </row>
    <row r="1094" spans="1:7" hidden="1" x14ac:dyDescent="0.25">
      <c r="A1094" s="24" t="s">
        <v>1255</v>
      </c>
      <c r="B1094" s="24" t="s">
        <v>64</v>
      </c>
      <c r="C1094" s="24" t="s">
        <v>283</v>
      </c>
      <c r="D1094" s="25">
        <v>9472</v>
      </c>
      <c r="E1094" s="25">
        <v>221125</v>
      </c>
      <c r="F1094" s="26">
        <v>23233</v>
      </c>
      <c r="G1094" s="27">
        <v>10.506727</v>
      </c>
    </row>
    <row r="1095" spans="1:7" hidden="1" x14ac:dyDescent="0.25">
      <c r="A1095" s="24" t="s">
        <v>1256</v>
      </c>
      <c r="B1095" s="24" t="s">
        <v>64</v>
      </c>
      <c r="C1095" s="24" t="s">
        <v>283</v>
      </c>
      <c r="D1095" s="25">
        <v>3848</v>
      </c>
      <c r="E1095" s="25">
        <v>118893</v>
      </c>
      <c r="F1095" s="26">
        <v>11802</v>
      </c>
      <c r="G1095" s="27">
        <v>9.9265726000000001</v>
      </c>
    </row>
    <row r="1096" spans="1:7" hidden="1" x14ac:dyDescent="0.25">
      <c r="A1096" s="24" t="s">
        <v>1257</v>
      </c>
      <c r="B1096" s="24" t="s">
        <v>64</v>
      </c>
      <c r="C1096" s="24" t="s">
        <v>283</v>
      </c>
      <c r="D1096" s="25">
        <v>13545</v>
      </c>
      <c r="E1096" s="25">
        <v>418536</v>
      </c>
      <c r="F1096" s="26">
        <v>39929</v>
      </c>
      <c r="G1096" s="27">
        <v>9.5401589999999992</v>
      </c>
    </row>
    <row r="1097" spans="1:7" hidden="1" x14ac:dyDescent="0.25">
      <c r="A1097" s="24" t="s">
        <v>1258</v>
      </c>
      <c r="B1097" s="24" t="s">
        <v>64</v>
      </c>
      <c r="C1097" s="24" t="s">
        <v>283</v>
      </c>
      <c r="D1097" s="25">
        <v>15408</v>
      </c>
      <c r="E1097" s="25">
        <v>617758</v>
      </c>
      <c r="F1097" s="26">
        <v>53025</v>
      </c>
      <c r="G1097" s="27">
        <v>8.5834582000000008</v>
      </c>
    </row>
    <row r="1098" spans="1:7" hidden="1" x14ac:dyDescent="0.25">
      <c r="A1098" s="24" t="s">
        <v>1259</v>
      </c>
      <c r="B1098" s="24" t="s">
        <v>64</v>
      </c>
      <c r="C1098" s="24" t="s">
        <v>283</v>
      </c>
      <c r="D1098" s="25">
        <v>2014</v>
      </c>
      <c r="E1098" s="25">
        <v>66356</v>
      </c>
      <c r="F1098" s="26">
        <v>5216</v>
      </c>
      <c r="G1098" s="27">
        <v>7.8606305000000001</v>
      </c>
    </row>
    <row r="1099" spans="1:7" hidden="1" x14ac:dyDescent="0.25">
      <c r="A1099" s="24" t="s">
        <v>1260</v>
      </c>
      <c r="B1099" s="24" t="s">
        <v>64</v>
      </c>
      <c r="C1099" s="24" t="s">
        <v>283</v>
      </c>
      <c r="D1099" s="25">
        <v>3894</v>
      </c>
      <c r="E1099" s="25">
        <v>78537</v>
      </c>
      <c r="F1099" s="26">
        <v>9368</v>
      </c>
      <c r="G1099" s="27">
        <v>11.928136</v>
      </c>
    </row>
    <row r="1100" spans="1:7" hidden="1" x14ac:dyDescent="0.25">
      <c r="A1100" s="24" t="s">
        <v>1261</v>
      </c>
      <c r="B1100" s="24" t="s">
        <v>64</v>
      </c>
      <c r="C1100" s="24" t="s">
        <v>283</v>
      </c>
      <c r="D1100" s="25">
        <v>6704</v>
      </c>
      <c r="E1100" s="25">
        <v>142760</v>
      </c>
      <c r="F1100" s="26">
        <v>14944</v>
      </c>
      <c r="G1100" s="27">
        <v>10.467917999999999</v>
      </c>
    </row>
    <row r="1101" spans="1:7" hidden="1" x14ac:dyDescent="0.25">
      <c r="A1101" s="24" t="s">
        <v>1262</v>
      </c>
      <c r="B1101" s="24" t="s">
        <v>64</v>
      </c>
      <c r="C1101" s="24" t="s">
        <v>281</v>
      </c>
      <c r="D1101" s="25">
        <v>8005</v>
      </c>
      <c r="E1101" s="25">
        <v>161652</v>
      </c>
      <c r="F1101" s="26">
        <v>18027</v>
      </c>
      <c r="G1101" s="27">
        <v>11.151733</v>
      </c>
    </row>
    <row r="1102" spans="1:7" hidden="1" x14ac:dyDescent="0.25">
      <c r="A1102" s="24" t="s">
        <v>1263</v>
      </c>
      <c r="B1102" s="24" t="s">
        <v>64</v>
      </c>
      <c r="C1102" s="24" t="s">
        <v>281</v>
      </c>
      <c r="D1102" s="25">
        <v>81831</v>
      </c>
      <c r="E1102" s="25">
        <v>1678305</v>
      </c>
      <c r="F1102" s="26">
        <v>181382</v>
      </c>
      <c r="G1102" s="27">
        <v>10.807452</v>
      </c>
    </row>
    <row r="1103" spans="1:7" hidden="1" x14ac:dyDescent="0.25">
      <c r="A1103" s="24" t="s">
        <v>1264</v>
      </c>
      <c r="B1103" s="24" t="s">
        <v>64</v>
      </c>
      <c r="C1103" s="24" t="s">
        <v>281</v>
      </c>
      <c r="D1103" s="25">
        <v>28111</v>
      </c>
      <c r="E1103" s="25">
        <v>479049</v>
      </c>
      <c r="F1103" s="26">
        <v>56848.7</v>
      </c>
      <c r="G1103" s="27">
        <v>11.866991000000001</v>
      </c>
    </row>
    <row r="1104" spans="1:7" hidden="1" x14ac:dyDescent="0.25">
      <c r="A1104" s="24" t="s">
        <v>1265</v>
      </c>
      <c r="B1104" s="24" t="s">
        <v>64</v>
      </c>
      <c r="C1104" s="24" t="s">
        <v>281</v>
      </c>
      <c r="D1104" s="25">
        <v>38905</v>
      </c>
      <c r="E1104" s="25">
        <v>800120</v>
      </c>
      <c r="F1104" s="26">
        <v>89072.4</v>
      </c>
      <c r="G1104" s="27">
        <v>11.132379999999999</v>
      </c>
    </row>
    <row r="1105" spans="1:7" hidden="1" x14ac:dyDescent="0.25">
      <c r="A1105" s="24" t="s">
        <v>1266</v>
      </c>
      <c r="B1105" s="24" t="s">
        <v>64</v>
      </c>
      <c r="C1105" s="24" t="s">
        <v>281</v>
      </c>
      <c r="D1105" s="25">
        <v>12804</v>
      </c>
      <c r="E1105" s="25">
        <v>219214</v>
      </c>
      <c r="F1105" s="26">
        <v>27286</v>
      </c>
      <c r="G1105" s="27">
        <v>12.447198</v>
      </c>
    </row>
    <row r="1106" spans="1:7" hidden="1" x14ac:dyDescent="0.25">
      <c r="A1106" s="24" t="s">
        <v>1267</v>
      </c>
      <c r="B1106" s="24" t="s">
        <v>64</v>
      </c>
      <c r="C1106" s="24" t="s">
        <v>278</v>
      </c>
      <c r="D1106" s="25">
        <v>449068</v>
      </c>
      <c r="E1106" s="25">
        <v>13047701</v>
      </c>
      <c r="F1106" s="26">
        <v>1124695.3</v>
      </c>
      <c r="G1106" s="27">
        <v>8.6198733000000001</v>
      </c>
    </row>
    <row r="1107" spans="1:7" hidden="1" x14ac:dyDescent="0.25">
      <c r="A1107" s="24" t="s">
        <v>1268</v>
      </c>
      <c r="B1107" s="24" t="s">
        <v>64</v>
      </c>
      <c r="C1107" s="24" t="s">
        <v>283</v>
      </c>
      <c r="D1107" s="25">
        <v>9300</v>
      </c>
      <c r="E1107" s="25">
        <v>266436</v>
      </c>
      <c r="F1107" s="26">
        <v>26320</v>
      </c>
      <c r="G1107" s="27">
        <v>9.8785448999999996</v>
      </c>
    </row>
    <row r="1108" spans="1:7" hidden="1" x14ac:dyDescent="0.25">
      <c r="A1108" s="24" t="s">
        <v>1269</v>
      </c>
      <c r="B1108" s="24" t="s">
        <v>64</v>
      </c>
      <c r="C1108" s="24" t="s">
        <v>283</v>
      </c>
      <c r="D1108" s="25">
        <v>3471</v>
      </c>
      <c r="E1108" s="25">
        <v>119949</v>
      </c>
      <c r="F1108" s="26">
        <v>11075</v>
      </c>
      <c r="G1108" s="27">
        <v>9.2330907</v>
      </c>
    </row>
    <row r="1109" spans="1:7" hidden="1" x14ac:dyDescent="0.25">
      <c r="A1109" s="24" t="s">
        <v>1270</v>
      </c>
      <c r="B1109" s="24" t="s">
        <v>64</v>
      </c>
      <c r="C1109" s="24" t="s">
        <v>281</v>
      </c>
      <c r="D1109" s="25">
        <v>31654</v>
      </c>
      <c r="E1109" s="25">
        <v>606272</v>
      </c>
      <c r="F1109" s="26">
        <v>69040</v>
      </c>
      <c r="G1109" s="27">
        <v>11.387627999999999</v>
      </c>
    </row>
    <row r="1110" spans="1:7" hidden="1" x14ac:dyDescent="0.25">
      <c r="A1110" s="24" t="s">
        <v>1271</v>
      </c>
      <c r="B1110" s="24" t="s">
        <v>64</v>
      </c>
      <c r="C1110" s="24" t="s">
        <v>278</v>
      </c>
      <c r="D1110" s="25">
        <v>187594</v>
      </c>
      <c r="E1110" s="25">
        <v>9587826</v>
      </c>
      <c r="F1110" s="26">
        <v>871064</v>
      </c>
      <c r="G1110" s="27">
        <v>9.0851044000000005</v>
      </c>
    </row>
    <row r="1111" spans="1:7" hidden="1" x14ac:dyDescent="0.25">
      <c r="A1111" s="24" t="s">
        <v>1272</v>
      </c>
      <c r="B1111" s="24" t="s">
        <v>64</v>
      </c>
      <c r="C1111" s="24" t="s">
        <v>281</v>
      </c>
      <c r="D1111" s="25">
        <v>11218</v>
      </c>
      <c r="E1111" s="25">
        <v>196072</v>
      </c>
      <c r="F1111" s="26">
        <v>22387</v>
      </c>
      <c r="G1111" s="27">
        <v>11.417745</v>
      </c>
    </row>
    <row r="1112" spans="1:7" hidden="1" x14ac:dyDescent="0.25">
      <c r="A1112" s="24" t="s">
        <v>1273</v>
      </c>
      <c r="B1112" s="24" t="s">
        <v>64</v>
      </c>
      <c r="C1112" s="24" t="s">
        <v>281</v>
      </c>
      <c r="D1112" s="25">
        <v>15853</v>
      </c>
      <c r="E1112" s="25">
        <v>308826</v>
      </c>
      <c r="F1112" s="26">
        <v>34848</v>
      </c>
      <c r="G1112" s="27">
        <v>11.284024</v>
      </c>
    </row>
    <row r="1113" spans="1:7" hidden="1" x14ac:dyDescent="0.25">
      <c r="A1113" s="24" t="s">
        <v>1274</v>
      </c>
      <c r="B1113" s="24" t="s">
        <v>64</v>
      </c>
      <c r="C1113" s="24" t="s">
        <v>281</v>
      </c>
      <c r="D1113" s="25">
        <v>25846</v>
      </c>
      <c r="E1113" s="25">
        <v>622408</v>
      </c>
      <c r="F1113" s="26">
        <v>65024</v>
      </c>
      <c r="G1113" s="27">
        <v>10.447165999999999</v>
      </c>
    </row>
    <row r="1114" spans="1:7" hidden="1" x14ac:dyDescent="0.25">
      <c r="A1114" s="24" t="s">
        <v>1275</v>
      </c>
      <c r="B1114" s="24" t="s">
        <v>64</v>
      </c>
      <c r="C1114" s="24" t="s">
        <v>281</v>
      </c>
      <c r="D1114" s="25">
        <v>30976</v>
      </c>
      <c r="E1114" s="25">
        <v>1002089</v>
      </c>
      <c r="F1114" s="26">
        <v>98946</v>
      </c>
      <c r="G1114" s="27">
        <v>9.8739732999999994</v>
      </c>
    </row>
    <row r="1115" spans="1:7" hidden="1" x14ac:dyDescent="0.25">
      <c r="A1115" s="24" t="s">
        <v>1276</v>
      </c>
      <c r="B1115" s="24" t="s">
        <v>64</v>
      </c>
      <c r="C1115" s="24" t="s">
        <v>281</v>
      </c>
      <c r="D1115" s="25">
        <v>49167</v>
      </c>
      <c r="E1115" s="25">
        <v>992822</v>
      </c>
      <c r="F1115" s="26">
        <v>118463.9</v>
      </c>
      <c r="G1115" s="27">
        <v>11.932038</v>
      </c>
    </row>
    <row r="1116" spans="1:7" hidden="1" x14ac:dyDescent="0.25">
      <c r="A1116" s="24" t="s">
        <v>1277</v>
      </c>
      <c r="B1116" s="24" t="s">
        <v>64</v>
      </c>
      <c r="C1116" s="24" t="s">
        <v>281</v>
      </c>
      <c r="D1116" s="25">
        <v>19150</v>
      </c>
      <c r="E1116" s="25">
        <v>407120</v>
      </c>
      <c r="F1116" s="26">
        <v>45651</v>
      </c>
      <c r="G1116" s="27">
        <v>11.213156</v>
      </c>
    </row>
    <row r="1117" spans="1:7" hidden="1" x14ac:dyDescent="0.25">
      <c r="A1117" s="24" t="s">
        <v>1278</v>
      </c>
      <c r="B1117" s="24" t="s">
        <v>64</v>
      </c>
      <c r="C1117" s="24" t="s">
        <v>281</v>
      </c>
      <c r="D1117" s="25">
        <v>13810</v>
      </c>
      <c r="E1117" s="25">
        <v>340510</v>
      </c>
      <c r="F1117" s="26">
        <v>31986</v>
      </c>
      <c r="G1117" s="27">
        <v>9.3935566999999995</v>
      </c>
    </row>
    <row r="1118" spans="1:7" hidden="1" x14ac:dyDescent="0.25">
      <c r="A1118" s="24" t="s">
        <v>1279</v>
      </c>
      <c r="B1118" s="24" t="s">
        <v>64</v>
      </c>
      <c r="C1118" s="24" t="s">
        <v>283</v>
      </c>
      <c r="D1118" s="25">
        <v>5189</v>
      </c>
      <c r="E1118" s="25">
        <v>99552</v>
      </c>
      <c r="F1118" s="26">
        <v>10289.4</v>
      </c>
      <c r="G1118" s="27">
        <v>10.335704</v>
      </c>
    </row>
    <row r="1119" spans="1:7" hidden="1" x14ac:dyDescent="0.25">
      <c r="A1119" s="24" t="s">
        <v>345</v>
      </c>
      <c r="B1119" s="24" t="s">
        <v>64</v>
      </c>
      <c r="C1119" s="24" t="s">
        <v>281</v>
      </c>
      <c r="D1119" s="25">
        <v>73524</v>
      </c>
      <c r="E1119" s="25">
        <v>1304937</v>
      </c>
      <c r="F1119" s="26">
        <v>143649.9</v>
      </c>
      <c r="G1119" s="27">
        <v>11.008187</v>
      </c>
    </row>
    <row r="1120" spans="1:7" hidden="1" x14ac:dyDescent="0.25">
      <c r="A1120" s="24" t="s">
        <v>1280</v>
      </c>
      <c r="B1120" s="24" t="s">
        <v>64</v>
      </c>
      <c r="C1120" s="24" t="s">
        <v>281</v>
      </c>
      <c r="D1120" s="25">
        <v>67277</v>
      </c>
      <c r="E1120" s="25">
        <v>1844950</v>
      </c>
      <c r="F1120" s="26">
        <v>189808</v>
      </c>
      <c r="G1120" s="27">
        <v>10.287974999999999</v>
      </c>
    </row>
    <row r="1121" spans="1:7" hidden="1" x14ac:dyDescent="0.25">
      <c r="A1121" s="24" t="s">
        <v>1281</v>
      </c>
      <c r="B1121" s="24" t="s">
        <v>64</v>
      </c>
      <c r="C1121" s="24" t="s">
        <v>281</v>
      </c>
      <c r="D1121" s="25">
        <v>25430</v>
      </c>
      <c r="E1121" s="25">
        <v>455587</v>
      </c>
      <c r="F1121" s="26">
        <v>52524.1</v>
      </c>
      <c r="G1121" s="27">
        <v>11.528885000000001</v>
      </c>
    </row>
    <row r="1122" spans="1:7" hidden="1" x14ac:dyDescent="0.25">
      <c r="A1122" s="24" t="s">
        <v>1282</v>
      </c>
      <c r="B1122" s="24" t="s">
        <v>64</v>
      </c>
      <c r="C1122" s="24" t="s">
        <v>281</v>
      </c>
      <c r="D1122" s="25">
        <v>27564</v>
      </c>
      <c r="E1122" s="25">
        <v>636926</v>
      </c>
      <c r="F1122" s="26">
        <v>68951</v>
      </c>
      <c r="G1122" s="27">
        <v>10.82559</v>
      </c>
    </row>
    <row r="1123" spans="1:7" hidden="1" x14ac:dyDescent="0.25">
      <c r="A1123" s="24" t="s">
        <v>350</v>
      </c>
      <c r="B1123" s="24" t="s">
        <v>64</v>
      </c>
      <c r="C1123" s="24" t="s">
        <v>351</v>
      </c>
      <c r="D1123" s="25">
        <v>8</v>
      </c>
      <c r="E1123" s="25">
        <v>4515094</v>
      </c>
      <c r="F1123" s="26">
        <v>166244</v>
      </c>
      <c r="G1123" s="27">
        <v>3.6819609999999998</v>
      </c>
    </row>
    <row r="1124" spans="1:7" hidden="1" x14ac:dyDescent="0.25">
      <c r="A1124" s="24" t="s">
        <v>1283</v>
      </c>
      <c r="B1124" s="24" t="s">
        <v>64</v>
      </c>
      <c r="C1124" s="24" t="s">
        <v>281</v>
      </c>
      <c r="D1124" s="25">
        <v>13642</v>
      </c>
      <c r="E1124" s="25">
        <v>317267</v>
      </c>
      <c r="F1124" s="26">
        <v>33556</v>
      </c>
      <c r="G1124" s="27">
        <v>10.576580999999999</v>
      </c>
    </row>
    <row r="1125" spans="1:7" hidden="1" x14ac:dyDescent="0.25">
      <c r="A1125" s="24" t="s">
        <v>1284</v>
      </c>
      <c r="B1125" s="24" t="s">
        <v>64</v>
      </c>
      <c r="C1125" s="24" t="s">
        <v>281</v>
      </c>
      <c r="D1125" s="25">
        <v>13412</v>
      </c>
      <c r="E1125" s="25">
        <v>266131</v>
      </c>
      <c r="F1125" s="26">
        <v>28990</v>
      </c>
      <c r="G1125" s="27">
        <v>10.893132</v>
      </c>
    </row>
    <row r="1126" spans="1:7" hidden="1" x14ac:dyDescent="0.25">
      <c r="A1126" s="24" t="s">
        <v>1285</v>
      </c>
      <c r="B1126" s="24" t="s">
        <v>64</v>
      </c>
      <c r="C1126" s="24" t="s">
        <v>281</v>
      </c>
      <c r="D1126" s="25">
        <v>43474</v>
      </c>
      <c r="E1126" s="25">
        <v>1074141</v>
      </c>
      <c r="F1126" s="26">
        <v>108851</v>
      </c>
      <c r="G1126" s="27">
        <v>10.133772</v>
      </c>
    </row>
    <row r="1127" spans="1:7" hidden="1" x14ac:dyDescent="0.25">
      <c r="A1127" s="24" t="s">
        <v>1286</v>
      </c>
      <c r="B1127" s="24" t="s">
        <v>64</v>
      </c>
      <c r="C1127" s="24" t="s">
        <v>281</v>
      </c>
      <c r="D1127" s="25">
        <v>12460</v>
      </c>
      <c r="E1127" s="25">
        <v>193591</v>
      </c>
      <c r="F1127" s="26">
        <v>29124.9</v>
      </c>
      <c r="G1127" s="27">
        <v>15.044553000000001</v>
      </c>
    </row>
    <row r="1128" spans="1:7" hidden="1" x14ac:dyDescent="0.25">
      <c r="A1128" s="24" t="s">
        <v>1287</v>
      </c>
      <c r="B1128" s="24" t="s">
        <v>64</v>
      </c>
      <c r="C1128" s="24" t="s">
        <v>281</v>
      </c>
      <c r="D1128" s="25">
        <v>10419</v>
      </c>
      <c r="E1128" s="25">
        <v>545586</v>
      </c>
      <c r="F1128" s="26">
        <v>48573</v>
      </c>
      <c r="G1128" s="27">
        <v>8.9029044000000006</v>
      </c>
    </row>
    <row r="1129" spans="1:7" hidden="1" x14ac:dyDescent="0.25">
      <c r="A1129" s="24" t="s">
        <v>742</v>
      </c>
      <c r="B1129" s="24" t="s">
        <v>70</v>
      </c>
      <c r="C1129" s="24" t="s">
        <v>278</v>
      </c>
      <c r="D1129" s="25">
        <v>36</v>
      </c>
      <c r="E1129" s="25">
        <v>956</v>
      </c>
      <c r="F1129" s="26">
        <v>87.9</v>
      </c>
      <c r="G1129" s="27">
        <v>9.1945607000000003</v>
      </c>
    </row>
    <row r="1130" spans="1:7" hidden="1" x14ac:dyDescent="0.25">
      <c r="A1130" s="24" t="s">
        <v>1288</v>
      </c>
      <c r="B1130" s="24" t="s">
        <v>70</v>
      </c>
      <c r="C1130" s="24" t="s">
        <v>281</v>
      </c>
      <c r="D1130" s="25">
        <v>5676</v>
      </c>
      <c r="E1130" s="25">
        <v>59887</v>
      </c>
      <c r="F1130" s="26">
        <v>7821.9</v>
      </c>
      <c r="G1130" s="27">
        <v>13.061097999999999</v>
      </c>
    </row>
    <row r="1131" spans="1:7" hidden="1" x14ac:dyDescent="0.25">
      <c r="A1131" s="24" t="s">
        <v>1289</v>
      </c>
      <c r="B1131" s="24" t="s">
        <v>70</v>
      </c>
      <c r="C1131" s="24" t="s">
        <v>281</v>
      </c>
      <c r="D1131" s="25">
        <v>3671</v>
      </c>
      <c r="E1131" s="25">
        <v>60705</v>
      </c>
      <c r="F1131" s="26">
        <v>7088.4</v>
      </c>
      <c r="G1131" s="27">
        <v>11.676798</v>
      </c>
    </row>
    <row r="1132" spans="1:7" hidden="1" x14ac:dyDescent="0.25">
      <c r="A1132" s="24" t="s">
        <v>1290</v>
      </c>
      <c r="B1132" s="24" t="s">
        <v>70</v>
      </c>
      <c r="C1132" s="24" t="s">
        <v>281</v>
      </c>
      <c r="D1132" s="25">
        <v>73</v>
      </c>
      <c r="E1132" s="25">
        <v>19657</v>
      </c>
      <c r="F1132" s="26">
        <v>2301</v>
      </c>
      <c r="G1132" s="27">
        <v>11.705754000000001</v>
      </c>
    </row>
    <row r="1133" spans="1:7" hidden="1" x14ac:dyDescent="0.25">
      <c r="A1133" s="24" t="s">
        <v>1291</v>
      </c>
      <c r="B1133" s="24" t="s">
        <v>70</v>
      </c>
      <c r="C1133" s="24" t="s">
        <v>278</v>
      </c>
      <c r="D1133" s="25">
        <v>42</v>
      </c>
      <c r="E1133" s="25">
        <v>114568</v>
      </c>
      <c r="F1133" s="26">
        <v>8042.7</v>
      </c>
      <c r="G1133" s="27">
        <v>7.0200230000000001</v>
      </c>
    </row>
    <row r="1134" spans="1:7" hidden="1" x14ac:dyDescent="0.25">
      <c r="A1134" s="24" t="s">
        <v>747</v>
      </c>
      <c r="B1134" s="24" t="s">
        <v>70</v>
      </c>
      <c r="C1134" s="24" t="s">
        <v>281</v>
      </c>
      <c r="D1134" s="25">
        <v>1954</v>
      </c>
      <c r="E1134" s="25">
        <v>49446</v>
      </c>
      <c r="F1134" s="26">
        <v>4465</v>
      </c>
      <c r="G1134" s="27">
        <v>9.0300530000000006</v>
      </c>
    </row>
    <row r="1135" spans="1:7" hidden="1" x14ac:dyDescent="0.25">
      <c r="A1135" s="24" t="s">
        <v>1292</v>
      </c>
      <c r="B1135" s="24" t="s">
        <v>70</v>
      </c>
      <c r="C1135" s="24" t="s">
        <v>281</v>
      </c>
      <c r="D1135" s="25">
        <v>6431</v>
      </c>
      <c r="E1135" s="25">
        <v>226733</v>
      </c>
      <c r="F1135" s="26">
        <v>22617</v>
      </c>
      <c r="G1135" s="27">
        <v>9.9751689999999993</v>
      </c>
    </row>
    <row r="1136" spans="1:7" hidden="1" x14ac:dyDescent="0.25">
      <c r="A1136" s="24" t="s">
        <v>1293</v>
      </c>
      <c r="B1136" s="24" t="s">
        <v>70</v>
      </c>
      <c r="C1136" s="24" t="s">
        <v>281</v>
      </c>
      <c r="D1136" s="25">
        <v>65745</v>
      </c>
      <c r="E1136" s="25">
        <v>1494682</v>
      </c>
      <c r="F1136" s="26">
        <v>118316.4</v>
      </c>
      <c r="G1136" s="27">
        <v>7.9158242000000003</v>
      </c>
    </row>
    <row r="1137" spans="1:7" hidden="1" x14ac:dyDescent="0.25">
      <c r="A1137" s="24" t="s">
        <v>1294</v>
      </c>
      <c r="B1137" s="24" t="s">
        <v>70</v>
      </c>
      <c r="C1137" s="24" t="s">
        <v>281</v>
      </c>
      <c r="D1137" s="25">
        <v>7765</v>
      </c>
      <c r="E1137" s="25">
        <v>173725</v>
      </c>
      <c r="F1137" s="26">
        <v>15908.6</v>
      </c>
      <c r="G1137" s="27">
        <v>9.1573463999999998</v>
      </c>
    </row>
    <row r="1138" spans="1:7" hidden="1" x14ac:dyDescent="0.25">
      <c r="A1138" s="24" t="s">
        <v>1295</v>
      </c>
      <c r="B1138" s="24" t="s">
        <v>70</v>
      </c>
      <c r="C1138" s="24" t="s">
        <v>281</v>
      </c>
      <c r="D1138" s="25">
        <v>14</v>
      </c>
      <c r="E1138" s="25">
        <v>137</v>
      </c>
      <c r="F1138" s="26">
        <v>16</v>
      </c>
      <c r="G1138" s="27">
        <v>11.678832</v>
      </c>
    </row>
    <row r="1139" spans="1:7" hidden="1" x14ac:dyDescent="0.25">
      <c r="A1139" s="24" t="s">
        <v>1296</v>
      </c>
      <c r="B1139" s="24" t="s">
        <v>70</v>
      </c>
      <c r="C1139" s="24" t="s">
        <v>281</v>
      </c>
      <c r="D1139" s="25">
        <v>3856</v>
      </c>
      <c r="E1139" s="25">
        <v>162121</v>
      </c>
      <c r="F1139" s="26">
        <v>16278.4</v>
      </c>
      <c r="G1139" s="27">
        <v>10.040895000000001</v>
      </c>
    </row>
    <row r="1140" spans="1:7" hidden="1" x14ac:dyDescent="0.25">
      <c r="A1140" s="24" t="s">
        <v>1297</v>
      </c>
      <c r="B1140" s="24" t="s">
        <v>70</v>
      </c>
      <c r="C1140" s="24" t="s">
        <v>281</v>
      </c>
      <c r="D1140" s="25">
        <v>5858</v>
      </c>
      <c r="E1140" s="25">
        <v>120587</v>
      </c>
      <c r="F1140" s="26">
        <v>10785</v>
      </c>
      <c r="G1140" s="27">
        <v>8.9437502000000002</v>
      </c>
    </row>
    <row r="1141" spans="1:7" hidden="1" x14ac:dyDescent="0.25">
      <c r="A1141" s="24" t="s">
        <v>1298</v>
      </c>
      <c r="B1141" s="24" t="s">
        <v>70</v>
      </c>
      <c r="C1141" s="24" t="s">
        <v>281</v>
      </c>
      <c r="D1141" s="25">
        <v>5069</v>
      </c>
      <c r="E1141" s="25">
        <v>198775</v>
      </c>
      <c r="F1141" s="26">
        <v>20090.400000000001</v>
      </c>
      <c r="G1141" s="27">
        <v>10.107106</v>
      </c>
    </row>
    <row r="1142" spans="1:7" hidden="1" x14ac:dyDescent="0.25">
      <c r="A1142" s="24" t="s">
        <v>1299</v>
      </c>
      <c r="B1142" s="24" t="s">
        <v>70</v>
      </c>
      <c r="C1142" s="24" t="s">
        <v>281</v>
      </c>
      <c r="D1142" s="25">
        <v>3829</v>
      </c>
      <c r="E1142" s="25">
        <v>81648</v>
      </c>
      <c r="F1142" s="26">
        <v>6573</v>
      </c>
      <c r="G1142" s="27">
        <v>8.0504114999999992</v>
      </c>
    </row>
    <row r="1143" spans="1:7" hidden="1" x14ac:dyDescent="0.25">
      <c r="A1143" s="24" t="s">
        <v>1300</v>
      </c>
      <c r="B1143" s="24" t="s">
        <v>70</v>
      </c>
      <c r="C1143" s="24" t="s">
        <v>281</v>
      </c>
      <c r="D1143" s="25">
        <v>5301</v>
      </c>
      <c r="E1143" s="25">
        <v>74239</v>
      </c>
      <c r="F1143" s="26">
        <v>9618.7000000000007</v>
      </c>
      <c r="G1143" s="27">
        <v>12.956398</v>
      </c>
    </row>
    <row r="1144" spans="1:7" hidden="1" x14ac:dyDescent="0.25">
      <c r="A1144" s="24" t="s">
        <v>1301</v>
      </c>
      <c r="B1144" s="24" t="s">
        <v>70</v>
      </c>
      <c r="C1144" s="24" t="s">
        <v>281</v>
      </c>
      <c r="D1144" s="25">
        <v>113</v>
      </c>
      <c r="E1144" s="25">
        <v>646</v>
      </c>
      <c r="F1144" s="26">
        <v>69.8</v>
      </c>
      <c r="G1144" s="27">
        <v>10.804954</v>
      </c>
    </row>
    <row r="1145" spans="1:7" hidden="1" x14ac:dyDescent="0.25">
      <c r="A1145" s="24" t="s">
        <v>1302</v>
      </c>
      <c r="B1145" s="24" t="s">
        <v>70</v>
      </c>
      <c r="C1145" s="24" t="s">
        <v>281</v>
      </c>
      <c r="D1145" s="25">
        <v>2022</v>
      </c>
      <c r="E1145" s="25">
        <v>29680</v>
      </c>
      <c r="F1145" s="26">
        <v>4140.3999999999996</v>
      </c>
      <c r="G1145" s="27">
        <v>13.950135</v>
      </c>
    </row>
    <row r="1146" spans="1:7" hidden="1" x14ac:dyDescent="0.25">
      <c r="A1146" s="24" t="s">
        <v>752</v>
      </c>
      <c r="B1146" s="24" t="s">
        <v>70</v>
      </c>
      <c r="C1146" s="24" t="s">
        <v>281</v>
      </c>
      <c r="D1146" s="25">
        <v>14735</v>
      </c>
      <c r="E1146" s="25">
        <v>228537</v>
      </c>
      <c r="F1146" s="26">
        <v>21869</v>
      </c>
      <c r="G1146" s="27">
        <v>9.5691289000000008</v>
      </c>
    </row>
    <row r="1147" spans="1:7" hidden="1" x14ac:dyDescent="0.25">
      <c r="A1147" s="24" t="s">
        <v>1303</v>
      </c>
      <c r="B1147" s="24" t="s">
        <v>70</v>
      </c>
      <c r="C1147" s="24" t="s">
        <v>278</v>
      </c>
      <c r="D1147" s="25">
        <v>25707</v>
      </c>
      <c r="E1147" s="25">
        <v>809360</v>
      </c>
      <c r="F1147" s="26">
        <v>61576</v>
      </c>
      <c r="G1147" s="27">
        <v>7.6079866000000003</v>
      </c>
    </row>
    <row r="1148" spans="1:7" hidden="1" x14ac:dyDescent="0.25">
      <c r="A1148" s="24" t="s">
        <v>1304</v>
      </c>
      <c r="B1148" s="24" t="s">
        <v>70</v>
      </c>
      <c r="C1148" s="24" t="s">
        <v>278</v>
      </c>
      <c r="D1148" s="25">
        <v>366767</v>
      </c>
      <c r="E1148" s="25">
        <v>6119687</v>
      </c>
      <c r="F1148" s="26">
        <v>695520.3</v>
      </c>
      <c r="G1148" s="27">
        <v>11.365292</v>
      </c>
    </row>
    <row r="1149" spans="1:7" hidden="1" x14ac:dyDescent="0.25">
      <c r="A1149" s="24" t="s">
        <v>753</v>
      </c>
      <c r="B1149" s="24" t="s">
        <v>70</v>
      </c>
      <c r="C1149" s="24" t="s">
        <v>281</v>
      </c>
      <c r="D1149" s="25">
        <v>4295</v>
      </c>
      <c r="E1149" s="25">
        <v>56490</v>
      </c>
      <c r="F1149" s="26">
        <v>7602</v>
      </c>
      <c r="G1149" s="27">
        <v>13.457248999999999</v>
      </c>
    </row>
    <row r="1150" spans="1:7" hidden="1" x14ac:dyDescent="0.25">
      <c r="A1150" s="24" t="s">
        <v>1305</v>
      </c>
      <c r="B1150" s="24" t="s">
        <v>70</v>
      </c>
      <c r="C1150" s="24" t="s">
        <v>281</v>
      </c>
      <c r="D1150" s="25">
        <v>5944</v>
      </c>
      <c r="E1150" s="25">
        <v>169963</v>
      </c>
      <c r="F1150" s="26">
        <v>14633.5</v>
      </c>
      <c r="G1150" s="27">
        <v>8.6098151000000005</v>
      </c>
    </row>
    <row r="1151" spans="1:7" hidden="1" x14ac:dyDescent="0.25">
      <c r="A1151" s="24" t="s">
        <v>1306</v>
      </c>
      <c r="B1151" s="24" t="s">
        <v>70</v>
      </c>
      <c r="C1151" s="24" t="s">
        <v>281</v>
      </c>
      <c r="D1151" s="25">
        <v>179</v>
      </c>
      <c r="E1151" s="25">
        <v>93314</v>
      </c>
      <c r="F1151" s="26">
        <v>7108.8</v>
      </c>
      <c r="G1151" s="27">
        <v>7.6181495000000004</v>
      </c>
    </row>
    <row r="1152" spans="1:7" hidden="1" x14ac:dyDescent="0.25">
      <c r="A1152" s="24" t="s">
        <v>1307</v>
      </c>
      <c r="B1152" s="24" t="s">
        <v>70</v>
      </c>
      <c r="C1152" s="24" t="s">
        <v>281</v>
      </c>
      <c r="D1152" s="25">
        <v>10383</v>
      </c>
      <c r="E1152" s="25">
        <v>159312</v>
      </c>
      <c r="F1152" s="26">
        <v>14986.5</v>
      </c>
      <c r="G1152" s="27">
        <v>9.4070126999999992</v>
      </c>
    </row>
    <row r="1153" spans="1:7" hidden="1" x14ac:dyDescent="0.25">
      <c r="A1153" s="24" t="s">
        <v>1308</v>
      </c>
      <c r="B1153" s="24" t="s">
        <v>70</v>
      </c>
      <c r="C1153" s="24" t="s">
        <v>281</v>
      </c>
      <c r="D1153" s="25">
        <v>3565</v>
      </c>
      <c r="E1153" s="25">
        <v>89500</v>
      </c>
      <c r="F1153" s="26">
        <v>12216</v>
      </c>
      <c r="G1153" s="27">
        <v>13.649162</v>
      </c>
    </row>
    <row r="1154" spans="1:7" hidden="1" x14ac:dyDescent="0.25">
      <c r="A1154" s="24" t="s">
        <v>1309</v>
      </c>
      <c r="B1154" s="24" t="s">
        <v>70</v>
      </c>
      <c r="C1154" s="24" t="s">
        <v>281</v>
      </c>
      <c r="D1154" s="25">
        <v>5836</v>
      </c>
      <c r="E1154" s="25">
        <v>93396</v>
      </c>
      <c r="F1154" s="26">
        <v>10847.2</v>
      </c>
      <c r="G1154" s="27">
        <v>11.614202000000001</v>
      </c>
    </row>
    <row r="1155" spans="1:7" hidden="1" x14ac:dyDescent="0.25">
      <c r="A1155" s="24" t="s">
        <v>1310</v>
      </c>
      <c r="B1155" s="24" t="s">
        <v>70</v>
      </c>
      <c r="C1155" s="24" t="s">
        <v>281</v>
      </c>
      <c r="D1155" s="25">
        <v>4993</v>
      </c>
      <c r="E1155" s="25">
        <v>100099</v>
      </c>
      <c r="F1155" s="26">
        <v>13174</v>
      </c>
      <c r="G1155" s="27">
        <v>13.160971</v>
      </c>
    </row>
    <row r="1156" spans="1:7" hidden="1" x14ac:dyDescent="0.25">
      <c r="A1156" s="24" t="s">
        <v>1311</v>
      </c>
      <c r="B1156" s="24" t="s">
        <v>70</v>
      </c>
      <c r="C1156" s="24" t="s">
        <v>351</v>
      </c>
      <c r="D1156" s="25">
        <v>21290</v>
      </c>
      <c r="E1156" s="25">
        <v>388011</v>
      </c>
      <c r="F1156" s="26">
        <v>25096</v>
      </c>
      <c r="G1156" s="27">
        <v>6.4678579000000003</v>
      </c>
    </row>
    <row r="1157" spans="1:7" hidden="1" x14ac:dyDescent="0.25">
      <c r="A1157" s="24" t="s">
        <v>757</v>
      </c>
      <c r="B1157" s="24" t="s">
        <v>70</v>
      </c>
      <c r="C1157" s="24" t="s">
        <v>281</v>
      </c>
      <c r="D1157" s="25">
        <v>9844</v>
      </c>
      <c r="E1157" s="25">
        <v>170190</v>
      </c>
      <c r="F1157" s="26">
        <v>13299.9</v>
      </c>
      <c r="G1157" s="27">
        <v>7.8147365000000004</v>
      </c>
    </row>
    <row r="1158" spans="1:7" hidden="1" x14ac:dyDescent="0.25">
      <c r="A1158" s="24" t="s">
        <v>422</v>
      </c>
      <c r="B1158" s="24" t="s">
        <v>70</v>
      </c>
      <c r="C1158" s="24" t="s">
        <v>351</v>
      </c>
      <c r="D1158" s="25">
        <v>15</v>
      </c>
      <c r="E1158" s="25">
        <v>118644</v>
      </c>
      <c r="F1158" s="26">
        <v>2351.3000000000002</v>
      </c>
      <c r="G1158" s="27">
        <v>1.9818111</v>
      </c>
    </row>
    <row r="1159" spans="1:7" hidden="1" x14ac:dyDescent="0.25">
      <c r="A1159" s="24" t="s">
        <v>1312</v>
      </c>
      <c r="B1159" s="24" t="s">
        <v>70</v>
      </c>
      <c r="C1159" s="24" t="s">
        <v>281</v>
      </c>
      <c r="D1159" s="25">
        <v>19703</v>
      </c>
      <c r="E1159" s="25">
        <v>278951</v>
      </c>
      <c r="F1159" s="26">
        <v>34578</v>
      </c>
      <c r="G1159" s="27">
        <v>12.395725000000001</v>
      </c>
    </row>
    <row r="1160" spans="1:7" hidden="1" x14ac:dyDescent="0.25">
      <c r="A1160" s="24" t="s">
        <v>1313</v>
      </c>
      <c r="B1160" s="24" t="s">
        <v>89</v>
      </c>
      <c r="C1160" s="24" t="s">
        <v>281</v>
      </c>
      <c r="D1160" s="25">
        <v>12818</v>
      </c>
      <c r="E1160" s="25">
        <v>213329</v>
      </c>
      <c r="F1160" s="26">
        <v>26714</v>
      </c>
      <c r="G1160" s="27">
        <v>12.522442</v>
      </c>
    </row>
    <row r="1161" spans="1:7" hidden="1" x14ac:dyDescent="0.25">
      <c r="A1161" s="24" t="s">
        <v>1314</v>
      </c>
      <c r="B1161" s="24" t="s">
        <v>89</v>
      </c>
      <c r="C1161" s="24" t="s">
        <v>281</v>
      </c>
      <c r="D1161" s="25">
        <v>75859</v>
      </c>
      <c r="E1161" s="25">
        <v>1047118</v>
      </c>
      <c r="F1161" s="26">
        <v>122342</v>
      </c>
      <c r="G1161" s="27">
        <v>11.683688</v>
      </c>
    </row>
    <row r="1162" spans="1:7" hidden="1" x14ac:dyDescent="0.25">
      <c r="A1162" s="24" t="s">
        <v>578</v>
      </c>
      <c r="B1162" s="24" t="s">
        <v>89</v>
      </c>
      <c r="C1162" s="24" t="s">
        <v>281</v>
      </c>
      <c r="D1162" s="25">
        <v>17742</v>
      </c>
      <c r="E1162" s="25">
        <v>189369</v>
      </c>
      <c r="F1162" s="26">
        <v>25552</v>
      </c>
      <c r="G1162" s="27">
        <v>13.493233</v>
      </c>
    </row>
    <row r="1163" spans="1:7" hidden="1" x14ac:dyDescent="0.25">
      <c r="A1163" s="24" t="s">
        <v>1315</v>
      </c>
      <c r="B1163" s="24" t="s">
        <v>89</v>
      </c>
      <c r="C1163" s="24" t="s">
        <v>281</v>
      </c>
      <c r="D1163" s="25">
        <v>417</v>
      </c>
      <c r="E1163" s="25">
        <v>5420</v>
      </c>
      <c r="F1163" s="26">
        <v>795.1</v>
      </c>
      <c r="G1163" s="27">
        <v>14.669741999999999</v>
      </c>
    </row>
    <row r="1164" spans="1:7" hidden="1" x14ac:dyDescent="0.25">
      <c r="A1164" s="24" t="s">
        <v>1316</v>
      </c>
      <c r="B1164" s="24" t="s">
        <v>89</v>
      </c>
      <c r="C1164" s="24" t="s">
        <v>281</v>
      </c>
      <c r="D1164" s="25">
        <v>91012</v>
      </c>
      <c r="E1164" s="25">
        <v>1328155</v>
      </c>
      <c r="F1164" s="26">
        <v>161924</v>
      </c>
      <c r="G1164" s="27">
        <v>12.191649</v>
      </c>
    </row>
    <row r="1165" spans="1:7" hidden="1" x14ac:dyDescent="0.25">
      <c r="A1165" s="24" t="s">
        <v>1317</v>
      </c>
      <c r="B1165" s="24" t="s">
        <v>89</v>
      </c>
      <c r="C1165" s="24" t="s">
        <v>281</v>
      </c>
      <c r="D1165" s="25">
        <v>7731</v>
      </c>
      <c r="E1165" s="25">
        <v>128003</v>
      </c>
      <c r="F1165" s="26">
        <v>16520</v>
      </c>
      <c r="G1165" s="27">
        <v>12.905948</v>
      </c>
    </row>
    <row r="1166" spans="1:7" hidden="1" x14ac:dyDescent="0.25">
      <c r="A1166" s="24" t="s">
        <v>1318</v>
      </c>
      <c r="B1166" s="24" t="s">
        <v>89</v>
      </c>
      <c r="C1166" s="24" t="s">
        <v>281</v>
      </c>
      <c r="D1166" s="25">
        <v>40110</v>
      </c>
      <c r="E1166" s="25">
        <v>573844</v>
      </c>
      <c r="F1166" s="26">
        <v>63591.4</v>
      </c>
      <c r="G1166" s="27">
        <v>11.081652999999999</v>
      </c>
    </row>
    <row r="1167" spans="1:7" hidden="1" x14ac:dyDescent="0.25">
      <c r="A1167" s="24" t="s">
        <v>1319</v>
      </c>
      <c r="B1167" s="24" t="s">
        <v>89</v>
      </c>
      <c r="C1167" s="24" t="s">
        <v>281</v>
      </c>
      <c r="D1167" s="25">
        <v>22619</v>
      </c>
      <c r="E1167" s="25">
        <v>410500</v>
      </c>
      <c r="F1167" s="26">
        <v>50202.6</v>
      </c>
      <c r="G1167" s="27">
        <v>12.229622000000001</v>
      </c>
    </row>
    <row r="1168" spans="1:7" hidden="1" x14ac:dyDescent="0.25">
      <c r="A1168" s="24" t="s">
        <v>1320</v>
      </c>
      <c r="B1168" s="24" t="s">
        <v>89</v>
      </c>
      <c r="C1168" s="24" t="s">
        <v>283</v>
      </c>
      <c r="D1168" s="25">
        <v>12124</v>
      </c>
      <c r="E1168" s="25">
        <v>278239</v>
      </c>
      <c r="F1168" s="26">
        <v>32610.2</v>
      </c>
      <c r="G1168" s="27">
        <v>11.720212</v>
      </c>
    </row>
    <row r="1169" spans="1:7" hidden="1" x14ac:dyDescent="0.25">
      <c r="A1169" s="24" t="s">
        <v>1321</v>
      </c>
      <c r="B1169" s="24" t="s">
        <v>89</v>
      </c>
      <c r="C1169" s="24" t="s">
        <v>283</v>
      </c>
      <c r="D1169" s="25">
        <v>30131</v>
      </c>
      <c r="E1169" s="25">
        <v>890388</v>
      </c>
      <c r="F1169" s="26">
        <v>79435.199999999997</v>
      </c>
      <c r="G1169" s="27">
        <v>8.9214140000000004</v>
      </c>
    </row>
    <row r="1170" spans="1:7" hidden="1" x14ac:dyDescent="0.25">
      <c r="A1170" s="24" t="s">
        <v>1322</v>
      </c>
      <c r="B1170" s="24" t="s">
        <v>89</v>
      </c>
      <c r="C1170" s="24" t="s">
        <v>283</v>
      </c>
      <c r="D1170" s="25">
        <v>12603</v>
      </c>
      <c r="E1170" s="25">
        <v>295048</v>
      </c>
      <c r="F1170" s="26">
        <v>29244</v>
      </c>
      <c r="G1170" s="27">
        <v>9.9116076</v>
      </c>
    </row>
    <row r="1171" spans="1:7" hidden="1" x14ac:dyDescent="0.25">
      <c r="A1171" s="24" t="s">
        <v>1323</v>
      </c>
      <c r="B1171" s="24" t="s">
        <v>89</v>
      </c>
      <c r="C1171" s="24" t="s">
        <v>283</v>
      </c>
      <c r="D1171" s="25">
        <v>27577</v>
      </c>
      <c r="E1171" s="25">
        <v>659886</v>
      </c>
      <c r="F1171" s="26">
        <v>74765.5</v>
      </c>
      <c r="G1171" s="27">
        <v>11.330063000000001</v>
      </c>
    </row>
    <row r="1172" spans="1:7" hidden="1" x14ac:dyDescent="0.25">
      <c r="A1172" s="24" t="s">
        <v>1324</v>
      </c>
      <c r="B1172" s="24" t="s">
        <v>89</v>
      </c>
      <c r="C1172" s="24" t="s">
        <v>283</v>
      </c>
      <c r="D1172" s="25">
        <v>4886</v>
      </c>
      <c r="E1172" s="25">
        <v>142156</v>
      </c>
      <c r="F1172" s="26">
        <v>13650</v>
      </c>
      <c r="G1172" s="27">
        <v>9.6021272</v>
      </c>
    </row>
    <row r="1173" spans="1:7" hidden="1" x14ac:dyDescent="0.25">
      <c r="A1173" s="24" t="s">
        <v>1325</v>
      </c>
      <c r="B1173" s="24" t="s">
        <v>89</v>
      </c>
      <c r="C1173" s="24" t="s">
        <v>283</v>
      </c>
      <c r="D1173" s="25">
        <v>11604</v>
      </c>
      <c r="E1173" s="25">
        <v>445208</v>
      </c>
      <c r="F1173" s="26">
        <v>46304</v>
      </c>
      <c r="G1173" s="27">
        <v>10.400532</v>
      </c>
    </row>
    <row r="1174" spans="1:7" hidden="1" x14ac:dyDescent="0.25">
      <c r="A1174" s="24" t="s">
        <v>1326</v>
      </c>
      <c r="B1174" s="24" t="s">
        <v>89</v>
      </c>
      <c r="C1174" s="24" t="s">
        <v>283</v>
      </c>
      <c r="D1174" s="25">
        <v>5611</v>
      </c>
      <c r="E1174" s="25">
        <v>131294</v>
      </c>
      <c r="F1174" s="26">
        <v>14461.4</v>
      </c>
      <c r="G1174" s="27">
        <v>11.014517</v>
      </c>
    </row>
    <row r="1175" spans="1:7" hidden="1" x14ac:dyDescent="0.25">
      <c r="A1175" s="24" t="s">
        <v>1327</v>
      </c>
      <c r="B1175" s="24" t="s">
        <v>89</v>
      </c>
      <c r="C1175" s="24" t="s">
        <v>283</v>
      </c>
      <c r="D1175" s="25">
        <v>18692</v>
      </c>
      <c r="E1175" s="25">
        <v>375608</v>
      </c>
      <c r="F1175" s="26">
        <v>48856.5</v>
      </c>
      <c r="G1175" s="27">
        <v>13.007311</v>
      </c>
    </row>
    <row r="1176" spans="1:7" hidden="1" x14ac:dyDescent="0.25">
      <c r="A1176" s="24" t="s">
        <v>1328</v>
      </c>
      <c r="B1176" s="24" t="s">
        <v>89</v>
      </c>
      <c r="C1176" s="24" t="s">
        <v>283</v>
      </c>
      <c r="D1176" s="25">
        <v>11560</v>
      </c>
      <c r="E1176" s="25">
        <v>239383</v>
      </c>
      <c r="F1176" s="26">
        <v>28584</v>
      </c>
      <c r="G1176" s="27">
        <v>11.940697999999999</v>
      </c>
    </row>
    <row r="1177" spans="1:7" hidden="1" x14ac:dyDescent="0.25">
      <c r="A1177" s="24" t="s">
        <v>1329</v>
      </c>
      <c r="B1177" s="24" t="s">
        <v>89</v>
      </c>
      <c r="C1177" s="24" t="s">
        <v>283</v>
      </c>
      <c r="D1177" s="25">
        <v>10879</v>
      </c>
      <c r="E1177" s="25">
        <v>707395</v>
      </c>
      <c r="F1177" s="26">
        <v>60929.3</v>
      </c>
      <c r="G1177" s="27">
        <v>8.6131934999999995</v>
      </c>
    </row>
    <row r="1178" spans="1:7" hidden="1" x14ac:dyDescent="0.25">
      <c r="A1178" s="24" t="s">
        <v>1330</v>
      </c>
      <c r="B1178" s="24" t="s">
        <v>89</v>
      </c>
      <c r="C1178" s="24" t="s">
        <v>283</v>
      </c>
      <c r="D1178" s="25">
        <v>8326</v>
      </c>
      <c r="E1178" s="25">
        <v>325405</v>
      </c>
      <c r="F1178" s="26">
        <v>30846</v>
      </c>
      <c r="G1178" s="27">
        <v>9.4792643000000005</v>
      </c>
    </row>
    <row r="1179" spans="1:7" hidden="1" x14ac:dyDescent="0.25">
      <c r="A1179" s="24" t="s">
        <v>1331</v>
      </c>
      <c r="B1179" s="24" t="s">
        <v>89</v>
      </c>
      <c r="C1179" s="24" t="s">
        <v>283</v>
      </c>
      <c r="D1179" s="25">
        <v>22519</v>
      </c>
      <c r="E1179" s="25">
        <v>441675</v>
      </c>
      <c r="F1179" s="26">
        <v>50020</v>
      </c>
      <c r="G1179" s="27">
        <v>11.325068999999999</v>
      </c>
    </row>
    <row r="1180" spans="1:7" hidden="1" x14ac:dyDescent="0.25">
      <c r="A1180" s="24" t="s">
        <v>1332</v>
      </c>
      <c r="B1180" s="24" t="s">
        <v>89</v>
      </c>
      <c r="C1180" s="24" t="s">
        <v>283</v>
      </c>
      <c r="D1180" s="25">
        <v>4542</v>
      </c>
      <c r="E1180" s="25">
        <v>137936</v>
      </c>
      <c r="F1180" s="26">
        <v>14279.1</v>
      </c>
      <c r="G1180" s="27">
        <v>10.351974999999999</v>
      </c>
    </row>
    <row r="1181" spans="1:7" hidden="1" x14ac:dyDescent="0.25">
      <c r="A1181" s="24" t="s">
        <v>1333</v>
      </c>
      <c r="B1181" s="24" t="s">
        <v>89</v>
      </c>
      <c r="C1181" s="24" t="s">
        <v>283</v>
      </c>
      <c r="D1181" s="25">
        <v>27831</v>
      </c>
      <c r="E1181" s="25">
        <v>690526</v>
      </c>
      <c r="F1181" s="26">
        <v>76400</v>
      </c>
      <c r="G1181" s="27">
        <v>11.064029</v>
      </c>
    </row>
    <row r="1182" spans="1:7" hidden="1" x14ac:dyDescent="0.25">
      <c r="A1182" s="24" t="s">
        <v>1334</v>
      </c>
      <c r="B1182" s="24" t="s">
        <v>89</v>
      </c>
      <c r="C1182" s="24" t="s">
        <v>283</v>
      </c>
      <c r="D1182" s="25">
        <v>8251</v>
      </c>
      <c r="E1182" s="25">
        <v>187798</v>
      </c>
      <c r="F1182" s="26">
        <v>19677</v>
      </c>
      <c r="G1182" s="27">
        <v>10.477747000000001</v>
      </c>
    </row>
    <row r="1183" spans="1:7" hidden="1" x14ac:dyDescent="0.25">
      <c r="A1183" s="24" t="s">
        <v>1335</v>
      </c>
      <c r="B1183" s="24" t="s">
        <v>89</v>
      </c>
      <c r="C1183" s="24" t="s">
        <v>283</v>
      </c>
      <c r="D1183" s="25">
        <v>13381</v>
      </c>
      <c r="E1183" s="25">
        <v>455129</v>
      </c>
      <c r="F1183" s="26">
        <v>47752.3</v>
      </c>
      <c r="G1183" s="27">
        <v>10.492036000000001</v>
      </c>
    </row>
    <row r="1184" spans="1:7" hidden="1" x14ac:dyDescent="0.25">
      <c r="A1184" s="24" t="s">
        <v>1336</v>
      </c>
      <c r="B1184" s="24" t="s">
        <v>89</v>
      </c>
      <c r="C1184" s="24" t="s">
        <v>283</v>
      </c>
      <c r="D1184" s="25">
        <v>13752</v>
      </c>
      <c r="E1184" s="25">
        <v>271551</v>
      </c>
      <c r="F1184" s="26">
        <v>33891.599999999999</v>
      </c>
      <c r="G1184" s="27">
        <v>12.480748999999999</v>
      </c>
    </row>
    <row r="1185" spans="1:7" hidden="1" x14ac:dyDescent="0.25">
      <c r="A1185" s="24" t="s">
        <v>1337</v>
      </c>
      <c r="B1185" s="24" t="s">
        <v>89</v>
      </c>
      <c r="C1185" s="24" t="s">
        <v>283</v>
      </c>
      <c r="D1185" s="25">
        <v>34237</v>
      </c>
      <c r="E1185" s="25">
        <v>1201775</v>
      </c>
      <c r="F1185" s="26">
        <v>118203.4</v>
      </c>
      <c r="G1185" s="27">
        <v>9.8357346000000003</v>
      </c>
    </row>
    <row r="1186" spans="1:7" hidden="1" x14ac:dyDescent="0.25">
      <c r="A1186" s="24" t="s">
        <v>1338</v>
      </c>
      <c r="B1186" s="24" t="s">
        <v>89</v>
      </c>
      <c r="C1186" s="24" t="s">
        <v>278</v>
      </c>
      <c r="D1186" s="25">
        <v>1974982</v>
      </c>
      <c r="E1186" s="25">
        <v>56293559</v>
      </c>
      <c r="F1186" s="26">
        <v>4616183.5</v>
      </c>
      <c r="G1186" s="27">
        <v>8.2001983999999997</v>
      </c>
    </row>
    <row r="1187" spans="1:7" hidden="1" x14ac:dyDescent="0.25">
      <c r="A1187" s="24" t="s">
        <v>1339</v>
      </c>
      <c r="B1187" s="24" t="s">
        <v>89</v>
      </c>
      <c r="C1187" s="24" t="s">
        <v>278</v>
      </c>
      <c r="D1187" s="25">
        <v>1390064</v>
      </c>
      <c r="E1187" s="25">
        <v>37023167</v>
      </c>
      <c r="F1187" s="26">
        <v>3188785</v>
      </c>
      <c r="G1187" s="27">
        <v>8.6129449999999999</v>
      </c>
    </row>
    <row r="1188" spans="1:7" hidden="1" x14ac:dyDescent="0.25">
      <c r="A1188" s="24" t="s">
        <v>1340</v>
      </c>
      <c r="B1188" s="24" t="s">
        <v>89</v>
      </c>
      <c r="C1188" s="24" t="s">
        <v>281</v>
      </c>
      <c r="D1188" s="25">
        <v>11305</v>
      </c>
      <c r="E1188" s="25">
        <v>220959</v>
      </c>
      <c r="F1188" s="26">
        <v>26171</v>
      </c>
      <c r="G1188" s="27">
        <v>11.844279</v>
      </c>
    </row>
    <row r="1189" spans="1:7" hidden="1" x14ac:dyDescent="0.25">
      <c r="A1189" s="24" t="s">
        <v>1341</v>
      </c>
      <c r="B1189" s="24" t="s">
        <v>89</v>
      </c>
      <c r="C1189" s="24" t="s">
        <v>281</v>
      </c>
      <c r="D1189" s="25">
        <v>128256</v>
      </c>
      <c r="E1189" s="25">
        <v>2517130</v>
      </c>
      <c r="F1189" s="26">
        <v>249417</v>
      </c>
      <c r="G1189" s="27">
        <v>9.908785</v>
      </c>
    </row>
    <row r="1190" spans="1:7" hidden="1" x14ac:dyDescent="0.25">
      <c r="A1190" s="24" t="s">
        <v>1342</v>
      </c>
      <c r="B1190" s="24" t="s">
        <v>89</v>
      </c>
      <c r="C1190" s="24" t="s">
        <v>283</v>
      </c>
      <c r="D1190" s="25">
        <v>81831</v>
      </c>
      <c r="E1190" s="25">
        <v>1967324</v>
      </c>
      <c r="F1190" s="26">
        <v>202777</v>
      </c>
      <c r="G1190" s="27">
        <v>10.30725</v>
      </c>
    </row>
    <row r="1191" spans="1:7" hidden="1" x14ac:dyDescent="0.25">
      <c r="A1191" s="24" t="s">
        <v>1343</v>
      </c>
      <c r="B1191" s="24" t="s">
        <v>89</v>
      </c>
      <c r="C1191" s="24" t="s">
        <v>281</v>
      </c>
      <c r="D1191" s="25">
        <v>33091</v>
      </c>
      <c r="E1191" s="25">
        <v>891998</v>
      </c>
      <c r="F1191" s="26">
        <v>89475.5</v>
      </c>
      <c r="G1191" s="27">
        <v>10.030908</v>
      </c>
    </row>
    <row r="1192" spans="1:7" hidden="1" x14ac:dyDescent="0.25">
      <c r="A1192" s="24" t="s">
        <v>1344</v>
      </c>
      <c r="B1192" s="24" t="s">
        <v>89</v>
      </c>
      <c r="C1192" s="24" t="s">
        <v>281</v>
      </c>
      <c r="D1192" s="25">
        <v>36970</v>
      </c>
      <c r="E1192" s="25">
        <v>494340</v>
      </c>
      <c r="F1192" s="26">
        <v>57091.5</v>
      </c>
      <c r="G1192" s="27">
        <v>11.549035</v>
      </c>
    </row>
    <row r="1193" spans="1:7" hidden="1" x14ac:dyDescent="0.25">
      <c r="A1193" s="24" t="s">
        <v>1345</v>
      </c>
      <c r="B1193" s="24" t="s">
        <v>89</v>
      </c>
      <c r="C1193" s="24" t="s">
        <v>283</v>
      </c>
      <c r="D1193" s="25">
        <v>66501</v>
      </c>
      <c r="E1193" s="25">
        <v>1700477</v>
      </c>
      <c r="F1193" s="26">
        <v>169162.2</v>
      </c>
      <c r="G1193" s="27">
        <v>9.9479264000000001</v>
      </c>
    </row>
    <row r="1194" spans="1:7" hidden="1" x14ac:dyDescent="0.25">
      <c r="A1194" s="24" t="s">
        <v>1346</v>
      </c>
      <c r="B1194" s="24" t="s">
        <v>89</v>
      </c>
      <c r="C1194" s="24" t="s">
        <v>281</v>
      </c>
      <c r="D1194" s="25">
        <v>11736</v>
      </c>
      <c r="E1194" s="25">
        <v>151864</v>
      </c>
      <c r="F1194" s="26">
        <v>22374</v>
      </c>
      <c r="G1194" s="27">
        <v>14.732919000000001</v>
      </c>
    </row>
    <row r="1195" spans="1:7" hidden="1" x14ac:dyDescent="0.25">
      <c r="A1195" s="24" t="s">
        <v>622</v>
      </c>
      <c r="B1195" s="24" t="s">
        <v>89</v>
      </c>
      <c r="C1195" s="24" t="s">
        <v>281</v>
      </c>
      <c r="D1195" s="25">
        <v>26701</v>
      </c>
      <c r="E1195" s="25">
        <v>271151</v>
      </c>
      <c r="F1195" s="26">
        <v>39849</v>
      </c>
      <c r="G1195" s="27">
        <v>14.696239</v>
      </c>
    </row>
    <row r="1196" spans="1:7" hidden="1" x14ac:dyDescent="0.25">
      <c r="A1196" s="24" t="s">
        <v>1347</v>
      </c>
      <c r="B1196" s="24" t="s">
        <v>89</v>
      </c>
      <c r="C1196" s="24" t="s">
        <v>281</v>
      </c>
      <c r="D1196" s="25">
        <v>74639</v>
      </c>
      <c r="E1196" s="25">
        <v>1161386</v>
      </c>
      <c r="F1196" s="26">
        <v>131269.1</v>
      </c>
      <c r="G1196" s="27">
        <v>11.302797</v>
      </c>
    </row>
    <row r="1197" spans="1:7" hidden="1" x14ac:dyDescent="0.25">
      <c r="A1197" s="24" t="s">
        <v>1348</v>
      </c>
      <c r="B1197" s="24" t="s">
        <v>89</v>
      </c>
      <c r="C1197" s="24" t="s">
        <v>281</v>
      </c>
      <c r="D1197" s="25">
        <v>60825</v>
      </c>
      <c r="E1197" s="25">
        <v>1249976</v>
      </c>
      <c r="F1197" s="26">
        <v>134099.29999999999</v>
      </c>
      <c r="G1197" s="27">
        <v>10.728149999999999</v>
      </c>
    </row>
    <row r="1198" spans="1:7" hidden="1" x14ac:dyDescent="0.25">
      <c r="A1198" s="24" t="s">
        <v>1349</v>
      </c>
      <c r="B1198" s="24" t="s">
        <v>89</v>
      </c>
      <c r="C1198" s="24" t="s">
        <v>281</v>
      </c>
      <c r="D1198" s="25">
        <v>134</v>
      </c>
      <c r="E1198" s="25">
        <v>1646</v>
      </c>
      <c r="F1198" s="26">
        <v>202.1</v>
      </c>
      <c r="G1198" s="27">
        <v>12.27825</v>
      </c>
    </row>
    <row r="1199" spans="1:7" hidden="1" x14ac:dyDescent="0.25">
      <c r="A1199" s="24" t="s">
        <v>1350</v>
      </c>
      <c r="B1199" s="24" t="s">
        <v>89</v>
      </c>
      <c r="C1199" s="24" t="s">
        <v>281</v>
      </c>
      <c r="D1199" s="25">
        <v>18727</v>
      </c>
      <c r="E1199" s="25">
        <v>248979</v>
      </c>
      <c r="F1199" s="26">
        <v>27742</v>
      </c>
      <c r="G1199" s="27">
        <v>11.142305</v>
      </c>
    </row>
    <row r="1200" spans="1:7" hidden="1" x14ac:dyDescent="0.25">
      <c r="A1200" s="24" t="s">
        <v>1351</v>
      </c>
      <c r="B1200" s="24" t="s">
        <v>89</v>
      </c>
      <c r="C1200" s="24" t="s">
        <v>174</v>
      </c>
      <c r="D1200" s="25">
        <v>8116</v>
      </c>
      <c r="E1200" s="25">
        <v>205098</v>
      </c>
      <c r="F1200" s="26">
        <v>17532.5</v>
      </c>
      <c r="G1200" s="27">
        <v>8.5483525</v>
      </c>
    </row>
    <row r="1201" spans="1:7" hidden="1" x14ac:dyDescent="0.25">
      <c r="A1201" s="24" t="s">
        <v>1352</v>
      </c>
      <c r="B1201" s="24" t="s">
        <v>89</v>
      </c>
      <c r="C1201" s="24" t="s">
        <v>281</v>
      </c>
      <c r="D1201" s="25">
        <v>21037</v>
      </c>
      <c r="E1201" s="25">
        <v>372922</v>
      </c>
      <c r="F1201" s="26">
        <v>43042.9</v>
      </c>
      <c r="G1201" s="27">
        <v>11.542064999999999</v>
      </c>
    </row>
    <row r="1202" spans="1:7" hidden="1" x14ac:dyDescent="0.25">
      <c r="A1202" s="24" t="s">
        <v>1353</v>
      </c>
      <c r="B1202" s="24" t="s">
        <v>89</v>
      </c>
      <c r="C1202" s="24" t="s">
        <v>281</v>
      </c>
      <c r="D1202" s="25">
        <v>31663</v>
      </c>
      <c r="E1202" s="25">
        <v>466504</v>
      </c>
      <c r="F1202" s="26">
        <v>60607</v>
      </c>
      <c r="G1202" s="27">
        <v>12.991743</v>
      </c>
    </row>
    <row r="1203" spans="1:7" hidden="1" x14ac:dyDescent="0.25">
      <c r="A1203" s="24" t="s">
        <v>1354</v>
      </c>
      <c r="B1203" s="24" t="s">
        <v>89</v>
      </c>
      <c r="C1203" s="24" t="s">
        <v>281</v>
      </c>
      <c r="D1203" s="25">
        <v>8719</v>
      </c>
      <c r="E1203" s="25">
        <v>188936</v>
      </c>
      <c r="F1203" s="26">
        <v>22028.9</v>
      </c>
      <c r="G1203" s="27">
        <v>11.659451000000001</v>
      </c>
    </row>
    <row r="1204" spans="1:7" hidden="1" x14ac:dyDescent="0.25">
      <c r="A1204" s="24" t="s">
        <v>1355</v>
      </c>
      <c r="B1204" s="24" t="s">
        <v>89</v>
      </c>
      <c r="C1204" s="24" t="s">
        <v>281</v>
      </c>
      <c r="D1204" s="25">
        <v>31845</v>
      </c>
      <c r="E1204" s="25">
        <v>492853</v>
      </c>
      <c r="F1204" s="26">
        <v>59720.2</v>
      </c>
      <c r="G1204" s="27">
        <v>12.117243999999999</v>
      </c>
    </row>
    <row r="1205" spans="1:7" hidden="1" x14ac:dyDescent="0.25">
      <c r="A1205" s="24" t="s">
        <v>1356</v>
      </c>
      <c r="B1205" s="24" t="s">
        <v>89</v>
      </c>
      <c r="C1205" s="24" t="s">
        <v>281</v>
      </c>
      <c r="D1205" s="25">
        <v>14294</v>
      </c>
      <c r="E1205" s="25">
        <v>267392</v>
      </c>
      <c r="F1205" s="26">
        <v>34232</v>
      </c>
      <c r="G1205" s="27">
        <v>12.802178</v>
      </c>
    </row>
    <row r="1206" spans="1:7" hidden="1" x14ac:dyDescent="0.25">
      <c r="A1206" s="24" t="s">
        <v>1357</v>
      </c>
      <c r="B1206" s="24" t="s">
        <v>89</v>
      </c>
      <c r="C1206" s="24" t="s">
        <v>281</v>
      </c>
      <c r="D1206" s="25">
        <v>69490</v>
      </c>
      <c r="E1206" s="25">
        <v>1205639</v>
      </c>
      <c r="F1206" s="26">
        <v>129828</v>
      </c>
      <c r="G1206" s="27">
        <v>10.768397999999999</v>
      </c>
    </row>
    <row r="1207" spans="1:7" hidden="1" x14ac:dyDescent="0.25">
      <c r="A1207" s="24" t="s">
        <v>1358</v>
      </c>
      <c r="B1207" s="24" t="s">
        <v>89</v>
      </c>
      <c r="C1207" s="24" t="s">
        <v>281</v>
      </c>
      <c r="D1207" s="25">
        <v>44258</v>
      </c>
      <c r="E1207" s="25">
        <v>789728</v>
      </c>
      <c r="F1207" s="26">
        <v>91677.4</v>
      </c>
      <c r="G1207" s="27">
        <v>11.608731000000001</v>
      </c>
    </row>
    <row r="1208" spans="1:7" hidden="1" x14ac:dyDescent="0.25">
      <c r="A1208" s="24" t="s">
        <v>1359</v>
      </c>
      <c r="B1208" s="24" t="s">
        <v>89</v>
      </c>
      <c r="C1208" s="24" t="s">
        <v>281</v>
      </c>
      <c r="D1208" s="25">
        <v>27017</v>
      </c>
      <c r="E1208" s="25">
        <v>353253</v>
      </c>
      <c r="F1208" s="26">
        <v>48114.8</v>
      </c>
      <c r="G1208" s="27">
        <v>13.620493</v>
      </c>
    </row>
    <row r="1209" spans="1:7" hidden="1" x14ac:dyDescent="0.25">
      <c r="A1209" s="24" t="s">
        <v>350</v>
      </c>
      <c r="B1209" s="24" t="s">
        <v>89</v>
      </c>
      <c r="C1209" s="24" t="s">
        <v>351</v>
      </c>
      <c r="D1209" s="25">
        <v>4</v>
      </c>
      <c r="E1209" s="25">
        <v>3688</v>
      </c>
      <c r="F1209" s="26">
        <v>367</v>
      </c>
      <c r="G1209" s="27">
        <v>9.9511930999999993</v>
      </c>
    </row>
    <row r="1210" spans="1:7" hidden="1" x14ac:dyDescent="0.25">
      <c r="A1210" s="24" t="s">
        <v>1360</v>
      </c>
      <c r="B1210" s="24" t="s">
        <v>89</v>
      </c>
      <c r="C1210" s="24" t="s">
        <v>281</v>
      </c>
      <c r="D1210" s="25">
        <v>22899</v>
      </c>
      <c r="E1210" s="25">
        <v>344023</v>
      </c>
      <c r="F1210" s="26">
        <v>42662</v>
      </c>
      <c r="G1210" s="27">
        <v>12.400914999999999</v>
      </c>
    </row>
    <row r="1211" spans="1:7" hidden="1" x14ac:dyDescent="0.25">
      <c r="A1211" s="24" t="s">
        <v>1361</v>
      </c>
      <c r="B1211" s="24" t="s">
        <v>89</v>
      </c>
      <c r="C1211" s="24" t="s">
        <v>283</v>
      </c>
      <c r="D1211" s="25">
        <v>18403</v>
      </c>
      <c r="E1211" s="25">
        <v>303798</v>
      </c>
      <c r="F1211" s="26">
        <v>29220.1</v>
      </c>
      <c r="G1211" s="27">
        <v>9.6182660999999996</v>
      </c>
    </row>
    <row r="1212" spans="1:7" hidden="1" x14ac:dyDescent="0.25">
      <c r="A1212" s="24" t="s">
        <v>1362</v>
      </c>
      <c r="B1212" s="24" t="s">
        <v>89</v>
      </c>
      <c r="C1212" s="24" t="s">
        <v>283</v>
      </c>
      <c r="D1212" s="25">
        <v>4071</v>
      </c>
      <c r="E1212" s="25">
        <v>101787</v>
      </c>
      <c r="F1212" s="26">
        <v>10924</v>
      </c>
      <c r="G1212" s="27">
        <v>10.732215</v>
      </c>
    </row>
    <row r="1213" spans="1:7" hidden="1" x14ac:dyDescent="0.25">
      <c r="A1213" s="24" t="s">
        <v>529</v>
      </c>
      <c r="B1213" s="24" t="s">
        <v>89</v>
      </c>
      <c r="C1213" s="24" t="s">
        <v>283</v>
      </c>
      <c r="D1213" s="25">
        <v>6448</v>
      </c>
      <c r="E1213" s="25">
        <v>103500</v>
      </c>
      <c r="F1213" s="26">
        <v>13197</v>
      </c>
      <c r="G1213" s="27">
        <v>12.750724999999999</v>
      </c>
    </row>
    <row r="1214" spans="1:7" hidden="1" x14ac:dyDescent="0.25">
      <c r="A1214" s="24" t="s">
        <v>1363</v>
      </c>
      <c r="B1214" s="24" t="s">
        <v>89</v>
      </c>
      <c r="C1214" s="24" t="s">
        <v>283</v>
      </c>
      <c r="D1214" s="25">
        <v>4133</v>
      </c>
      <c r="E1214" s="25">
        <v>95379</v>
      </c>
      <c r="F1214" s="26">
        <v>10780</v>
      </c>
      <c r="G1214" s="27">
        <v>11.302277999999999</v>
      </c>
    </row>
    <row r="1215" spans="1:7" hidden="1" x14ac:dyDescent="0.25">
      <c r="A1215" s="24" t="s">
        <v>1364</v>
      </c>
      <c r="B1215" s="24" t="s">
        <v>89</v>
      </c>
      <c r="C1215" s="24" t="s">
        <v>283</v>
      </c>
      <c r="D1215" s="25">
        <v>4189</v>
      </c>
      <c r="E1215" s="25">
        <v>110126</v>
      </c>
      <c r="F1215" s="26">
        <v>11430</v>
      </c>
      <c r="G1215" s="27">
        <v>10.379020000000001</v>
      </c>
    </row>
    <row r="1216" spans="1:7" hidden="1" x14ac:dyDescent="0.25">
      <c r="A1216" s="24" t="s">
        <v>1365</v>
      </c>
      <c r="B1216" s="24" t="s">
        <v>89</v>
      </c>
      <c r="C1216" s="24" t="s">
        <v>283</v>
      </c>
      <c r="D1216" s="25">
        <v>42244</v>
      </c>
      <c r="E1216" s="25">
        <v>1120508</v>
      </c>
      <c r="F1216" s="26">
        <v>125725</v>
      </c>
      <c r="G1216" s="27">
        <v>11.220357</v>
      </c>
    </row>
    <row r="1217" spans="1:7" hidden="1" x14ac:dyDescent="0.25">
      <c r="A1217" s="24" t="s">
        <v>1366</v>
      </c>
      <c r="B1217" s="24" t="s">
        <v>89</v>
      </c>
      <c r="C1217" s="24" t="s">
        <v>283</v>
      </c>
      <c r="D1217" s="25">
        <v>5674</v>
      </c>
      <c r="E1217" s="25">
        <v>229986</v>
      </c>
      <c r="F1217" s="26">
        <v>17841.5</v>
      </c>
      <c r="G1217" s="27">
        <v>7.7576460999999997</v>
      </c>
    </row>
    <row r="1218" spans="1:7" hidden="1" x14ac:dyDescent="0.25">
      <c r="A1218" s="24" t="s">
        <v>1367</v>
      </c>
      <c r="B1218" s="24" t="s">
        <v>89</v>
      </c>
      <c r="C1218" s="24" t="s">
        <v>283</v>
      </c>
      <c r="D1218" s="25">
        <v>5029</v>
      </c>
      <c r="E1218" s="25">
        <v>131694</v>
      </c>
      <c r="F1218" s="26">
        <v>15048</v>
      </c>
      <c r="G1218" s="27">
        <v>11.426489</v>
      </c>
    </row>
    <row r="1219" spans="1:7" hidden="1" x14ac:dyDescent="0.25">
      <c r="A1219" s="24" t="s">
        <v>1368</v>
      </c>
      <c r="B1219" s="24" t="s">
        <v>89</v>
      </c>
      <c r="C1219" s="24" t="s">
        <v>283</v>
      </c>
      <c r="D1219" s="25">
        <v>3409</v>
      </c>
      <c r="E1219" s="25">
        <v>103581</v>
      </c>
      <c r="F1219" s="26">
        <v>11436</v>
      </c>
      <c r="G1219" s="27">
        <v>11.040635</v>
      </c>
    </row>
    <row r="1220" spans="1:7" hidden="1" x14ac:dyDescent="0.25">
      <c r="A1220" s="24" t="s">
        <v>1369</v>
      </c>
      <c r="B1220" s="24" t="s">
        <v>89</v>
      </c>
      <c r="C1220" s="24" t="s">
        <v>283</v>
      </c>
      <c r="D1220" s="25">
        <v>4466</v>
      </c>
      <c r="E1220" s="25">
        <v>168346</v>
      </c>
      <c r="F1220" s="26">
        <v>17386</v>
      </c>
      <c r="G1220" s="27">
        <v>10.327540000000001</v>
      </c>
    </row>
    <row r="1221" spans="1:7" hidden="1" x14ac:dyDescent="0.25">
      <c r="A1221" s="24" t="s">
        <v>1370</v>
      </c>
      <c r="B1221" s="24" t="s">
        <v>89</v>
      </c>
      <c r="C1221" s="24" t="s">
        <v>283</v>
      </c>
      <c r="D1221" s="25">
        <v>5776</v>
      </c>
      <c r="E1221" s="25">
        <v>220317</v>
      </c>
      <c r="F1221" s="26">
        <v>22161</v>
      </c>
      <c r="G1221" s="27">
        <v>10.058688</v>
      </c>
    </row>
    <row r="1222" spans="1:7" hidden="1" x14ac:dyDescent="0.25">
      <c r="A1222" s="24" t="s">
        <v>1371</v>
      </c>
      <c r="B1222" s="24" t="s">
        <v>89</v>
      </c>
      <c r="C1222" s="24" t="s">
        <v>283</v>
      </c>
      <c r="D1222" s="25">
        <v>6083</v>
      </c>
      <c r="E1222" s="25">
        <v>152840</v>
      </c>
      <c r="F1222" s="26">
        <v>19065.900000000001</v>
      </c>
      <c r="G1222" s="27">
        <v>12.474418</v>
      </c>
    </row>
    <row r="1223" spans="1:7" hidden="1" x14ac:dyDescent="0.25">
      <c r="A1223" s="24" t="s">
        <v>642</v>
      </c>
      <c r="B1223" s="24" t="s">
        <v>89</v>
      </c>
      <c r="C1223" s="24" t="s">
        <v>281</v>
      </c>
      <c r="D1223" s="25">
        <v>24886</v>
      </c>
      <c r="E1223" s="25">
        <v>529303</v>
      </c>
      <c r="F1223" s="26">
        <v>53536</v>
      </c>
      <c r="G1223" s="27">
        <v>10.114433999999999</v>
      </c>
    </row>
    <row r="1224" spans="1:7" hidden="1" x14ac:dyDescent="0.25">
      <c r="A1224" s="24" t="s">
        <v>643</v>
      </c>
      <c r="B1224" s="24" t="s">
        <v>89</v>
      </c>
      <c r="C1224" s="24" t="s">
        <v>281</v>
      </c>
      <c r="D1224" s="25">
        <v>1485</v>
      </c>
      <c r="E1224" s="25">
        <v>12738</v>
      </c>
      <c r="F1224" s="26">
        <v>1686</v>
      </c>
      <c r="G1224" s="27">
        <v>13.235987</v>
      </c>
    </row>
    <row r="1225" spans="1:7" hidden="1" x14ac:dyDescent="0.25">
      <c r="A1225" s="24" t="s">
        <v>1372</v>
      </c>
      <c r="B1225" s="24" t="s">
        <v>89</v>
      </c>
      <c r="C1225" s="24" t="s">
        <v>281</v>
      </c>
      <c r="D1225" s="25">
        <v>75609</v>
      </c>
      <c r="E1225" s="25">
        <v>1278005</v>
      </c>
      <c r="F1225" s="26">
        <v>149189</v>
      </c>
      <c r="G1225" s="27">
        <v>11.673584999999999</v>
      </c>
    </row>
    <row r="1226" spans="1:7" hidden="1" x14ac:dyDescent="0.25">
      <c r="A1226" s="24" t="s">
        <v>1373</v>
      </c>
      <c r="B1226" s="24" t="s">
        <v>89</v>
      </c>
      <c r="C1226" s="24" t="s">
        <v>278</v>
      </c>
      <c r="D1226" s="25">
        <v>120538</v>
      </c>
      <c r="E1226" s="25">
        <v>4167442</v>
      </c>
      <c r="F1226" s="26">
        <v>354766</v>
      </c>
      <c r="G1226" s="27">
        <v>8.5127998999999992</v>
      </c>
    </row>
    <row r="1227" spans="1:7" hidden="1" x14ac:dyDescent="0.25">
      <c r="A1227" s="24" t="s">
        <v>1374</v>
      </c>
      <c r="B1227" s="24" t="s">
        <v>89</v>
      </c>
      <c r="C1227" s="24" t="s">
        <v>281</v>
      </c>
      <c r="D1227" s="25">
        <v>43323</v>
      </c>
      <c r="E1227" s="25">
        <v>752262</v>
      </c>
      <c r="F1227" s="26">
        <v>87618</v>
      </c>
      <c r="G1227" s="27">
        <v>11.647271999999999</v>
      </c>
    </row>
    <row r="1228" spans="1:7" hidden="1" x14ac:dyDescent="0.25">
      <c r="A1228" s="24" t="s">
        <v>1375</v>
      </c>
      <c r="B1228" s="24" t="s">
        <v>89</v>
      </c>
      <c r="C1228" s="24" t="s">
        <v>281</v>
      </c>
      <c r="D1228" s="25">
        <v>14</v>
      </c>
      <c r="E1228" s="25">
        <v>120</v>
      </c>
      <c r="F1228" s="26">
        <v>13</v>
      </c>
      <c r="G1228" s="27">
        <v>10.833333</v>
      </c>
    </row>
    <row r="1229" spans="1:7" hidden="1" x14ac:dyDescent="0.25">
      <c r="A1229" s="24" t="s">
        <v>1376</v>
      </c>
      <c r="B1229" s="24" t="s">
        <v>91</v>
      </c>
      <c r="C1229" s="24" t="s">
        <v>281</v>
      </c>
      <c r="D1229" s="25">
        <v>1</v>
      </c>
      <c r="E1229" s="25">
        <v>1021838</v>
      </c>
      <c r="F1229" s="26">
        <v>54121</v>
      </c>
      <c r="G1229" s="27">
        <v>5.2964364000000002</v>
      </c>
    </row>
    <row r="1230" spans="1:7" hidden="1" x14ac:dyDescent="0.25">
      <c r="A1230" s="24" t="s">
        <v>1377</v>
      </c>
      <c r="B1230" s="24" t="s">
        <v>91</v>
      </c>
      <c r="C1230" s="24" t="s">
        <v>281</v>
      </c>
      <c r="D1230" s="25">
        <v>3494</v>
      </c>
      <c r="E1230" s="25">
        <v>235970</v>
      </c>
      <c r="F1230" s="26">
        <v>26281</v>
      </c>
      <c r="G1230" s="27">
        <v>11.137433</v>
      </c>
    </row>
    <row r="1231" spans="1:7" hidden="1" x14ac:dyDescent="0.25">
      <c r="A1231" s="24" t="s">
        <v>1378</v>
      </c>
      <c r="B1231" s="24" t="s">
        <v>91</v>
      </c>
      <c r="C1231" s="24" t="s">
        <v>281</v>
      </c>
      <c r="D1231" s="25">
        <v>20212</v>
      </c>
      <c r="E1231" s="25">
        <v>350476</v>
      </c>
      <c r="F1231" s="26">
        <v>36679</v>
      </c>
      <c r="G1231" s="27">
        <v>10.465481</v>
      </c>
    </row>
    <row r="1232" spans="1:7" hidden="1" x14ac:dyDescent="0.25">
      <c r="A1232" s="24" t="s">
        <v>1379</v>
      </c>
      <c r="B1232" s="24" t="s">
        <v>91</v>
      </c>
      <c r="C1232" s="24" t="s">
        <v>281</v>
      </c>
      <c r="D1232" s="25">
        <v>49191</v>
      </c>
      <c r="E1232" s="25">
        <v>1209131</v>
      </c>
      <c r="F1232" s="26">
        <v>128314</v>
      </c>
      <c r="G1232" s="27">
        <v>10.612083999999999</v>
      </c>
    </row>
    <row r="1233" spans="1:7" hidden="1" x14ac:dyDescent="0.25">
      <c r="A1233" s="24" t="s">
        <v>1380</v>
      </c>
      <c r="B1233" s="24" t="s">
        <v>91</v>
      </c>
      <c r="C1233" s="24" t="s">
        <v>283</v>
      </c>
      <c r="D1233" s="25">
        <v>550</v>
      </c>
      <c r="E1233" s="25">
        <v>12956</v>
      </c>
      <c r="F1233" s="26">
        <v>1149</v>
      </c>
      <c r="G1233" s="27">
        <v>8.8684779000000002</v>
      </c>
    </row>
    <row r="1234" spans="1:7" hidden="1" x14ac:dyDescent="0.25">
      <c r="A1234" s="24" t="s">
        <v>1381</v>
      </c>
      <c r="B1234" s="24" t="s">
        <v>91</v>
      </c>
      <c r="C1234" s="24" t="s">
        <v>283</v>
      </c>
      <c r="D1234" s="25">
        <v>3982</v>
      </c>
      <c r="E1234" s="25">
        <v>105693</v>
      </c>
      <c r="F1234" s="26">
        <v>7624</v>
      </c>
      <c r="G1234" s="27">
        <v>7.2133443000000002</v>
      </c>
    </row>
    <row r="1235" spans="1:7" hidden="1" x14ac:dyDescent="0.25">
      <c r="A1235" s="24" t="s">
        <v>1382</v>
      </c>
      <c r="B1235" s="24" t="s">
        <v>91</v>
      </c>
      <c r="C1235" s="24" t="s">
        <v>281</v>
      </c>
      <c r="D1235" s="25">
        <v>6561</v>
      </c>
      <c r="E1235" s="25">
        <v>663534</v>
      </c>
      <c r="F1235" s="26">
        <v>54434.6</v>
      </c>
      <c r="G1235" s="27">
        <v>8.2037393999999999</v>
      </c>
    </row>
    <row r="1236" spans="1:7" hidden="1" x14ac:dyDescent="0.25">
      <c r="A1236" s="24" t="s">
        <v>1383</v>
      </c>
      <c r="B1236" s="24" t="s">
        <v>91</v>
      </c>
      <c r="C1236" s="24" t="s">
        <v>281</v>
      </c>
      <c r="D1236" s="25">
        <v>4184</v>
      </c>
      <c r="E1236" s="25">
        <v>82904</v>
      </c>
      <c r="F1236" s="26">
        <v>10465.5</v>
      </c>
      <c r="G1236" s="27">
        <v>12.623637</v>
      </c>
    </row>
    <row r="1237" spans="1:7" hidden="1" x14ac:dyDescent="0.25">
      <c r="A1237" s="24" t="s">
        <v>1298</v>
      </c>
      <c r="B1237" s="24" t="s">
        <v>91</v>
      </c>
      <c r="C1237" s="24" t="s">
        <v>281</v>
      </c>
      <c r="D1237" s="25">
        <v>1093</v>
      </c>
      <c r="E1237" s="25">
        <v>62198</v>
      </c>
      <c r="F1237" s="26">
        <v>6393.4</v>
      </c>
      <c r="G1237" s="27">
        <v>10.279109</v>
      </c>
    </row>
    <row r="1238" spans="1:7" hidden="1" x14ac:dyDescent="0.25">
      <c r="A1238" s="24" t="s">
        <v>1301</v>
      </c>
      <c r="B1238" s="24" t="s">
        <v>91</v>
      </c>
      <c r="C1238" s="24" t="s">
        <v>281</v>
      </c>
      <c r="D1238" s="25">
        <v>12542</v>
      </c>
      <c r="E1238" s="25">
        <v>3197820</v>
      </c>
      <c r="F1238" s="26">
        <v>244182.39999999999</v>
      </c>
      <c r="G1238" s="27">
        <v>7.6359019999999997</v>
      </c>
    </row>
    <row r="1239" spans="1:7" hidden="1" x14ac:dyDescent="0.25">
      <c r="A1239" s="24" t="s">
        <v>1384</v>
      </c>
      <c r="B1239" s="24" t="s">
        <v>91</v>
      </c>
      <c r="C1239" s="24" t="s">
        <v>281</v>
      </c>
      <c r="D1239" s="25">
        <v>4009</v>
      </c>
      <c r="E1239" s="25">
        <v>128662</v>
      </c>
      <c r="F1239" s="26">
        <v>14457</v>
      </c>
      <c r="G1239" s="27">
        <v>11.236418</v>
      </c>
    </row>
    <row r="1240" spans="1:7" hidden="1" x14ac:dyDescent="0.25">
      <c r="A1240" s="24" t="s">
        <v>1303</v>
      </c>
      <c r="B1240" s="24" t="s">
        <v>91</v>
      </c>
      <c r="C1240" s="24" t="s">
        <v>278</v>
      </c>
      <c r="D1240" s="25">
        <v>92788</v>
      </c>
      <c r="E1240" s="25">
        <v>2073146</v>
      </c>
      <c r="F1240" s="26">
        <v>201217</v>
      </c>
      <c r="G1240" s="27">
        <v>9.7058769999999992</v>
      </c>
    </row>
    <row r="1241" spans="1:7" hidden="1" x14ac:dyDescent="0.25">
      <c r="A1241" s="24" t="s">
        <v>1385</v>
      </c>
      <c r="B1241" s="24" t="s">
        <v>91</v>
      </c>
      <c r="C1241" s="24" t="s">
        <v>281</v>
      </c>
      <c r="D1241" s="25">
        <v>8428</v>
      </c>
      <c r="E1241" s="25">
        <v>154266</v>
      </c>
      <c r="F1241" s="26">
        <v>20334.099999999999</v>
      </c>
      <c r="G1241" s="27">
        <v>13.181194</v>
      </c>
    </row>
    <row r="1242" spans="1:7" hidden="1" x14ac:dyDescent="0.25">
      <c r="A1242" s="24" t="s">
        <v>1386</v>
      </c>
      <c r="B1242" s="24" t="s">
        <v>91</v>
      </c>
      <c r="C1242" s="24" t="s">
        <v>281</v>
      </c>
      <c r="D1242" s="25">
        <v>20217</v>
      </c>
      <c r="E1242" s="25">
        <v>2803722</v>
      </c>
      <c r="F1242" s="26">
        <v>250547.20000000001</v>
      </c>
      <c r="G1242" s="27">
        <v>8.9362355000000004</v>
      </c>
    </row>
    <row r="1243" spans="1:7" hidden="1" x14ac:dyDescent="0.25">
      <c r="A1243" s="24" t="s">
        <v>1387</v>
      </c>
      <c r="B1243" s="24" t="s">
        <v>91</v>
      </c>
      <c r="C1243" s="24" t="s">
        <v>281</v>
      </c>
      <c r="D1243" s="25">
        <v>19689</v>
      </c>
      <c r="E1243" s="25">
        <v>1115064</v>
      </c>
      <c r="F1243" s="26">
        <v>102555</v>
      </c>
      <c r="G1243" s="27">
        <v>9.1972299</v>
      </c>
    </row>
    <row r="1244" spans="1:7" hidden="1" x14ac:dyDescent="0.25">
      <c r="A1244" s="24" t="s">
        <v>1388</v>
      </c>
      <c r="B1244" s="24" t="s">
        <v>91</v>
      </c>
      <c r="C1244" s="24" t="s">
        <v>281</v>
      </c>
      <c r="D1244" s="25">
        <v>7733</v>
      </c>
      <c r="E1244" s="25">
        <v>227728</v>
      </c>
      <c r="F1244" s="26">
        <v>23980.400000000001</v>
      </c>
      <c r="G1244" s="27">
        <v>10.530282</v>
      </c>
    </row>
    <row r="1245" spans="1:7" hidden="1" x14ac:dyDescent="0.25">
      <c r="A1245" s="24" t="s">
        <v>1389</v>
      </c>
      <c r="B1245" s="24" t="s">
        <v>91</v>
      </c>
      <c r="C1245" s="24" t="s">
        <v>281</v>
      </c>
      <c r="D1245" s="25">
        <v>11638</v>
      </c>
      <c r="E1245" s="25">
        <v>448001</v>
      </c>
      <c r="F1245" s="26">
        <v>41569</v>
      </c>
      <c r="G1245" s="27">
        <v>9.2787738999999991</v>
      </c>
    </row>
    <row r="1246" spans="1:7" hidden="1" x14ac:dyDescent="0.25">
      <c r="A1246" s="24" t="s">
        <v>1153</v>
      </c>
      <c r="B1246" s="24" t="s">
        <v>91</v>
      </c>
      <c r="C1246" s="24" t="s">
        <v>278</v>
      </c>
      <c r="D1246" s="25">
        <v>93956</v>
      </c>
      <c r="E1246" s="25">
        <v>2207483</v>
      </c>
      <c r="F1246" s="26">
        <v>208252.5</v>
      </c>
      <c r="G1246" s="27">
        <v>9.4339344999999994</v>
      </c>
    </row>
    <row r="1247" spans="1:7" hidden="1" x14ac:dyDescent="0.25">
      <c r="A1247" s="24" t="s">
        <v>1155</v>
      </c>
      <c r="B1247" s="24" t="s">
        <v>91</v>
      </c>
      <c r="C1247" s="24" t="s">
        <v>278</v>
      </c>
      <c r="D1247" s="25">
        <v>58710</v>
      </c>
      <c r="E1247" s="25">
        <v>1787862</v>
      </c>
      <c r="F1247" s="26">
        <v>145208</v>
      </c>
      <c r="G1247" s="27">
        <v>8.1218796999999991</v>
      </c>
    </row>
    <row r="1248" spans="1:7" hidden="1" x14ac:dyDescent="0.25">
      <c r="A1248" s="24" t="s">
        <v>1390</v>
      </c>
      <c r="B1248" s="24" t="s">
        <v>91</v>
      </c>
      <c r="C1248" s="24" t="s">
        <v>281</v>
      </c>
      <c r="D1248" s="25">
        <v>14705</v>
      </c>
      <c r="E1248" s="25">
        <v>747719</v>
      </c>
      <c r="F1248" s="26">
        <v>72256.899999999994</v>
      </c>
      <c r="G1248" s="27">
        <v>9.6636436999999997</v>
      </c>
    </row>
    <row r="1249" spans="1:7" hidden="1" x14ac:dyDescent="0.25">
      <c r="A1249" s="24" t="s">
        <v>1308</v>
      </c>
      <c r="B1249" s="24" t="s">
        <v>91</v>
      </c>
      <c r="C1249" s="24" t="s">
        <v>281</v>
      </c>
      <c r="D1249" s="25">
        <v>413</v>
      </c>
      <c r="E1249" s="25">
        <v>36553</v>
      </c>
      <c r="F1249" s="26">
        <v>5299</v>
      </c>
      <c r="G1249" s="27">
        <v>14.496758</v>
      </c>
    </row>
    <row r="1250" spans="1:7" hidden="1" x14ac:dyDescent="0.25">
      <c r="A1250" s="24" t="s">
        <v>1391</v>
      </c>
      <c r="B1250" s="24" t="s">
        <v>91</v>
      </c>
      <c r="C1250" s="24" t="s">
        <v>281</v>
      </c>
      <c r="D1250" s="25">
        <v>3987</v>
      </c>
      <c r="E1250" s="25">
        <v>423026</v>
      </c>
      <c r="F1250" s="26">
        <v>32605.4</v>
      </c>
      <c r="G1250" s="27">
        <v>7.7076586000000002</v>
      </c>
    </row>
    <row r="1251" spans="1:7" hidden="1" x14ac:dyDescent="0.25">
      <c r="A1251" s="24" t="s">
        <v>1174</v>
      </c>
      <c r="B1251" s="24" t="s">
        <v>91</v>
      </c>
      <c r="C1251" s="24" t="s">
        <v>281</v>
      </c>
      <c r="D1251" s="25">
        <v>36</v>
      </c>
      <c r="E1251" s="25">
        <v>603</v>
      </c>
      <c r="F1251" s="26">
        <v>69</v>
      </c>
      <c r="G1251" s="27">
        <v>11.442786</v>
      </c>
    </row>
    <row r="1252" spans="1:7" hidden="1" x14ac:dyDescent="0.25">
      <c r="A1252" s="24" t="s">
        <v>1392</v>
      </c>
      <c r="B1252" s="24" t="s">
        <v>91</v>
      </c>
      <c r="C1252" s="24" t="s">
        <v>281</v>
      </c>
      <c r="D1252" s="25">
        <v>16201</v>
      </c>
      <c r="E1252" s="25">
        <v>583110</v>
      </c>
      <c r="F1252" s="26">
        <v>50473.1</v>
      </c>
      <c r="G1252" s="27">
        <v>8.6558454000000005</v>
      </c>
    </row>
    <row r="1253" spans="1:7" hidden="1" x14ac:dyDescent="0.25">
      <c r="A1253" s="24" t="s">
        <v>422</v>
      </c>
      <c r="B1253" s="24" t="s">
        <v>91</v>
      </c>
      <c r="C1253" s="24" t="s">
        <v>351</v>
      </c>
      <c r="D1253" s="25">
        <v>21</v>
      </c>
      <c r="E1253" s="25">
        <v>199423</v>
      </c>
      <c r="F1253" s="26">
        <v>5638.2</v>
      </c>
      <c r="G1253" s="27">
        <v>2.8272566000000001</v>
      </c>
    </row>
    <row r="1254" spans="1:7" hidden="1" x14ac:dyDescent="0.25">
      <c r="A1254" s="24" t="s">
        <v>1393</v>
      </c>
      <c r="B1254" s="24" t="s">
        <v>72</v>
      </c>
      <c r="C1254" s="24" t="s">
        <v>283</v>
      </c>
      <c r="D1254" s="25">
        <v>2771</v>
      </c>
      <c r="E1254" s="25">
        <v>55590</v>
      </c>
      <c r="F1254" s="26">
        <v>5207</v>
      </c>
      <c r="G1254" s="27">
        <v>9.3667926000000001</v>
      </c>
    </row>
    <row r="1255" spans="1:7" hidden="1" x14ac:dyDescent="0.25">
      <c r="A1255" s="24" t="s">
        <v>1394</v>
      </c>
      <c r="B1255" s="24" t="s">
        <v>72</v>
      </c>
      <c r="C1255" s="24" t="s">
        <v>385</v>
      </c>
      <c r="D1255" s="25">
        <v>4173</v>
      </c>
      <c r="E1255" s="25">
        <v>86138</v>
      </c>
      <c r="F1255" s="26">
        <v>11780</v>
      </c>
      <c r="G1255" s="27">
        <v>13.67573</v>
      </c>
    </row>
    <row r="1256" spans="1:7" hidden="1" x14ac:dyDescent="0.25">
      <c r="A1256" s="24" t="s">
        <v>1395</v>
      </c>
      <c r="B1256" s="24" t="s">
        <v>72</v>
      </c>
      <c r="C1256" s="24" t="s">
        <v>385</v>
      </c>
      <c r="D1256" s="25">
        <v>6281</v>
      </c>
      <c r="E1256" s="25">
        <v>190559</v>
      </c>
      <c r="F1256" s="26">
        <v>19310</v>
      </c>
      <c r="G1256" s="27">
        <v>10.133345</v>
      </c>
    </row>
    <row r="1257" spans="1:7" hidden="1" x14ac:dyDescent="0.25">
      <c r="A1257" s="24" t="s">
        <v>1396</v>
      </c>
      <c r="B1257" s="24" t="s">
        <v>72</v>
      </c>
      <c r="C1257" s="24" t="s">
        <v>385</v>
      </c>
      <c r="D1257" s="25">
        <v>7435</v>
      </c>
      <c r="E1257" s="25">
        <v>261781</v>
      </c>
      <c r="F1257" s="26">
        <v>22654</v>
      </c>
      <c r="G1257" s="27">
        <v>8.6537983999999994</v>
      </c>
    </row>
    <row r="1258" spans="1:7" hidden="1" x14ac:dyDescent="0.25">
      <c r="A1258" s="24" t="s">
        <v>1397</v>
      </c>
      <c r="B1258" s="24" t="s">
        <v>72</v>
      </c>
      <c r="C1258" s="24" t="s">
        <v>281</v>
      </c>
      <c r="D1258" s="25">
        <v>1091</v>
      </c>
      <c r="E1258" s="25">
        <v>30940</v>
      </c>
      <c r="F1258" s="26">
        <v>3528.1</v>
      </c>
      <c r="G1258" s="27">
        <v>11.403038</v>
      </c>
    </row>
    <row r="1259" spans="1:7" hidden="1" x14ac:dyDescent="0.25">
      <c r="A1259" s="24" t="s">
        <v>1398</v>
      </c>
      <c r="B1259" s="24" t="s">
        <v>72</v>
      </c>
      <c r="C1259" s="24" t="s">
        <v>385</v>
      </c>
      <c r="D1259" s="25">
        <v>3214</v>
      </c>
      <c r="E1259" s="25">
        <v>53956</v>
      </c>
      <c r="F1259" s="26">
        <v>7084</v>
      </c>
      <c r="G1259" s="27">
        <v>13.129216</v>
      </c>
    </row>
    <row r="1260" spans="1:7" hidden="1" x14ac:dyDescent="0.25">
      <c r="A1260" s="24" t="s">
        <v>1399</v>
      </c>
      <c r="B1260" s="24" t="s">
        <v>72</v>
      </c>
      <c r="C1260" s="24" t="s">
        <v>283</v>
      </c>
      <c r="D1260" s="25">
        <v>5217</v>
      </c>
      <c r="E1260" s="25">
        <v>108117</v>
      </c>
      <c r="F1260" s="26">
        <v>12687.5</v>
      </c>
      <c r="G1260" s="27">
        <v>11.734972000000001</v>
      </c>
    </row>
    <row r="1261" spans="1:7" hidden="1" x14ac:dyDescent="0.25">
      <c r="A1261" s="24" t="s">
        <v>1400</v>
      </c>
      <c r="B1261" s="24" t="s">
        <v>72</v>
      </c>
      <c r="C1261" s="24" t="s">
        <v>283</v>
      </c>
      <c r="D1261" s="25">
        <v>6765</v>
      </c>
      <c r="E1261" s="25">
        <v>178043</v>
      </c>
      <c r="F1261" s="26">
        <v>15856</v>
      </c>
      <c r="G1261" s="27">
        <v>8.9057137999999991</v>
      </c>
    </row>
    <row r="1262" spans="1:7" hidden="1" x14ac:dyDescent="0.25">
      <c r="A1262" s="24" t="s">
        <v>1401</v>
      </c>
      <c r="B1262" s="24" t="s">
        <v>72</v>
      </c>
      <c r="C1262" s="24" t="s">
        <v>283</v>
      </c>
      <c r="D1262" s="25">
        <v>3018</v>
      </c>
      <c r="E1262" s="25">
        <v>97863</v>
      </c>
      <c r="F1262" s="26">
        <v>8833.6</v>
      </c>
      <c r="G1262" s="27">
        <v>9.0264962000000004</v>
      </c>
    </row>
    <row r="1263" spans="1:7" hidden="1" x14ac:dyDescent="0.25">
      <c r="A1263" s="24" t="s">
        <v>1402</v>
      </c>
      <c r="B1263" s="24" t="s">
        <v>72</v>
      </c>
      <c r="C1263" s="24" t="s">
        <v>283</v>
      </c>
      <c r="D1263" s="25">
        <v>626</v>
      </c>
      <c r="E1263" s="25">
        <v>47100</v>
      </c>
      <c r="F1263" s="26">
        <v>3385</v>
      </c>
      <c r="G1263" s="27">
        <v>7.1868365000000001</v>
      </c>
    </row>
    <row r="1264" spans="1:7" hidden="1" x14ac:dyDescent="0.25">
      <c r="A1264" s="24" t="s">
        <v>1403</v>
      </c>
      <c r="B1264" s="24" t="s">
        <v>72</v>
      </c>
      <c r="C1264" s="24" t="s">
        <v>283</v>
      </c>
      <c r="D1264" s="25">
        <v>1680</v>
      </c>
      <c r="E1264" s="25">
        <v>30897</v>
      </c>
      <c r="F1264" s="26">
        <v>3396</v>
      </c>
      <c r="G1264" s="27">
        <v>10.991358</v>
      </c>
    </row>
    <row r="1265" spans="1:7" hidden="1" x14ac:dyDescent="0.25">
      <c r="A1265" s="24" t="s">
        <v>1404</v>
      </c>
      <c r="B1265" s="24" t="s">
        <v>72</v>
      </c>
      <c r="C1265" s="24" t="s">
        <v>283</v>
      </c>
      <c r="D1265" s="25">
        <v>3200</v>
      </c>
      <c r="E1265" s="25">
        <v>119322</v>
      </c>
      <c r="F1265" s="26">
        <v>10620</v>
      </c>
      <c r="G1265" s="27">
        <v>8.9002865999999994</v>
      </c>
    </row>
    <row r="1266" spans="1:7" hidden="1" x14ac:dyDescent="0.25">
      <c r="A1266" s="24" t="s">
        <v>1405</v>
      </c>
      <c r="B1266" s="24" t="s">
        <v>72</v>
      </c>
      <c r="C1266" s="24" t="s">
        <v>283</v>
      </c>
      <c r="D1266" s="25">
        <v>1444</v>
      </c>
      <c r="E1266" s="25">
        <v>38976</v>
      </c>
      <c r="F1266" s="26">
        <v>4260</v>
      </c>
      <c r="G1266" s="27">
        <v>10.929803</v>
      </c>
    </row>
    <row r="1267" spans="1:7" hidden="1" x14ac:dyDescent="0.25">
      <c r="A1267" s="24" t="s">
        <v>1406</v>
      </c>
      <c r="B1267" s="24" t="s">
        <v>72</v>
      </c>
      <c r="C1267" s="24" t="s">
        <v>283</v>
      </c>
      <c r="D1267" s="25">
        <v>3250</v>
      </c>
      <c r="E1267" s="25">
        <v>82784</v>
      </c>
      <c r="F1267" s="26">
        <v>8422</v>
      </c>
      <c r="G1267" s="27">
        <v>10.173463</v>
      </c>
    </row>
    <row r="1268" spans="1:7" hidden="1" x14ac:dyDescent="0.25">
      <c r="A1268" s="24" t="s">
        <v>1407</v>
      </c>
      <c r="B1268" s="24" t="s">
        <v>72</v>
      </c>
      <c r="C1268" s="24" t="s">
        <v>283</v>
      </c>
      <c r="D1268" s="25">
        <v>2696</v>
      </c>
      <c r="E1268" s="25">
        <v>53716</v>
      </c>
      <c r="F1268" s="26">
        <v>4893</v>
      </c>
      <c r="G1268" s="27">
        <v>9.1090178000000002</v>
      </c>
    </row>
    <row r="1269" spans="1:7" hidden="1" x14ac:dyDescent="0.25">
      <c r="A1269" s="24" t="s">
        <v>1408</v>
      </c>
      <c r="B1269" s="24" t="s">
        <v>72</v>
      </c>
      <c r="C1269" s="24" t="s">
        <v>283</v>
      </c>
      <c r="D1269" s="25">
        <v>15449</v>
      </c>
      <c r="E1269" s="25">
        <v>412035</v>
      </c>
      <c r="F1269" s="26">
        <v>35918</v>
      </c>
      <c r="G1269" s="27">
        <v>8.7172205999999992</v>
      </c>
    </row>
    <row r="1270" spans="1:7" hidden="1" x14ac:dyDescent="0.25">
      <c r="A1270" s="24" t="s">
        <v>1409</v>
      </c>
      <c r="B1270" s="24" t="s">
        <v>72</v>
      </c>
      <c r="C1270" s="24" t="s">
        <v>283</v>
      </c>
      <c r="D1270" s="25">
        <v>3897</v>
      </c>
      <c r="E1270" s="25">
        <v>61948</v>
      </c>
      <c r="F1270" s="26">
        <v>9201</v>
      </c>
      <c r="G1270" s="27">
        <v>14.852779999999999</v>
      </c>
    </row>
    <row r="1271" spans="1:7" hidden="1" x14ac:dyDescent="0.25">
      <c r="A1271" s="24" t="s">
        <v>1410</v>
      </c>
      <c r="B1271" s="24" t="s">
        <v>72</v>
      </c>
      <c r="C1271" s="24" t="s">
        <v>283</v>
      </c>
      <c r="D1271" s="25">
        <v>1876</v>
      </c>
      <c r="E1271" s="25">
        <v>55082</v>
      </c>
      <c r="F1271" s="26">
        <v>4956</v>
      </c>
      <c r="G1271" s="27">
        <v>8.9974945999999996</v>
      </c>
    </row>
    <row r="1272" spans="1:7" hidden="1" x14ac:dyDescent="0.25">
      <c r="A1272" s="24" t="s">
        <v>1411</v>
      </c>
      <c r="B1272" s="24" t="s">
        <v>72</v>
      </c>
      <c r="C1272" s="24" t="s">
        <v>283</v>
      </c>
      <c r="D1272" s="25">
        <v>25858</v>
      </c>
      <c r="E1272" s="25">
        <v>721285</v>
      </c>
      <c r="F1272" s="26">
        <v>64921</v>
      </c>
      <c r="G1272" s="27">
        <v>9.0007417000000007</v>
      </c>
    </row>
    <row r="1273" spans="1:7" hidden="1" x14ac:dyDescent="0.25">
      <c r="A1273" s="24" t="s">
        <v>1412</v>
      </c>
      <c r="B1273" s="24" t="s">
        <v>72</v>
      </c>
      <c r="C1273" s="24" t="s">
        <v>283</v>
      </c>
      <c r="D1273" s="25">
        <v>13382</v>
      </c>
      <c r="E1273" s="25">
        <v>415433</v>
      </c>
      <c r="F1273" s="26">
        <v>34816.1</v>
      </c>
      <c r="G1273" s="27">
        <v>8.3806774999999991</v>
      </c>
    </row>
    <row r="1274" spans="1:7" hidden="1" x14ac:dyDescent="0.25">
      <c r="A1274" s="24" t="s">
        <v>1413</v>
      </c>
      <c r="B1274" s="24" t="s">
        <v>72</v>
      </c>
      <c r="C1274" s="24" t="s">
        <v>283</v>
      </c>
      <c r="D1274" s="25">
        <v>958</v>
      </c>
      <c r="E1274" s="25">
        <v>21729</v>
      </c>
      <c r="F1274" s="26">
        <v>1714</v>
      </c>
      <c r="G1274" s="27">
        <v>7.8880758000000002</v>
      </c>
    </row>
    <row r="1275" spans="1:7" hidden="1" x14ac:dyDescent="0.25">
      <c r="A1275" s="24" t="s">
        <v>1414</v>
      </c>
      <c r="B1275" s="24" t="s">
        <v>72</v>
      </c>
      <c r="C1275" s="24" t="s">
        <v>283</v>
      </c>
      <c r="D1275" s="25">
        <v>3250</v>
      </c>
      <c r="E1275" s="25">
        <v>118878</v>
      </c>
      <c r="F1275" s="26">
        <v>8771.2999999999993</v>
      </c>
      <c r="G1275" s="27">
        <v>7.3784048000000002</v>
      </c>
    </row>
    <row r="1276" spans="1:7" hidden="1" x14ac:dyDescent="0.25">
      <c r="A1276" s="24" t="s">
        <v>1415</v>
      </c>
      <c r="B1276" s="24" t="s">
        <v>72</v>
      </c>
      <c r="C1276" s="24" t="s">
        <v>283</v>
      </c>
      <c r="D1276" s="25">
        <v>1242</v>
      </c>
      <c r="E1276" s="25">
        <v>29232</v>
      </c>
      <c r="F1276" s="26">
        <v>3010</v>
      </c>
      <c r="G1276" s="27">
        <v>10.296935</v>
      </c>
    </row>
    <row r="1277" spans="1:7" hidden="1" x14ac:dyDescent="0.25">
      <c r="A1277" s="24" t="s">
        <v>1416</v>
      </c>
      <c r="B1277" s="24" t="s">
        <v>72</v>
      </c>
      <c r="C1277" s="24" t="s">
        <v>283</v>
      </c>
      <c r="D1277" s="25">
        <v>1890</v>
      </c>
      <c r="E1277" s="25">
        <v>20483</v>
      </c>
      <c r="F1277" s="26">
        <v>2057.6</v>
      </c>
      <c r="G1277" s="27">
        <v>10.045404</v>
      </c>
    </row>
    <row r="1278" spans="1:7" hidden="1" x14ac:dyDescent="0.25">
      <c r="A1278" s="24" t="s">
        <v>1417</v>
      </c>
      <c r="B1278" s="24" t="s">
        <v>72</v>
      </c>
      <c r="C1278" s="24" t="s">
        <v>283</v>
      </c>
      <c r="D1278" s="25">
        <v>4205</v>
      </c>
      <c r="E1278" s="25">
        <v>217104</v>
      </c>
      <c r="F1278" s="26">
        <v>17499.099999999999</v>
      </c>
      <c r="G1278" s="27">
        <v>8.0602383999999994</v>
      </c>
    </row>
    <row r="1279" spans="1:7" hidden="1" x14ac:dyDescent="0.25">
      <c r="A1279" s="24" t="s">
        <v>1418</v>
      </c>
      <c r="B1279" s="24" t="s">
        <v>72</v>
      </c>
      <c r="C1279" s="24" t="s">
        <v>283</v>
      </c>
      <c r="D1279" s="25">
        <v>982</v>
      </c>
      <c r="E1279" s="25">
        <v>62374</v>
      </c>
      <c r="F1279" s="26">
        <v>4486</v>
      </c>
      <c r="G1279" s="27">
        <v>7.1920992999999998</v>
      </c>
    </row>
    <row r="1280" spans="1:7" hidden="1" x14ac:dyDescent="0.25">
      <c r="A1280" s="24" t="s">
        <v>1419</v>
      </c>
      <c r="B1280" s="24" t="s">
        <v>72</v>
      </c>
      <c r="C1280" s="24" t="s">
        <v>283</v>
      </c>
      <c r="D1280" s="25">
        <v>1586</v>
      </c>
      <c r="E1280" s="25">
        <v>28070</v>
      </c>
      <c r="F1280" s="26">
        <v>3576</v>
      </c>
      <c r="G1280" s="27">
        <v>12.73958</v>
      </c>
    </row>
    <row r="1281" spans="1:7" hidden="1" x14ac:dyDescent="0.25">
      <c r="A1281" s="24" t="s">
        <v>1420</v>
      </c>
      <c r="B1281" s="24" t="s">
        <v>72</v>
      </c>
      <c r="C1281" s="24" t="s">
        <v>283</v>
      </c>
      <c r="D1281" s="25">
        <v>5728</v>
      </c>
      <c r="E1281" s="25">
        <v>150810</v>
      </c>
      <c r="F1281" s="26">
        <v>15262</v>
      </c>
      <c r="G1281" s="27">
        <v>10.120018999999999</v>
      </c>
    </row>
    <row r="1282" spans="1:7" hidden="1" x14ac:dyDescent="0.25">
      <c r="A1282" s="24" t="s">
        <v>1421</v>
      </c>
      <c r="B1282" s="24" t="s">
        <v>72</v>
      </c>
      <c r="C1282" s="24" t="s">
        <v>283</v>
      </c>
      <c r="D1282" s="25">
        <v>1167</v>
      </c>
      <c r="E1282" s="25">
        <v>20017</v>
      </c>
      <c r="F1282" s="26">
        <v>1798</v>
      </c>
      <c r="G1282" s="27">
        <v>8.9823649999999997</v>
      </c>
    </row>
    <row r="1283" spans="1:7" hidden="1" x14ac:dyDescent="0.25">
      <c r="A1283" s="24" t="s">
        <v>1422</v>
      </c>
      <c r="B1283" s="24" t="s">
        <v>72</v>
      </c>
      <c r="C1283" s="24" t="s">
        <v>283</v>
      </c>
      <c r="D1283" s="25">
        <v>13430</v>
      </c>
      <c r="E1283" s="25">
        <v>298021</v>
      </c>
      <c r="F1283" s="26">
        <v>27504</v>
      </c>
      <c r="G1283" s="27">
        <v>9.2288797999999996</v>
      </c>
    </row>
    <row r="1284" spans="1:7" hidden="1" x14ac:dyDescent="0.25">
      <c r="A1284" s="24" t="s">
        <v>1423</v>
      </c>
      <c r="B1284" s="24" t="s">
        <v>72</v>
      </c>
      <c r="C1284" s="24" t="s">
        <v>283</v>
      </c>
      <c r="D1284" s="25">
        <v>1454</v>
      </c>
      <c r="E1284" s="25">
        <v>33420</v>
      </c>
      <c r="F1284" s="26">
        <v>3224</v>
      </c>
      <c r="G1284" s="27">
        <v>9.6469179999999994</v>
      </c>
    </row>
    <row r="1285" spans="1:7" hidden="1" x14ac:dyDescent="0.25">
      <c r="A1285" s="24" t="s">
        <v>1424</v>
      </c>
      <c r="B1285" s="24" t="s">
        <v>72</v>
      </c>
      <c r="C1285" s="24" t="s">
        <v>283</v>
      </c>
      <c r="D1285" s="25">
        <v>1253</v>
      </c>
      <c r="E1285" s="25">
        <v>20145</v>
      </c>
      <c r="F1285" s="26">
        <v>1856</v>
      </c>
      <c r="G1285" s="27">
        <v>9.2132042999999992</v>
      </c>
    </row>
    <row r="1286" spans="1:7" hidden="1" x14ac:dyDescent="0.25">
      <c r="A1286" s="24" t="s">
        <v>1425</v>
      </c>
      <c r="B1286" s="24" t="s">
        <v>72</v>
      </c>
      <c r="C1286" s="24" t="s">
        <v>283</v>
      </c>
      <c r="D1286" s="25">
        <v>2606</v>
      </c>
      <c r="E1286" s="25">
        <v>141541</v>
      </c>
      <c r="F1286" s="26">
        <v>11481</v>
      </c>
      <c r="G1286" s="27">
        <v>8.1114306000000003</v>
      </c>
    </row>
    <row r="1287" spans="1:7" hidden="1" x14ac:dyDescent="0.25">
      <c r="A1287" s="24" t="s">
        <v>1426</v>
      </c>
      <c r="B1287" s="24" t="s">
        <v>72</v>
      </c>
      <c r="C1287" s="24" t="s">
        <v>283</v>
      </c>
      <c r="D1287" s="25">
        <v>3361</v>
      </c>
      <c r="E1287" s="25">
        <v>92709</v>
      </c>
      <c r="F1287" s="26">
        <v>9436</v>
      </c>
      <c r="G1287" s="27">
        <v>10.178084</v>
      </c>
    </row>
    <row r="1288" spans="1:7" hidden="1" x14ac:dyDescent="0.25">
      <c r="A1288" s="24" t="s">
        <v>1427</v>
      </c>
      <c r="B1288" s="24" t="s">
        <v>72</v>
      </c>
      <c r="C1288" s="24" t="s">
        <v>283</v>
      </c>
      <c r="D1288" s="25">
        <v>4822</v>
      </c>
      <c r="E1288" s="25">
        <v>76190</v>
      </c>
      <c r="F1288" s="26">
        <v>9125</v>
      </c>
      <c r="G1288" s="27">
        <v>11.976637</v>
      </c>
    </row>
    <row r="1289" spans="1:7" hidden="1" x14ac:dyDescent="0.25">
      <c r="A1289" s="24" t="s">
        <v>1428</v>
      </c>
      <c r="B1289" s="24" t="s">
        <v>72</v>
      </c>
      <c r="C1289" s="24" t="s">
        <v>283</v>
      </c>
      <c r="D1289" s="25">
        <v>5656</v>
      </c>
      <c r="E1289" s="25">
        <v>212234</v>
      </c>
      <c r="F1289" s="26">
        <v>21647.8</v>
      </c>
      <c r="G1289" s="27">
        <v>10.199968</v>
      </c>
    </row>
    <row r="1290" spans="1:7" hidden="1" x14ac:dyDescent="0.25">
      <c r="A1290" s="24" t="s">
        <v>1429</v>
      </c>
      <c r="B1290" s="24" t="s">
        <v>72</v>
      </c>
      <c r="C1290" s="24" t="s">
        <v>283</v>
      </c>
      <c r="D1290" s="25">
        <v>1233</v>
      </c>
      <c r="E1290" s="25">
        <v>25649</v>
      </c>
      <c r="F1290" s="26">
        <v>2583</v>
      </c>
      <c r="G1290" s="27">
        <v>10.070568</v>
      </c>
    </row>
    <row r="1291" spans="1:7" hidden="1" x14ac:dyDescent="0.25">
      <c r="A1291" s="24" t="s">
        <v>1430</v>
      </c>
      <c r="B1291" s="24" t="s">
        <v>72</v>
      </c>
      <c r="C1291" s="24" t="s">
        <v>283</v>
      </c>
      <c r="D1291" s="25">
        <v>1308</v>
      </c>
      <c r="E1291" s="25">
        <v>23960</v>
      </c>
      <c r="F1291" s="26">
        <v>2772.7</v>
      </c>
      <c r="G1291" s="27">
        <v>11.572203999999999</v>
      </c>
    </row>
    <row r="1292" spans="1:7" hidden="1" x14ac:dyDescent="0.25">
      <c r="A1292" s="24" t="s">
        <v>1431</v>
      </c>
      <c r="B1292" s="24" t="s">
        <v>72</v>
      </c>
      <c r="C1292" s="24" t="s">
        <v>283</v>
      </c>
      <c r="D1292" s="25">
        <v>1234</v>
      </c>
      <c r="E1292" s="25">
        <v>19200</v>
      </c>
      <c r="F1292" s="26">
        <v>1931.2</v>
      </c>
      <c r="G1292" s="27">
        <v>10.058332999999999</v>
      </c>
    </row>
    <row r="1293" spans="1:7" hidden="1" x14ac:dyDescent="0.25">
      <c r="A1293" s="24" t="s">
        <v>1432</v>
      </c>
      <c r="B1293" s="24" t="s">
        <v>72</v>
      </c>
      <c r="C1293" s="24" t="s">
        <v>283</v>
      </c>
      <c r="D1293" s="25">
        <v>1020</v>
      </c>
      <c r="E1293" s="25">
        <v>24801</v>
      </c>
      <c r="F1293" s="26">
        <v>2626.9</v>
      </c>
      <c r="G1293" s="27">
        <v>10.591912000000001</v>
      </c>
    </row>
    <row r="1294" spans="1:7" hidden="1" x14ac:dyDescent="0.25">
      <c r="A1294" s="24" t="s">
        <v>1433</v>
      </c>
      <c r="B1294" s="24" t="s">
        <v>72</v>
      </c>
      <c r="C1294" s="24" t="s">
        <v>283</v>
      </c>
      <c r="D1294" s="25">
        <v>2162</v>
      </c>
      <c r="E1294" s="25">
        <v>46771</v>
      </c>
      <c r="F1294" s="26">
        <v>4506.3999999999996</v>
      </c>
      <c r="G1294" s="27">
        <v>9.6350303000000004</v>
      </c>
    </row>
    <row r="1295" spans="1:7" hidden="1" x14ac:dyDescent="0.25">
      <c r="A1295" s="24" t="s">
        <v>1434</v>
      </c>
      <c r="B1295" s="24" t="s">
        <v>72</v>
      </c>
      <c r="C1295" s="24" t="s">
        <v>283</v>
      </c>
      <c r="D1295" s="25">
        <v>2369</v>
      </c>
      <c r="E1295" s="25">
        <v>67245</v>
      </c>
      <c r="F1295" s="26">
        <v>5147</v>
      </c>
      <c r="G1295" s="27">
        <v>7.6541006999999999</v>
      </c>
    </row>
    <row r="1296" spans="1:7" hidden="1" x14ac:dyDescent="0.25">
      <c r="A1296" s="24" t="s">
        <v>1435</v>
      </c>
      <c r="B1296" s="24" t="s">
        <v>72</v>
      </c>
      <c r="C1296" s="24" t="s">
        <v>283</v>
      </c>
      <c r="D1296" s="25">
        <v>674</v>
      </c>
      <c r="E1296" s="25">
        <v>48796</v>
      </c>
      <c r="F1296" s="26">
        <v>3683</v>
      </c>
      <c r="G1296" s="27">
        <v>7.5477498000000001</v>
      </c>
    </row>
    <row r="1297" spans="1:7" hidden="1" x14ac:dyDescent="0.25">
      <c r="A1297" s="24" t="s">
        <v>1436</v>
      </c>
      <c r="B1297" s="24" t="s">
        <v>72</v>
      </c>
      <c r="C1297" s="24" t="s">
        <v>283</v>
      </c>
      <c r="D1297" s="25">
        <v>2562</v>
      </c>
      <c r="E1297" s="25">
        <v>64123</v>
      </c>
      <c r="F1297" s="26">
        <v>5686</v>
      </c>
      <c r="G1297" s="27">
        <v>8.8673330999999997</v>
      </c>
    </row>
    <row r="1298" spans="1:7" hidden="1" x14ac:dyDescent="0.25">
      <c r="A1298" s="24" t="s">
        <v>1437</v>
      </c>
      <c r="B1298" s="24" t="s">
        <v>72</v>
      </c>
      <c r="C1298" s="24" t="s">
        <v>283</v>
      </c>
      <c r="D1298" s="25">
        <v>1907</v>
      </c>
      <c r="E1298" s="25">
        <v>49825</v>
      </c>
      <c r="F1298" s="26">
        <v>6398</v>
      </c>
      <c r="G1298" s="27">
        <v>12.840942999999999</v>
      </c>
    </row>
    <row r="1299" spans="1:7" hidden="1" x14ac:dyDescent="0.25">
      <c r="A1299" s="24" t="s">
        <v>1438</v>
      </c>
      <c r="B1299" s="24" t="s">
        <v>72</v>
      </c>
      <c r="C1299" s="24" t="s">
        <v>385</v>
      </c>
      <c r="D1299" s="25">
        <v>9947</v>
      </c>
      <c r="E1299" s="25">
        <v>392337</v>
      </c>
      <c r="F1299" s="26">
        <v>37851</v>
      </c>
      <c r="G1299" s="27">
        <v>9.6475734000000006</v>
      </c>
    </row>
    <row r="1300" spans="1:7" hidden="1" x14ac:dyDescent="0.25">
      <c r="A1300" s="24" t="s">
        <v>1439</v>
      </c>
      <c r="B1300" s="24" t="s">
        <v>72</v>
      </c>
      <c r="C1300" s="24" t="s">
        <v>283</v>
      </c>
      <c r="D1300" s="25">
        <v>2066</v>
      </c>
      <c r="E1300" s="25">
        <v>46993</v>
      </c>
      <c r="F1300" s="26">
        <v>4637.3</v>
      </c>
      <c r="G1300" s="27">
        <v>9.8680655000000002</v>
      </c>
    </row>
    <row r="1301" spans="1:7" hidden="1" x14ac:dyDescent="0.25">
      <c r="A1301" s="24" t="s">
        <v>1440</v>
      </c>
      <c r="B1301" s="24" t="s">
        <v>72</v>
      </c>
      <c r="C1301" s="24" t="s">
        <v>385</v>
      </c>
      <c r="D1301" s="25">
        <v>3860</v>
      </c>
      <c r="E1301" s="25">
        <v>97900</v>
      </c>
      <c r="F1301" s="26">
        <v>9958.7999999999993</v>
      </c>
      <c r="G1301" s="27">
        <v>10.172421</v>
      </c>
    </row>
    <row r="1302" spans="1:7" hidden="1" x14ac:dyDescent="0.25">
      <c r="A1302" s="24" t="s">
        <v>1441</v>
      </c>
      <c r="B1302" s="24" t="s">
        <v>72</v>
      </c>
      <c r="C1302" s="24" t="s">
        <v>385</v>
      </c>
      <c r="D1302" s="25">
        <v>10722</v>
      </c>
      <c r="E1302" s="25">
        <v>227878</v>
      </c>
      <c r="F1302" s="26">
        <v>28826</v>
      </c>
      <c r="G1302" s="27">
        <v>12.649751</v>
      </c>
    </row>
    <row r="1303" spans="1:7" hidden="1" x14ac:dyDescent="0.25">
      <c r="A1303" s="24" t="s">
        <v>1442</v>
      </c>
      <c r="B1303" s="24" t="s">
        <v>72</v>
      </c>
      <c r="C1303" s="24" t="s">
        <v>385</v>
      </c>
      <c r="D1303" s="25">
        <v>23065</v>
      </c>
      <c r="E1303" s="25">
        <v>556935</v>
      </c>
      <c r="F1303" s="26">
        <v>61145</v>
      </c>
      <c r="G1303" s="27">
        <v>10.97884</v>
      </c>
    </row>
    <row r="1304" spans="1:7" hidden="1" x14ac:dyDescent="0.25">
      <c r="A1304" s="24" t="s">
        <v>1443</v>
      </c>
      <c r="B1304" s="24" t="s">
        <v>72</v>
      </c>
      <c r="C1304" s="24" t="s">
        <v>385</v>
      </c>
      <c r="D1304" s="25">
        <v>9639</v>
      </c>
      <c r="E1304" s="25">
        <v>276383</v>
      </c>
      <c r="F1304" s="26">
        <v>28828</v>
      </c>
      <c r="G1304" s="27">
        <v>10.430453</v>
      </c>
    </row>
    <row r="1305" spans="1:7" hidden="1" x14ac:dyDescent="0.25">
      <c r="A1305" s="24" t="s">
        <v>485</v>
      </c>
      <c r="B1305" s="24" t="s">
        <v>72</v>
      </c>
      <c r="C1305" s="24" t="s">
        <v>281</v>
      </c>
      <c r="D1305" s="25">
        <v>2962</v>
      </c>
      <c r="E1305" s="25">
        <v>100357</v>
      </c>
      <c r="F1305" s="26">
        <v>12275</v>
      </c>
      <c r="G1305" s="27">
        <v>12.231334</v>
      </c>
    </row>
    <row r="1306" spans="1:7" hidden="1" x14ac:dyDescent="0.25">
      <c r="A1306" s="24" t="s">
        <v>486</v>
      </c>
      <c r="B1306" s="24" t="s">
        <v>72</v>
      </c>
      <c r="C1306" s="24" t="s">
        <v>281</v>
      </c>
      <c r="D1306" s="25">
        <v>2027</v>
      </c>
      <c r="E1306" s="25">
        <v>80640</v>
      </c>
      <c r="F1306" s="26">
        <v>10460.5</v>
      </c>
      <c r="G1306" s="27">
        <v>12.97185</v>
      </c>
    </row>
    <row r="1307" spans="1:7" hidden="1" x14ac:dyDescent="0.25">
      <c r="A1307" s="24" t="s">
        <v>1444</v>
      </c>
      <c r="B1307" s="24" t="s">
        <v>72</v>
      </c>
      <c r="C1307" s="24" t="s">
        <v>385</v>
      </c>
      <c r="D1307" s="25">
        <v>5305</v>
      </c>
      <c r="E1307" s="25">
        <v>105225</v>
      </c>
      <c r="F1307" s="26">
        <v>11150</v>
      </c>
      <c r="G1307" s="27">
        <v>10.596341000000001</v>
      </c>
    </row>
    <row r="1308" spans="1:7" hidden="1" x14ac:dyDescent="0.25">
      <c r="A1308" s="24" t="s">
        <v>1445</v>
      </c>
      <c r="B1308" s="24" t="s">
        <v>72</v>
      </c>
      <c r="C1308" s="24" t="s">
        <v>385</v>
      </c>
      <c r="D1308" s="25">
        <v>4826</v>
      </c>
      <c r="E1308" s="25">
        <v>94256</v>
      </c>
      <c r="F1308" s="26">
        <v>13249</v>
      </c>
      <c r="G1308" s="27">
        <v>14.0564</v>
      </c>
    </row>
    <row r="1309" spans="1:7" hidden="1" x14ac:dyDescent="0.25">
      <c r="A1309" s="24" t="s">
        <v>1446</v>
      </c>
      <c r="B1309" s="24" t="s">
        <v>72</v>
      </c>
      <c r="C1309" s="24" t="s">
        <v>281</v>
      </c>
      <c r="D1309" s="25">
        <v>251</v>
      </c>
      <c r="E1309" s="25">
        <v>6320</v>
      </c>
      <c r="F1309" s="26">
        <v>680.9</v>
      </c>
      <c r="G1309" s="27">
        <v>10.773733999999999</v>
      </c>
    </row>
    <row r="1310" spans="1:7" hidden="1" x14ac:dyDescent="0.25">
      <c r="A1310" s="24" t="s">
        <v>1447</v>
      </c>
      <c r="B1310" s="24" t="s">
        <v>72</v>
      </c>
      <c r="C1310" s="24" t="s">
        <v>283</v>
      </c>
      <c r="D1310" s="25">
        <v>138482</v>
      </c>
      <c r="E1310" s="25">
        <v>3194682</v>
      </c>
      <c r="F1310" s="26">
        <v>267817.90000000002</v>
      </c>
      <c r="G1310" s="27">
        <v>8.3832412999999999</v>
      </c>
    </row>
    <row r="1311" spans="1:7" hidden="1" x14ac:dyDescent="0.25">
      <c r="A1311" s="24" t="s">
        <v>1448</v>
      </c>
      <c r="B1311" s="24" t="s">
        <v>72</v>
      </c>
      <c r="C1311" s="24" t="s">
        <v>385</v>
      </c>
      <c r="D1311" s="25">
        <v>19388</v>
      </c>
      <c r="E1311" s="25">
        <v>1112501</v>
      </c>
      <c r="F1311" s="26">
        <v>87109</v>
      </c>
      <c r="G1311" s="27">
        <v>7.8300153999999997</v>
      </c>
    </row>
    <row r="1312" spans="1:7" hidden="1" x14ac:dyDescent="0.25">
      <c r="A1312" s="24" t="s">
        <v>1449</v>
      </c>
      <c r="B1312" s="24" t="s">
        <v>72</v>
      </c>
      <c r="C1312" s="24" t="s">
        <v>385</v>
      </c>
      <c r="D1312" s="25">
        <v>5375</v>
      </c>
      <c r="E1312" s="25">
        <v>129051</v>
      </c>
      <c r="F1312" s="26">
        <v>14813.2</v>
      </c>
      <c r="G1312" s="27">
        <v>11.478562999999999</v>
      </c>
    </row>
    <row r="1313" spans="1:7" hidden="1" x14ac:dyDescent="0.25">
      <c r="A1313" s="24" t="s">
        <v>1450</v>
      </c>
      <c r="B1313" s="24" t="s">
        <v>72</v>
      </c>
      <c r="C1313" s="24" t="s">
        <v>385</v>
      </c>
      <c r="D1313" s="25">
        <v>5023</v>
      </c>
      <c r="E1313" s="25">
        <v>175868</v>
      </c>
      <c r="F1313" s="26">
        <v>17092.5</v>
      </c>
      <c r="G1313" s="27">
        <v>9.7189368999999992</v>
      </c>
    </row>
    <row r="1314" spans="1:7" hidden="1" x14ac:dyDescent="0.25">
      <c r="A1314" s="24" t="s">
        <v>1451</v>
      </c>
      <c r="B1314" s="24" t="s">
        <v>72</v>
      </c>
      <c r="C1314" s="24" t="s">
        <v>281</v>
      </c>
      <c r="D1314" s="25">
        <v>6489</v>
      </c>
      <c r="E1314" s="25">
        <v>235924</v>
      </c>
      <c r="F1314" s="26">
        <v>28994.1</v>
      </c>
      <c r="G1314" s="27">
        <v>12.289593</v>
      </c>
    </row>
    <row r="1315" spans="1:7" hidden="1" x14ac:dyDescent="0.25">
      <c r="A1315" s="24" t="s">
        <v>1452</v>
      </c>
      <c r="B1315" s="24" t="s">
        <v>72</v>
      </c>
      <c r="C1315" s="24" t="s">
        <v>385</v>
      </c>
      <c r="D1315" s="25">
        <v>90271</v>
      </c>
      <c r="E1315" s="25">
        <v>3211152</v>
      </c>
      <c r="F1315" s="26">
        <v>247398</v>
      </c>
      <c r="G1315" s="27">
        <v>7.7043378999999996</v>
      </c>
    </row>
    <row r="1316" spans="1:7" hidden="1" x14ac:dyDescent="0.25">
      <c r="A1316" s="24" t="s">
        <v>1453</v>
      </c>
      <c r="B1316" s="24" t="s">
        <v>72</v>
      </c>
      <c r="C1316" s="24" t="s">
        <v>281</v>
      </c>
      <c r="D1316" s="25">
        <v>6155</v>
      </c>
      <c r="E1316" s="25">
        <v>128831</v>
      </c>
      <c r="F1316" s="26">
        <v>14705</v>
      </c>
      <c r="G1316" s="27">
        <v>11.414178</v>
      </c>
    </row>
    <row r="1317" spans="1:7" hidden="1" x14ac:dyDescent="0.25">
      <c r="A1317" s="24" t="s">
        <v>1454</v>
      </c>
      <c r="B1317" s="24" t="s">
        <v>72</v>
      </c>
      <c r="C1317" s="24" t="s">
        <v>385</v>
      </c>
      <c r="D1317" s="25">
        <v>24130</v>
      </c>
      <c r="E1317" s="25">
        <v>926426</v>
      </c>
      <c r="F1317" s="26">
        <v>78868</v>
      </c>
      <c r="G1317" s="27">
        <v>8.5131461999999996</v>
      </c>
    </row>
    <row r="1318" spans="1:7" hidden="1" x14ac:dyDescent="0.25">
      <c r="A1318" s="24" t="s">
        <v>1455</v>
      </c>
      <c r="B1318" s="24" t="s">
        <v>72</v>
      </c>
      <c r="C1318" s="24" t="s">
        <v>385</v>
      </c>
      <c r="D1318" s="25">
        <v>5737</v>
      </c>
      <c r="E1318" s="25">
        <v>121252</v>
      </c>
      <c r="F1318" s="26">
        <v>14731.1</v>
      </c>
      <c r="G1318" s="27">
        <v>12.14916</v>
      </c>
    </row>
    <row r="1319" spans="1:7" hidden="1" x14ac:dyDescent="0.25">
      <c r="A1319" s="24" t="s">
        <v>1456</v>
      </c>
      <c r="B1319" s="24" t="s">
        <v>72</v>
      </c>
      <c r="C1319" s="24" t="s">
        <v>385</v>
      </c>
      <c r="D1319" s="25">
        <v>8362</v>
      </c>
      <c r="E1319" s="25">
        <v>281358</v>
      </c>
      <c r="F1319" s="26">
        <v>25234</v>
      </c>
      <c r="G1319" s="27">
        <v>8.9686448999999993</v>
      </c>
    </row>
    <row r="1320" spans="1:7" hidden="1" x14ac:dyDescent="0.25">
      <c r="A1320" s="24" t="s">
        <v>1457</v>
      </c>
      <c r="B1320" s="24" t="s">
        <v>72</v>
      </c>
      <c r="C1320" s="24" t="s">
        <v>385</v>
      </c>
      <c r="D1320" s="25">
        <v>3394</v>
      </c>
      <c r="E1320" s="25">
        <v>75422</v>
      </c>
      <c r="F1320" s="26">
        <v>10371</v>
      </c>
      <c r="G1320" s="27">
        <v>13.750629999999999</v>
      </c>
    </row>
    <row r="1321" spans="1:7" hidden="1" x14ac:dyDescent="0.25">
      <c r="A1321" s="24" t="s">
        <v>1458</v>
      </c>
      <c r="B1321" s="24" t="s">
        <v>72</v>
      </c>
      <c r="C1321" s="24" t="s">
        <v>385</v>
      </c>
      <c r="D1321" s="25">
        <v>374817</v>
      </c>
      <c r="E1321" s="25">
        <v>10618127</v>
      </c>
      <c r="F1321" s="26">
        <v>947527</v>
      </c>
      <c r="G1321" s="27">
        <v>8.9236736000000008</v>
      </c>
    </row>
    <row r="1322" spans="1:7" hidden="1" x14ac:dyDescent="0.25">
      <c r="A1322" s="24" t="s">
        <v>1459</v>
      </c>
      <c r="B1322" s="24" t="s">
        <v>72</v>
      </c>
      <c r="C1322" s="24" t="s">
        <v>281</v>
      </c>
      <c r="D1322" s="25">
        <v>3777</v>
      </c>
      <c r="E1322" s="25">
        <v>86435</v>
      </c>
      <c r="F1322" s="26">
        <v>13133.4</v>
      </c>
      <c r="G1322" s="27">
        <v>15.194539000000001</v>
      </c>
    </row>
    <row r="1323" spans="1:7" hidden="1" x14ac:dyDescent="0.25">
      <c r="A1323" s="24" t="s">
        <v>1460</v>
      </c>
      <c r="B1323" s="24" t="s">
        <v>72</v>
      </c>
      <c r="C1323" s="24" t="s">
        <v>385</v>
      </c>
      <c r="D1323" s="25">
        <v>7498</v>
      </c>
      <c r="E1323" s="25">
        <v>301143</v>
      </c>
      <c r="F1323" s="26">
        <v>26988</v>
      </c>
      <c r="G1323" s="27">
        <v>8.9618552999999999</v>
      </c>
    </row>
    <row r="1324" spans="1:7" hidden="1" x14ac:dyDescent="0.25">
      <c r="A1324" s="24" t="s">
        <v>1461</v>
      </c>
      <c r="B1324" s="24" t="s">
        <v>72</v>
      </c>
      <c r="C1324" s="24" t="s">
        <v>385</v>
      </c>
      <c r="D1324" s="25">
        <v>4726</v>
      </c>
      <c r="E1324" s="25">
        <v>88829</v>
      </c>
      <c r="F1324" s="26">
        <v>12107.8</v>
      </c>
      <c r="G1324" s="27">
        <v>13.630459</v>
      </c>
    </row>
    <row r="1325" spans="1:7" hidden="1" x14ac:dyDescent="0.25">
      <c r="A1325" s="24" t="s">
        <v>1462</v>
      </c>
      <c r="B1325" s="24" t="s">
        <v>72</v>
      </c>
      <c r="C1325" s="24" t="s">
        <v>385</v>
      </c>
      <c r="D1325" s="25">
        <v>3342</v>
      </c>
      <c r="E1325" s="25">
        <v>60002</v>
      </c>
      <c r="F1325" s="26">
        <v>7924</v>
      </c>
      <c r="G1325" s="27">
        <v>13.206225999999999</v>
      </c>
    </row>
    <row r="1326" spans="1:7" hidden="1" x14ac:dyDescent="0.25">
      <c r="A1326" s="24" t="s">
        <v>1463</v>
      </c>
      <c r="B1326" s="24" t="s">
        <v>72</v>
      </c>
      <c r="C1326" s="24" t="s">
        <v>385</v>
      </c>
      <c r="D1326" s="25">
        <v>8218</v>
      </c>
      <c r="E1326" s="25">
        <v>175088</v>
      </c>
      <c r="F1326" s="26">
        <v>18176.3</v>
      </c>
      <c r="G1326" s="27">
        <v>10.381237</v>
      </c>
    </row>
    <row r="1327" spans="1:7" hidden="1" x14ac:dyDescent="0.25">
      <c r="A1327" s="24" t="s">
        <v>1464</v>
      </c>
      <c r="B1327" s="24" t="s">
        <v>72</v>
      </c>
      <c r="C1327" s="24" t="s">
        <v>385</v>
      </c>
      <c r="D1327" s="25">
        <v>27027</v>
      </c>
      <c r="E1327" s="25">
        <v>1104277</v>
      </c>
      <c r="F1327" s="26">
        <v>96203.5</v>
      </c>
      <c r="G1327" s="27">
        <v>8.7118993000000007</v>
      </c>
    </row>
    <row r="1328" spans="1:7" hidden="1" x14ac:dyDescent="0.25">
      <c r="A1328" s="24" t="s">
        <v>1465</v>
      </c>
      <c r="B1328" s="24" t="s">
        <v>72</v>
      </c>
      <c r="C1328" s="24" t="s">
        <v>385</v>
      </c>
      <c r="D1328" s="25">
        <v>6221</v>
      </c>
      <c r="E1328" s="25">
        <v>199005</v>
      </c>
      <c r="F1328" s="26">
        <v>20484</v>
      </c>
      <c r="G1328" s="27">
        <v>10.293208999999999</v>
      </c>
    </row>
    <row r="1329" spans="1:7" hidden="1" x14ac:dyDescent="0.25">
      <c r="A1329" s="24" t="s">
        <v>1466</v>
      </c>
      <c r="B1329" s="24" t="s">
        <v>72</v>
      </c>
      <c r="C1329" s="24" t="s">
        <v>385</v>
      </c>
      <c r="D1329" s="25">
        <v>2697</v>
      </c>
      <c r="E1329" s="25">
        <v>143150</v>
      </c>
      <c r="F1329" s="26">
        <v>12741</v>
      </c>
      <c r="G1329" s="27">
        <v>8.9004540999999993</v>
      </c>
    </row>
    <row r="1330" spans="1:7" hidden="1" x14ac:dyDescent="0.25">
      <c r="A1330" s="24" t="s">
        <v>1467</v>
      </c>
      <c r="B1330" s="24" t="s">
        <v>72</v>
      </c>
      <c r="C1330" s="24" t="s">
        <v>385</v>
      </c>
      <c r="D1330" s="25">
        <v>6454</v>
      </c>
      <c r="E1330" s="25">
        <v>95721</v>
      </c>
      <c r="F1330" s="26">
        <v>12921</v>
      </c>
      <c r="G1330" s="27">
        <v>13.498605</v>
      </c>
    </row>
    <row r="1331" spans="1:7" hidden="1" x14ac:dyDescent="0.25">
      <c r="A1331" s="24" t="s">
        <v>422</v>
      </c>
      <c r="B1331" s="24" t="s">
        <v>72</v>
      </c>
      <c r="C1331" s="24" t="s">
        <v>351</v>
      </c>
      <c r="D1331" s="25">
        <v>13</v>
      </c>
      <c r="E1331" s="25">
        <v>161620</v>
      </c>
      <c r="F1331" s="26">
        <v>4309.5</v>
      </c>
      <c r="G1331" s="27">
        <v>2.6664398</v>
      </c>
    </row>
    <row r="1332" spans="1:7" hidden="1" x14ac:dyDescent="0.25">
      <c r="A1332" s="24" t="s">
        <v>1468</v>
      </c>
      <c r="B1332" s="24" t="s">
        <v>72</v>
      </c>
      <c r="C1332" s="24" t="s">
        <v>385</v>
      </c>
      <c r="D1332" s="25">
        <v>5017</v>
      </c>
      <c r="E1332" s="25">
        <v>152355</v>
      </c>
      <c r="F1332" s="26">
        <v>18701.3</v>
      </c>
      <c r="G1332" s="27">
        <v>12.274819000000001</v>
      </c>
    </row>
    <row r="1333" spans="1:7" hidden="1" x14ac:dyDescent="0.25">
      <c r="A1333" s="24" t="s">
        <v>1469</v>
      </c>
      <c r="B1333" s="24" t="s">
        <v>72</v>
      </c>
      <c r="C1333" s="24" t="s">
        <v>281</v>
      </c>
      <c r="D1333" s="25">
        <v>479</v>
      </c>
      <c r="E1333" s="25">
        <v>24213</v>
      </c>
      <c r="F1333" s="26">
        <v>2722.7</v>
      </c>
      <c r="G1333" s="27">
        <v>11.244786</v>
      </c>
    </row>
    <row r="1334" spans="1:7" hidden="1" x14ac:dyDescent="0.25">
      <c r="A1334" s="24" t="s">
        <v>509</v>
      </c>
      <c r="B1334" s="24" t="s">
        <v>72</v>
      </c>
      <c r="C1334" s="24" t="s">
        <v>281</v>
      </c>
      <c r="D1334" s="25">
        <v>72</v>
      </c>
      <c r="E1334" s="25">
        <v>4486</v>
      </c>
      <c r="F1334" s="26">
        <v>711</v>
      </c>
      <c r="G1334" s="27">
        <v>15.849309</v>
      </c>
    </row>
    <row r="1335" spans="1:7" hidden="1" x14ac:dyDescent="0.25">
      <c r="A1335" s="24" t="s">
        <v>1470</v>
      </c>
      <c r="B1335" s="24" t="s">
        <v>78</v>
      </c>
      <c r="C1335" s="24" t="s">
        <v>278</v>
      </c>
      <c r="D1335" s="25">
        <v>37064</v>
      </c>
      <c r="E1335" s="25">
        <v>421595</v>
      </c>
      <c r="F1335" s="26">
        <v>64226.6</v>
      </c>
      <c r="G1335" s="27">
        <v>15.234194</v>
      </c>
    </row>
    <row r="1336" spans="1:7" hidden="1" x14ac:dyDescent="0.25">
      <c r="A1336" s="24" t="s">
        <v>1471</v>
      </c>
      <c r="B1336" s="24" t="s">
        <v>78</v>
      </c>
      <c r="C1336" s="24" t="s">
        <v>281</v>
      </c>
      <c r="D1336" s="25">
        <v>79179</v>
      </c>
      <c r="E1336" s="25">
        <v>634917</v>
      </c>
      <c r="F1336" s="26">
        <v>123669.2</v>
      </c>
      <c r="G1336" s="27">
        <v>19.478010999999999</v>
      </c>
    </row>
    <row r="1337" spans="1:7" hidden="1" x14ac:dyDescent="0.25">
      <c r="A1337" s="24" t="s">
        <v>1472</v>
      </c>
      <c r="B1337" s="24" t="s">
        <v>78</v>
      </c>
      <c r="C1337" s="24" t="s">
        <v>278</v>
      </c>
      <c r="D1337" s="25">
        <v>379629</v>
      </c>
      <c r="E1337" s="25">
        <v>3238660</v>
      </c>
      <c r="F1337" s="26">
        <v>690737.1</v>
      </c>
      <c r="G1337" s="27">
        <v>21.327867000000001</v>
      </c>
    </row>
    <row r="1338" spans="1:7" hidden="1" x14ac:dyDescent="0.25">
      <c r="A1338" s="24" t="s">
        <v>408</v>
      </c>
      <c r="B1338" s="24" t="s">
        <v>78</v>
      </c>
      <c r="C1338" s="24" t="s">
        <v>392</v>
      </c>
      <c r="D1338" s="25">
        <v>1165</v>
      </c>
      <c r="E1338" s="25">
        <v>8579</v>
      </c>
      <c r="F1338" s="26">
        <v>1280</v>
      </c>
      <c r="G1338" s="27">
        <v>14.920154</v>
      </c>
    </row>
    <row r="1339" spans="1:7" hidden="1" x14ac:dyDescent="0.25">
      <c r="A1339" s="24" t="s">
        <v>411</v>
      </c>
      <c r="B1339" s="24" t="s">
        <v>78</v>
      </c>
      <c r="C1339" s="24" t="s">
        <v>392</v>
      </c>
      <c r="D1339" s="25">
        <v>1</v>
      </c>
      <c r="E1339" s="25">
        <v>320</v>
      </c>
      <c r="F1339" s="26">
        <v>25.6</v>
      </c>
      <c r="G1339" s="27">
        <v>8</v>
      </c>
    </row>
    <row r="1340" spans="1:7" hidden="1" x14ac:dyDescent="0.25">
      <c r="A1340" s="24" t="s">
        <v>415</v>
      </c>
      <c r="B1340" s="24" t="s">
        <v>78</v>
      </c>
      <c r="C1340" s="24" t="s">
        <v>392</v>
      </c>
      <c r="D1340" s="25">
        <v>472</v>
      </c>
      <c r="E1340" s="25">
        <v>3859</v>
      </c>
      <c r="F1340" s="26">
        <v>703.8</v>
      </c>
      <c r="G1340" s="27">
        <v>18.237884999999999</v>
      </c>
    </row>
    <row r="1341" spans="1:7" hidden="1" x14ac:dyDescent="0.25">
      <c r="A1341" s="24" t="s">
        <v>416</v>
      </c>
      <c r="B1341" s="24" t="s">
        <v>78</v>
      </c>
      <c r="C1341" s="24" t="s">
        <v>392</v>
      </c>
      <c r="D1341" s="25">
        <v>1</v>
      </c>
      <c r="E1341" s="25">
        <v>677</v>
      </c>
      <c r="F1341" s="26">
        <v>54</v>
      </c>
      <c r="G1341" s="27">
        <v>7.9763662999999996</v>
      </c>
    </row>
    <row r="1342" spans="1:7" hidden="1" x14ac:dyDescent="0.25">
      <c r="A1342" s="24" t="s">
        <v>1473</v>
      </c>
      <c r="B1342" s="24" t="s">
        <v>78</v>
      </c>
      <c r="C1342" s="24" t="s">
        <v>283</v>
      </c>
      <c r="D1342" s="25">
        <v>5723</v>
      </c>
      <c r="E1342" s="25">
        <v>67181</v>
      </c>
      <c r="F1342" s="26">
        <v>9558.7999999999993</v>
      </c>
      <c r="G1342" s="27">
        <v>14.228427999999999</v>
      </c>
    </row>
    <row r="1343" spans="1:7" hidden="1" x14ac:dyDescent="0.25">
      <c r="A1343" s="24" t="s">
        <v>1474</v>
      </c>
      <c r="B1343" s="24" t="s">
        <v>78</v>
      </c>
      <c r="C1343" s="24" t="s">
        <v>278</v>
      </c>
      <c r="D1343" s="25">
        <v>67155</v>
      </c>
      <c r="E1343" s="25">
        <v>623708</v>
      </c>
      <c r="F1343" s="26">
        <v>102197</v>
      </c>
      <c r="G1343" s="27">
        <v>16.385392</v>
      </c>
    </row>
    <row r="1344" spans="1:7" hidden="1" x14ac:dyDescent="0.25">
      <c r="A1344" s="24" t="s">
        <v>424</v>
      </c>
      <c r="B1344" s="24" t="s">
        <v>80</v>
      </c>
      <c r="C1344" s="24" t="s">
        <v>392</v>
      </c>
      <c r="D1344" s="25">
        <v>10</v>
      </c>
      <c r="E1344" s="25">
        <v>1694</v>
      </c>
      <c r="F1344" s="26">
        <v>809.2</v>
      </c>
      <c r="G1344" s="27">
        <v>47.768594999999998</v>
      </c>
    </row>
    <row r="1345" spans="1:7" hidden="1" x14ac:dyDescent="0.25">
      <c r="A1345" s="24" t="s">
        <v>1475</v>
      </c>
      <c r="B1345" s="24" t="s">
        <v>80</v>
      </c>
      <c r="C1345" s="24" t="s">
        <v>278</v>
      </c>
      <c r="D1345" s="25">
        <v>459942</v>
      </c>
      <c r="E1345" s="25">
        <v>4448035</v>
      </c>
      <c r="F1345" s="26">
        <v>750735.3</v>
      </c>
      <c r="G1345" s="27">
        <v>16.877908999999999</v>
      </c>
    </row>
    <row r="1346" spans="1:7" hidden="1" x14ac:dyDescent="0.25">
      <c r="A1346" s="24" t="s">
        <v>1476</v>
      </c>
      <c r="B1346" s="24" t="s">
        <v>80</v>
      </c>
      <c r="C1346" s="24" t="s">
        <v>283</v>
      </c>
      <c r="D1346" s="25">
        <v>11729</v>
      </c>
      <c r="E1346" s="25">
        <v>151596</v>
      </c>
      <c r="F1346" s="26">
        <v>16891.599999999999</v>
      </c>
      <c r="G1346" s="27">
        <v>11.14251</v>
      </c>
    </row>
    <row r="1347" spans="1:7" hidden="1" x14ac:dyDescent="0.25">
      <c r="A1347" s="24" t="s">
        <v>1477</v>
      </c>
      <c r="B1347" s="24" t="s">
        <v>80</v>
      </c>
      <c r="C1347" s="24" t="s">
        <v>283</v>
      </c>
      <c r="D1347" s="25">
        <v>6624</v>
      </c>
      <c r="E1347" s="25">
        <v>121053</v>
      </c>
      <c r="F1347" s="26">
        <v>21053.5</v>
      </c>
      <c r="G1347" s="27">
        <v>17.391969</v>
      </c>
    </row>
    <row r="1348" spans="1:7" hidden="1" x14ac:dyDescent="0.25">
      <c r="A1348" s="24" t="s">
        <v>1478</v>
      </c>
      <c r="B1348" s="24" t="s">
        <v>80</v>
      </c>
      <c r="C1348" s="24" t="s">
        <v>283</v>
      </c>
      <c r="D1348" s="25">
        <v>25184</v>
      </c>
      <c r="E1348" s="25">
        <v>640799</v>
      </c>
      <c r="F1348" s="26">
        <v>85361</v>
      </c>
      <c r="G1348" s="27">
        <v>13.321026</v>
      </c>
    </row>
    <row r="1349" spans="1:7" hidden="1" x14ac:dyDescent="0.25">
      <c r="A1349" s="24" t="s">
        <v>391</v>
      </c>
      <c r="B1349" s="24" t="s">
        <v>80</v>
      </c>
      <c r="C1349" s="24" t="s">
        <v>392</v>
      </c>
      <c r="D1349" s="25">
        <v>2</v>
      </c>
      <c r="E1349" s="25">
        <v>1749</v>
      </c>
      <c r="F1349" s="26">
        <v>193.3</v>
      </c>
      <c r="G1349" s="27">
        <v>11.05203</v>
      </c>
    </row>
    <row r="1350" spans="1:7" hidden="1" x14ac:dyDescent="0.25">
      <c r="A1350" s="24" t="s">
        <v>400</v>
      </c>
      <c r="B1350" s="24" t="s">
        <v>80</v>
      </c>
      <c r="C1350" s="24" t="s">
        <v>392</v>
      </c>
      <c r="D1350" s="25">
        <v>297</v>
      </c>
      <c r="E1350" s="25">
        <v>2068</v>
      </c>
      <c r="F1350" s="26">
        <v>124</v>
      </c>
      <c r="G1350" s="27">
        <v>5.9961314999999997</v>
      </c>
    </row>
    <row r="1351" spans="1:7" hidden="1" x14ac:dyDescent="0.25">
      <c r="A1351" s="24" t="s">
        <v>1479</v>
      </c>
      <c r="B1351" s="24" t="s">
        <v>80</v>
      </c>
      <c r="C1351" s="24" t="s">
        <v>278</v>
      </c>
      <c r="D1351" s="25">
        <v>871244</v>
      </c>
      <c r="E1351" s="25">
        <v>9761086</v>
      </c>
      <c r="F1351" s="26">
        <v>1297534.7</v>
      </c>
      <c r="G1351" s="27">
        <v>13.292934000000001</v>
      </c>
    </row>
    <row r="1352" spans="1:7" hidden="1" x14ac:dyDescent="0.25">
      <c r="A1352" s="24" t="s">
        <v>401</v>
      </c>
      <c r="B1352" s="24" t="s">
        <v>80</v>
      </c>
      <c r="C1352" s="24" t="s">
        <v>392</v>
      </c>
      <c r="D1352" s="25">
        <v>69</v>
      </c>
      <c r="E1352" s="25">
        <v>3030</v>
      </c>
      <c r="F1352" s="26">
        <v>609</v>
      </c>
      <c r="G1352" s="27">
        <v>20.09901</v>
      </c>
    </row>
    <row r="1353" spans="1:7" hidden="1" x14ac:dyDescent="0.25">
      <c r="A1353" s="24" t="s">
        <v>1480</v>
      </c>
      <c r="B1353" s="24" t="s">
        <v>80</v>
      </c>
      <c r="C1353" s="24" t="s">
        <v>278</v>
      </c>
      <c r="D1353" s="25">
        <v>1945910</v>
      </c>
      <c r="E1353" s="25">
        <v>20198012</v>
      </c>
      <c r="F1353" s="26">
        <v>2862701</v>
      </c>
      <c r="G1353" s="27">
        <v>14.173182000000001</v>
      </c>
    </row>
    <row r="1354" spans="1:7" hidden="1" x14ac:dyDescent="0.25">
      <c r="A1354" s="24" t="s">
        <v>1481</v>
      </c>
      <c r="B1354" s="24" t="s">
        <v>80</v>
      </c>
      <c r="C1354" s="24" t="s">
        <v>278</v>
      </c>
      <c r="D1354" s="25">
        <v>66554</v>
      </c>
      <c r="E1354" s="25">
        <v>929981</v>
      </c>
      <c r="F1354" s="26">
        <v>147286.39999999999</v>
      </c>
      <c r="G1354" s="27">
        <v>15.837571000000001</v>
      </c>
    </row>
    <row r="1355" spans="1:7" hidden="1" x14ac:dyDescent="0.25">
      <c r="A1355" s="24" t="s">
        <v>408</v>
      </c>
      <c r="B1355" s="24" t="s">
        <v>80</v>
      </c>
      <c r="C1355" s="24" t="s">
        <v>392</v>
      </c>
      <c r="D1355" s="25">
        <v>9382</v>
      </c>
      <c r="E1355" s="25">
        <v>76312</v>
      </c>
      <c r="F1355" s="26">
        <v>10828.2</v>
      </c>
      <c r="G1355" s="27">
        <v>14.18938</v>
      </c>
    </row>
    <row r="1356" spans="1:7" hidden="1" x14ac:dyDescent="0.25">
      <c r="A1356" s="24" t="s">
        <v>409</v>
      </c>
      <c r="B1356" s="24" t="s">
        <v>80</v>
      </c>
      <c r="C1356" s="24" t="s">
        <v>392</v>
      </c>
      <c r="D1356" s="25">
        <v>2097</v>
      </c>
      <c r="E1356" s="25">
        <v>18889</v>
      </c>
      <c r="F1356" s="26">
        <v>2576</v>
      </c>
      <c r="G1356" s="27">
        <v>13.637567000000001</v>
      </c>
    </row>
    <row r="1357" spans="1:7" hidden="1" x14ac:dyDescent="0.25">
      <c r="A1357" s="24" t="s">
        <v>411</v>
      </c>
      <c r="B1357" s="24" t="s">
        <v>80</v>
      </c>
      <c r="C1357" s="24" t="s">
        <v>392</v>
      </c>
      <c r="D1357" s="25">
        <v>102</v>
      </c>
      <c r="E1357" s="25">
        <v>18938</v>
      </c>
      <c r="F1357" s="26">
        <v>2364.4</v>
      </c>
      <c r="G1357" s="27">
        <v>12.484951000000001</v>
      </c>
    </row>
    <row r="1358" spans="1:7" hidden="1" x14ac:dyDescent="0.25">
      <c r="A1358" s="24" t="s">
        <v>412</v>
      </c>
      <c r="B1358" s="24" t="s">
        <v>80</v>
      </c>
      <c r="C1358" s="24" t="s">
        <v>392</v>
      </c>
      <c r="D1358" s="25">
        <v>204</v>
      </c>
      <c r="E1358" s="25">
        <v>2233</v>
      </c>
      <c r="F1358" s="26">
        <v>559.79999999999995</v>
      </c>
      <c r="G1358" s="27">
        <v>25.069413000000001</v>
      </c>
    </row>
    <row r="1359" spans="1:7" hidden="1" x14ac:dyDescent="0.25">
      <c r="A1359" s="24" t="s">
        <v>413</v>
      </c>
      <c r="B1359" s="24" t="s">
        <v>80</v>
      </c>
      <c r="C1359" s="24" t="s">
        <v>392</v>
      </c>
      <c r="D1359" s="25">
        <v>1163</v>
      </c>
      <c r="E1359" s="25">
        <v>12042</v>
      </c>
      <c r="F1359" s="26">
        <v>1194.9000000000001</v>
      </c>
      <c r="G1359" s="27">
        <v>9.9227702999999998</v>
      </c>
    </row>
    <row r="1360" spans="1:7" hidden="1" x14ac:dyDescent="0.25">
      <c r="A1360" s="24" t="s">
        <v>414</v>
      </c>
      <c r="B1360" s="24" t="s">
        <v>80</v>
      </c>
      <c r="C1360" s="24" t="s">
        <v>392</v>
      </c>
      <c r="D1360" s="25">
        <v>10701</v>
      </c>
      <c r="E1360" s="25">
        <v>104138</v>
      </c>
      <c r="F1360" s="26">
        <v>16517.8</v>
      </c>
      <c r="G1360" s="27">
        <v>15.861452999999999</v>
      </c>
    </row>
    <row r="1361" spans="1:7" hidden="1" x14ac:dyDescent="0.25">
      <c r="A1361" s="24" t="s">
        <v>415</v>
      </c>
      <c r="B1361" s="24" t="s">
        <v>80</v>
      </c>
      <c r="C1361" s="24" t="s">
        <v>392</v>
      </c>
      <c r="D1361" s="25">
        <v>7500</v>
      </c>
      <c r="E1361" s="25">
        <v>64650</v>
      </c>
      <c r="F1361" s="26">
        <v>10014.5</v>
      </c>
      <c r="G1361" s="27">
        <v>15.490333</v>
      </c>
    </row>
    <row r="1362" spans="1:7" hidden="1" x14ac:dyDescent="0.25">
      <c r="A1362" s="24" t="s">
        <v>1482</v>
      </c>
      <c r="B1362" s="24" t="s">
        <v>80</v>
      </c>
      <c r="C1362" s="24" t="s">
        <v>281</v>
      </c>
      <c r="D1362" s="25">
        <v>11695</v>
      </c>
      <c r="E1362" s="25">
        <v>149265</v>
      </c>
      <c r="F1362" s="26">
        <v>18619</v>
      </c>
      <c r="G1362" s="27">
        <v>12.473788000000001</v>
      </c>
    </row>
    <row r="1363" spans="1:7" hidden="1" x14ac:dyDescent="0.25">
      <c r="A1363" s="24" t="s">
        <v>416</v>
      </c>
      <c r="B1363" s="24" t="s">
        <v>80</v>
      </c>
      <c r="C1363" s="24" t="s">
        <v>392</v>
      </c>
      <c r="D1363" s="25">
        <v>152</v>
      </c>
      <c r="E1363" s="25">
        <v>27740</v>
      </c>
      <c r="F1363" s="26">
        <v>3262.5</v>
      </c>
      <c r="G1363" s="27">
        <v>11.760994999999999</v>
      </c>
    </row>
    <row r="1364" spans="1:7" hidden="1" x14ac:dyDescent="0.25">
      <c r="A1364" s="24" t="s">
        <v>421</v>
      </c>
      <c r="B1364" s="24" t="s">
        <v>80</v>
      </c>
      <c r="C1364" s="24" t="s">
        <v>392</v>
      </c>
      <c r="D1364" s="25">
        <v>13347</v>
      </c>
      <c r="E1364" s="25">
        <v>83882</v>
      </c>
      <c r="F1364" s="26">
        <v>10754.4</v>
      </c>
      <c r="G1364" s="27">
        <v>12.820867</v>
      </c>
    </row>
    <row r="1365" spans="1:7" hidden="1" x14ac:dyDescent="0.25">
      <c r="A1365" s="24" t="s">
        <v>1483</v>
      </c>
      <c r="B1365" s="24" t="s">
        <v>83</v>
      </c>
      <c r="C1365" s="24" t="s">
        <v>281</v>
      </c>
      <c r="D1365" s="25">
        <v>18111</v>
      </c>
      <c r="E1365" s="25">
        <v>217171</v>
      </c>
      <c r="F1365" s="26">
        <v>33385</v>
      </c>
      <c r="G1365" s="27">
        <v>15.372679</v>
      </c>
    </row>
    <row r="1366" spans="1:7" hidden="1" x14ac:dyDescent="0.25">
      <c r="A1366" s="24" t="s">
        <v>1484</v>
      </c>
      <c r="B1366" s="24" t="s">
        <v>83</v>
      </c>
      <c r="C1366" s="24" t="s">
        <v>281</v>
      </c>
      <c r="D1366" s="25">
        <v>15614</v>
      </c>
      <c r="E1366" s="25">
        <v>779624</v>
      </c>
      <c r="F1366" s="26">
        <v>67894.2</v>
      </c>
      <c r="G1366" s="27">
        <v>8.7085825999999997</v>
      </c>
    </row>
    <row r="1367" spans="1:7" hidden="1" x14ac:dyDescent="0.25">
      <c r="A1367" s="24" t="s">
        <v>1485</v>
      </c>
      <c r="B1367" s="24" t="s">
        <v>83</v>
      </c>
      <c r="C1367" s="24" t="s">
        <v>283</v>
      </c>
      <c r="D1367" s="25">
        <v>41900</v>
      </c>
      <c r="E1367" s="25">
        <v>997340</v>
      </c>
      <c r="F1367" s="26">
        <v>85008.4</v>
      </c>
      <c r="G1367" s="27">
        <v>8.5235125000000007</v>
      </c>
    </row>
    <row r="1368" spans="1:7" hidden="1" x14ac:dyDescent="0.25">
      <c r="A1368" s="24" t="s">
        <v>1486</v>
      </c>
      <c r="B1368" s="24" t="s">
        <v>83</v>
      </c>
      <c r="C1368" s="24" t="s">
        <v>283</v>
      </c>
      <c r="D1368" s="25">
        <v>10534</v>
      </c>
      <c r="E1368" s="25">
        <v>200563</v>
      </c>
      <c r="F1368" s="26">
        <v>22734.3</v>
      </c>
      <c r="G1368" s="27">
        <v>11.335241</v>
      </c>
    </row>
    <row r="1369" spans="1:7" hidden="1" x14ac:dyDescent="0.25">
      <c r="A1369" s="24" t="s">
        <v>390</v>
      </c>
      <c r="B1369" s="24" t="s">
        <v>83</v>
      </c>
      <c r="C1369" s="24" t="s">
        <v>281</v>
      </c>
      <c r="D1369" s="25">
        <v>4605</v>
      </c>
      <c r="E1369" s="25">
        <v>89711</v>
      </c>
      <c r="F1369" s="26">
        <v>13054.7</v>
      </c>
      <c r="G1369" s="27">
        <v>14.55195</v>
      </c>
    </row>
    <row r="1370" spans="1:7" hidden="1" x14ac:dyDescent="0.25">
      <c r="A1370" s="24" t="s">
        <v>1487</v>
      </c>
      <c r="B1370" s="24" t="s">
        <v>83</v>
      </c>
      <c r="C1370" s="24" t="s">
        <v>281</v>
      </c>
      <c r="D1370" s="25">
        <v>24042</v>
      </c>
      <c r="E1370" s="25">
        <v>673108</v>
      </c>
      <c r="F1370" s="26">
        <v>56794</v>
      </c>
      <c r="G1370" s="27">
        <v>8.4375760999999994</v>
      </c>
    </row>
    <row r="1371" spans="1:7" hidden="1" x14ac:dyDescent="0.25">
      <c r="A1371" s="24" t="s">
        <v>1488</v>
      </c>
      <c r="B1371" s="24" t="s">
        <v>83</v>
      </c>
      <c r="C1371" s="24" t="s">
        <v>278</v>
      </c>
      <c r="D1371" s="25">
        <v>97547</v>
      </c>
      <c r="E1371" s="25">
        <v>1622625</v>
      </c>
      <c r="F1371" s="26">
        <v>182320</v>
      </c>
      <c r="G1371" s="27">
        <v>11.236114000000001</v>
      </c>
    </row>
    <row r="1372" spans="1:7" hidden="1" x14ac:dyDescent="0.25">
      <c r="A1372" s="24" t="s">
        <v>1489</v>
      </c>
      <c r="B1372" s="24" t="s">
        <v>83</v>
      </c>
      <c r="C1372" s="24" t="s">
        <v>281</v>
      </c>
      <c r="D1372" s="25">
        <v>13105</v>
      </c>
      <c r="E1372" s="25">
        <v>340890</v>
      </c>
      <c r="F1372" s="26">
        <v>35128</v>
      </c>
      <c r="G1372" s="27">
        <v>10.304790000000001</v>
      </c>
    </row>
    <row r="1373" spans="1:7" hidden="1" x14ac:dyDescent="0.25">
      <c r="A1373" s="24" t="s">
        <v>1490</v>
      </c>
      <c r="B1373" s="24" t="s">
        <v>83</v>
      </c>
      <c r="C1373" s="24" t="s">
        <v>281</v>
      </c>
      <c r="D1373" s="25">
        <v>31030</v>
      </c>
      <c r="E1373" s="25">
        <v>391271</v>
      </c>
      <c r="F1373" s="26">
        <v>50699</v>
      </c>
      <c r="G1373" s="27">
        <v>12.957515000000001</v>
      </c>
    </row>
    <row r="1374" spans="1:7" hidden="1" x14ac:dyDescent="0.25">
      <c r="A1374" s="24" t="s">
        <v>1491</v>
      </c>
      <c r="B1374" s="24" t="s">
        <v>83</v>
      </c>
      <c r="C1374" s="24" t="s">
        <v>281</v>
      </c>
      <c r="D1374" s="25">
        <v>28792</v>
      </c>
      <c r="E1374" s="25">
        <v>261230</v>
      </c>
      <c r="F1374" s="26">
        <v>42442</v>
      </c>
      <c r="G1374" s="27">
        <v>16.246984999999999</v>
      </c>
    </row>
    <row r="1375" spans="1:7" hidden="1" x14ac:dyDescent="0.25">
      <c r="A1375" s="24" t="s">
        <v>1492</v>
      </c>
      <c r="B1375" s="24" t="s">
        <v>83</v>
      </c>
      <c r="C1375" s="24" t="s">
        <v>281</v>
      </c>
      <c r="D1375" s="25">
        <v>11148</v>
      </c>
      <c r="E1375" s="25">
        <v>815396</v>
      </c>
      <c r="F1375" s="26">
        <v>59236</v>
      </c>
      <c r="G1375" s="27">
        <v>7.264691</v>
      </c>
    </row>
    <row r="1376" spans="1:7" hidden="1" x14ac:dyDescent="0.25">
      <c r="A1376" s="24" t="s">
        <v>1493</v>
      </c>
      <c r="B1376" s="24" t="s">
        <v>83</v>
      </c>
      <c r="C1376" s="24" t="s">
        <v>283</v>
      </c>
      <c r="D1376" s="25">
        <v>8759</v>
      </c>
      <c r="E1376" s="25">
        <v>582062</v>
      </c>
      <c r="F1376" s="26">
        <v>37752.199999999997</v>
      </c>
      <c r="G1376" s="27">
        <v>6.4859413999999997</v>
      </c>
    </row>
    <row r="1377" spans="1:7" hidden="1" x14ac:dyDescent="0.25">
      <c r="A1377" s="24" t="s">
        <v>1494</v>
      </c>
      <c r="B1377" s="24" t="s">
        <v>83</v>
      </c>
      <c r="C1377" s="24" t="s">
        <v>281</v>
      </c>
      <c r="D1377" s="25">
        <v>10994</v>
      </c>
      <c r="E1377" s="25">
        <v>69457</v>
      </c>
      <c r="F1377" s="26">
        <v>11496</v>
      </c>
      <c r="G1377" s="27">
        <v>16.551248000000001</v>
      </c>
    </row>
    <row r="1378" spans="1:7" hidden="1" x14ac:dyDescent="0.25">
      <c r="A1378" s="24" t="s">
        <v>404</v>
      </c>
      <c r="B1378" s="24" t="s">
        <v>83</v>
      </c>
      <c r="C1378" s="24" t="s">
        <v>174</v>
      </c>
      <c r="D1378" s="25">
        <v>10518</v>
      </c>
      <c r="E1378" s="25">
        <v>115627</v>
      </c>
      <c r="F1378" s="26">
        <v>14245</v>
      </c>
      <c r="G1378" s="27">
        <v>12.319787</v>
      </c>
    </row>
    <row r="1379" spans="1:7" hidden="1" x14ac:dyDescent="0.25">
      <c r="A1379" s="24" t="s">
        <v>405</v>
      </c>
      <c r="B1379" s="24" t="s">
        <v>83</v>
      </c>
      <c r="C1379" s="24" t="s">
        <v>281</v>
      </c>
      <c r="D1379" s="25">
        <v>1568</v>
      </c>
      <c r="E1379" s="25">
        <v>9880</v>
      </c>
      <c r="F1379" s="26">
        <v>1233.3</v>
      </c>
      <c r="G1379" s="27">
        <v>12.482794</v>
      </c>
    </row>
    <row r="1380" spans="1:7" hidden="1" x14ac:dyDescent="0.25">
      <c r="A1380" s="24" t="s">
        <v>1495</v>
      </c>
      <c r="B1380" s="24" t="s">
        <v>83</v>
      </c>
      <c r="C1380" s="24" t="s">
        <v>281</v>
      </c>
      <c r="D1380" s="25">
        <v>19308</v>
      </c>
      <c r="E1380" s="25">
        <v>178574</v>
      </c>
      <c r="F1380" s="26">
        <v>30446</v>
      </c>
      <c r="G1380" s="27">
        <v>17.049513999999999</v>
      </c>
    </row>
    <row r="1381" spans="1:7" hidden="1" x14ac:dyDescent="0.25">
      <c r="A1381" s="24" t="s">
        <v>1496</v>
      </c>
      <c r="B1381" s="24" t="s">
        <v>83</v>
      </c>
      <c r="C1381" s="24" t="s">
        <v>278</v>
      </c>
      <c r="D1381" s="25">
        <v>521984</v>
      </c>
      <c r="E1381" s="25">
        <v>8734397</v>
      </c>
      <c r="F1381" s="26">
        <v>940577</v>
      </c>
      <c r="G1381" s="27">
        <v>10.768654</v>
      </c>
    </row>
    <row r="1382" spans="1:7" hidden="1" x14ac:dyDescent="0.25">
      <c r="A1382" s="24" t="s">
        <v>1497</v>
      </c>
      <c r="B1382" s="24" t="s">
        <v>83</v>
      </c>
      <c r="C1382" s="24" t="s">
        <v>281</v>
      </c>
      <c r="D1382" s="25">
        <v>318</v>
      </c>
      <c r="E1382" s="25">
        <v>2315</v>
      </c>
      <c r="F1382" s="26">
        <v>389.9</v>
      </c>
      <c r="G1382" s="27">
        <v>16.842333</v>
      </c>
    </row>
    <row r="1383" spans="1:7" hidden="1" x14ac:dyDescent="0.25">
      <c r="A1383" s="24" t="s">
        <v>1498</v>
      </c>
      <c r="B1383" s="24" t="s">
        <v>83</v>
      </c>
      <c r="C1383" s="24" t="s">
        <v>281</v>
      </c>
      <c r="D1383" s="25">
        <v>6000</v>
      </c>
      <c r="E1383" s="25">
        <v>139793</v>
      </c>
      <c r="F1383" s="26">
        <v>15476</v>
      </c>
      <c r="G1383" s="27">
        <v>11.070653999999999</v>
      </c>
    </row>
    <row r="1384" spans="1:7" hidden="1" x14ac:dyDescent="0.25">
      <c r="A1384" s="24" t="s">
        <v>1499</v>
      </c>
      <c r="B1384" s="24" t="s">
        <v>83</v>
      </c>
      <c r="C1384" s="24" t="s">
        <v>281</v>
      </c>
      <c r="D1384" s="25">
        <v>4186</v>
      </c>
      <c r="E1384" s="25">
        <v>37662</v>
      </c>
      <c r="F1384" s="26">
        <v>6680</v>
      </c>
      <c r="G1384" s="27">
        <v>17.736711</v>
      </c>
    </row>
    <row r="1385" spans="1:7" hidden="1" x14ac:dyDescent="0.25">
      <c r="A1385" s="24" t="s">
        <v>1500</v>
      </c>
      <c r="B1385" s="24" t="s">
        <v>83</v>
      </c>
      <c r="C1385" s="24" t="s">
        <v>281</v>
      </c>
      <c r="D1385" s="25">
        <v>12707</v>
      </c>
      <c r="E1385" s="25">
        <v>172762</v>
      </c>
      <c r="F1385" s="26">
        <v>24466</v>
      </c>
      <c r="G1385" s="27">
        <v>14.161678999999999</v>
      </c>
    </row>
    <row r="1386" spans="1:7" hidden="1" x14ac:dyDescent="0.25">
      <c r="A1386" s="24" t="s">
        <v>408</v>
      </c>
      <c r="B1386" s="24" t="s">
        <v>83</v>
      </c>
      <c r="C1386" s="24" t="s">
        <v>392</v>
      </c>
      <c r="D1386" s="25">
        <v>945</v>
      </c>
      <c r="E1386" s="25">
        <v>8557</v>
      </c>
      <c r="F1386" s="26">
        <v>972.5</v>
      </c>
      <c r="G1386" s="27">
        <v>11.364964000000001</v>
      </c>
    </row>
    <row r="1387" spans="1:7" hidden="1" x14ac:dyDescent="0.25">
      <c r="A1387" s="24" t="s">
        <v>502</v>
      </c>
      <c r="B1387" s="24" t="s">
        <v>83</v>
      </c>
      <c r="C1387" s="24" t="s">
        <v>281</v>
      </c>
      <c r="D1387" s="25">
        <v>2301</v>
      </c>
      <c r="E1387" s="25">
        <v>441706</v>
      </c>
      <c r="F1387" s="26">
        <v>35243</v>
      </c>
      <c r="G1387" s="27">
        <v>7.9788366000000002</v>
      </c>
    </row>
    <row r="1388" spans="1:7" hidden="1" x14ac:dyDescent="0.25">
      <c r="A1388" s="24" t="s">
        <v>1501</v>
      </c>
      <c r="B1388" s="24" t="s">
        <v>83</v>
      </c>
      <c r="C1388" s="24" t="s">
        <v>278</v>
      </c>
      <c r="D1388" s="25">
        <v>120472</v>
      </c>
      <c r="E1388" s="25">
        <v>5451869</v>
      </c>
      <c r="F1388" s="26">
        <v>385065.3</v>
      </c>
      <c r="G1388" s="27">
        <v>7.0629961999999997</v>
      </c>
    </row>
    <row r="1389" spans="1:7" hidden="1" x14ac:dyDescent="0.25">
      <c r="A1389" s="24" t="s">
        <v>1502</v>
      </c>
      <c r="B1389" s="24" t="s">
        <v>83</v>
      </c>
      <c r="C1389" s="24" t="s">
        <v>281</v>
      </c>
      <c r="D1389" s="25">
        <v>3021</v>
      </c>
      <c r="E1389" s="25">
        <v>254585</v>
      </c>
      <c r="F1389" s="26">
        <v>21019</v>
      </c>
      <c r="G1389" s="27">
        <v>8.2561815999999997</v>
      </c>
    </row>
    <row r="1390" spans="1:7" hidden="1" x14ac:dyDescent="0.25">
      <c r="A1390" s="24" t="s">
        <v>414</v>
      </c>
      <c r="B1390" s="24" t="s">
        <v>83</v>
      </c>
      <c r="C1390" s="24" t="s">
        <v>392</v>
      </c>
      <c r="D1390" s="25">
        <v>766</v>
      </c>
      <c r="E1390" s="25">
        <v>7649</v>
      </c>
      <c r="F1390" s="26">
        <v>1236.7</v>
      </c>
      <c r="G1390" s="27">
        <v>16.168126999999998</v>
      </c>
    </row>
    <row r="1391" spans="1:7" hidden="1" x14ac:dyDescent="0.25">
      <c r="A1391" s="24" t="s">
        <v>415</v>
      </c>
      <c r="B1391" s="24" t="s">
        <v>83</v>
      </c>
      <c r="C1391" s="24" t="s">
        <v>392</v>
      </c>
      <c r="D1391" s="25">
        <v>6</v>
      </c>
      <c r="E1391" s="25">
        <v>2</v>
      </c>
      <c r="F1391" s="26">
        <v>0.4</v>
      </c>
      <c r="G1391" s="27">
        <v>20</v>
      </c>
    </row>
    <row r="1392" spans="1:7" hidden="1" x14ac:dyDescent="0.25">
      <c r="A1392" s="24" t="s">
        <v>505</v>
      </c>
      <c r="B1392" s="24" t="s">
        <v>83</v>
      </c>
      <c r="C1392" s="24" t="s">
        <v>281</v>
      </c>
      <c r="D1392" s="25">
        <v>5</v>
      </c>
      <c r="E1392" s="25">
        <v>22</v>
      </c>
      <c r="F1392" s="26">
        <v>3.7</v>
      </c>
      <c r="G1392" s="27">
        <v>16.818182</v>
      </c>
    </row>
    <row r="1393" spans="1:7" hidden="1" x14ac:dyDescent="0.25">
      <c r="A1393" s="24" t="s">
        <v>421</v>
      </c>
      <c r="B1393" s="24" t="s">
        <v>83</v>
      </c>
      <c r="C1393" s="24" t="s">
        <v>392</v>
      </c>
      <c r="D1393" s="25">
        <v>1411</v>
      </c>
      <c r="E1393" s="25">
        <v>12686</v>
      </c>
      <c r="F1393" s="26">
        <v>1337.5</v>
      </c>
      <c r="G1393" s="27">
        <v>10.543118</v>
      </c>
    </row>
    <row r="1394" spans="1:7" hidden="1" x14ac:dyDescent="0.25">
      <c r="A1394" s="24" t="s">
        <v>422</v>
      </c>
      <c r="B1394" s="24" t="s">
        <v>83</v>
      </c>
      <c r="C1394" s="24" t="s">
        <v>351</v>
      </c>
      <c r="D1394" s="25">
        <v>27</v>
      </c>
      <c r="E1394" s="25">
        <v>218350</v>
      </c>
      <c r="F1394" s="26">
        <v>5892.9</v>
      </c>
      <c r="G1394" s="27">
        <v>2.6988322</v>
      </c>
    </row>
    <row r="1395" spans="1:7" hidden="1" x14ac:dyDescent="0.25">
      <c r="A1395" s="24" t="s">
        <v>384</v>
      </c>
      <c r="B1395" s="24" t="s">
        <v>75</v>
      </c>
      <c r="C1395" s="24" t="s">
        <v>385</v>
      </c>
      <c r="D1395" s="25">
        <v>271</v>
      </c>
      <c r="E1395" s="25">
        <v>23171</v>
      </c>
      <c r="F1395" s="26">
        <v>1974</v>
      </c>
      <c r="G1395" s="27">
        <v>8.5192698</v>
      </c>
    </row>
    <row r="1396" spans="1:7" hidden="1" x14ac:dyDescent="0.25">
      <c r="A1396" s="24" t="s">
        <v>1503</v>
      </c>
      <c r="B1396" s="24" t="s">
        <v>75</v>
      </c>
      <c r="C1396" s="24" t="s">
        <v>283</v>
      </c>
      <c r="D1396" s="25">
        <v>7989</v>
      </c>
      <c r="E1396" s="25">
        <v>153373</v>
      </c>
      <c r="F1396" s="26">
        <v>16388.599999999999</v>
      </c>
      <c r="G1396" s="27">
        <v>10.685453000000001</v>
      </c>
    </row>
    <row r="1397" spans="1:7" hidden="1" x14ac:dyDescent="0.25">
      <c r="A1397" s="24" t="s">
        <v>1504</v>
      </c>
      <c r="B1397" s="24" t="s">
        <v>75</v>
      </c>
      <c r="C1397" s="24" t="s">
        <v>174</v>
      </c>
      <c r="D1397" s="25">
        <v>6</v>
      </c>
      <c r="E1397" s="25">
        <v>595663</v>
      </c>
      <c r="F1397" s="26">
        <v>13213</v>
      </c>
      <c r="G1397" s="27">
        <v>2.2182005999999999</v>
      </c>
    </row>
    <row r="1398" spans="1:7" hidden="1" x14ac:dyDescent="0.25">
      <c r="A1398" s="24" t="s">
        <v>400</v>
      </c>
      <c r="B1398" s="24" t="s">
        <v>75</v>
      </c>
      <c r="C1398" s="24" t="s">
        <v>392</v>
      </c>
      <c r="D1398" s="25">
        <v>49</v>
      </c>
      <c r="E1398" s="25">
        <v>162</v>
      </c>
      <c r="F1398" s="26">
        <v>18</v>
      </c>
      <c r="G1398" s="27">
        <v>11.111110999999999</v>
      </c>
    </row>
    <row r="1399" spans="1:7" hidden="1" x14ac:dyDescent="0.25">
      <c r="A1399" s="24" t="s">
        <v>1505</v>
      </c>
      <c r="B1399" s="24" t="s">
        <v>75</v>
      </c>
      <c r="C1399" s="24" t="s">
        <v>281</v>
      </c>
      <c r="D1399" s="25">
        <v>1326</v>
      </c>
      <c r="E1399" s="25">
        <v>104183</v>
      </c>
      <c r="F1399" s="26">
        <v>6532.2</v>
      </c>
      <c r="G1399" s="27">
        <v>6.2699289</v>
      </c>
    </row>
    <row r="1400" spans="1:7" hidden="1" x14ac:dyDescent="0.25">
      <c r="A1400" s="24" t="s">
        <v>1506</v>
      </c>
      <c r="B1400" s="24" t="s">
        <v>75</v>
      </c>
      <c r="C1400" s="24" t="s">
        <v>281</v>
      </c>
      <c r="D1400" s="25">
        <v>7064</v>
      </c>
      <c r="E1400" s="25">
        <v>521948</v>
      </c>
      <c r="F1400" s="26">
        <v>33177.599999999999</v>
      </c>
      <c r="G1400" s="27">
        <v>6.3564952999999997</v>
      </c>
    </row>
    <row r="1401" spans="1:7" hidden="1" x14ac:dyDescent="0.25">
      <c r="A1401" s="24" t="s">
        <v>1507</v>
      </c>
      <c r="B1401" s="24" t="s">
        <v>75</v>
      </c>
      <c r="C1401" s="24" t="s">
        <v>278</v>
      </c>
      <c r="D1401" s="25">
        <v>1018321</v>
      </c>
      <c r="E1401" s="25">
        <v>20570469</v>
      </c>
      <c r="F1401" s="26">
        <v>2117515</v>
      </c>
      <c r="G1401" s="27">
        <v>10.293956</v>
      </c>
    </row>
    <row r="1402" spans="1:7" hidden="1" x14ac:dyDescent="0.25">
      <c r="A1402" s="24" t="s">
        <v>1508</v>
      </c>
      <c r="B1402" s="24" t="s">
        <v>75</v>
      </c>
      <c r="C1402" s="24" t="s">
        <v>385</v>
      </c>
      <c r="D1402" s="25">
        <v>15344</v>
      </c>
      <c r="E1402" s="25">
        <v>369392</v>
      </c>
      <c r="F1402" s="26">
        <v>36835</v>
      </c>
      <c r="G1402" s="27">
        <v>9.9717915000000001</v>
      </c>
    </row>
    <row r="1403" spans="1:7" hidden="1" x14ac:dyDescent="0.25">
      <c r="A1403" s="24" t="s">
        <v>460</v>
      </c>
      <c r="B1403" s="24" t="s">
        <v>75</v>
      </c>
      <c r="C1403" s="24" t="s">
        <v>281</v>
      </c>
      <c r="D1403" s="25">
        <v>363</v>
      </c>
      <c r="E1403" s="25">
        <v>4276</v>
      </c>
      <c r="F1403" s="26">
        <v>763</v>
      </c>
      <c r="G1403" s="27">
        <v>17.843779000000001</v>
      </c>
    </row>
    <row r="1404" spans="1:7" hidden="1" x14ac:dyDescent="0.25">
      <c r="A1404" s="24" t="s">
        <v>754</v>
      </c>
      <c r="B1404" s="24" t="s">
        <v>75</v>
      </c>
      <c r="C1404" s="24" t="s">
        <v>281</v>
      </c>
      <c r="D1404" s="25">
        <v>1776</v>
      </c>
      <c r="E1404" s="25">
        <v>50094</v>
      </c>
      <c r="F1404" s="26">
        <v>3643</v>
      </c>
      <c r="G1404" s="27">
        <v>7.2723279999999999</v>
      </c>
    </row>
    <row r="1405" spans="1:7" hidden="1" x14ac:dyDescent="0.25">
      <c r="A1405" s="24" t="s">
        <v>1509</v>
      </c>
      <c r="B1405" s="24" t="s">
        <v>75</v>
      </c>
      <c r="C1405" s="24" t="s">
        <v>278</v>
      </c>
      <c r="D1405" s="25">
        <v>342104</v>
      </c>
      <c r="E1405" s="25">
        <v>8637624</v>
      </c>
      <c r="F1405" s="26">
        <v>665249</v>
      </c>
      <c r="G1405" s="27">
        <v>7.7017591999999997</v>
      </c>
    </row>
    <row r="1406" spans="1:7" hidden="1" x14ac:dyDescent="0.25">
      <c r="A1406" s="24" t="s">
        <v>408</v>
      </c>
      <c r="B1406" s="24" t="s">
        <v>75</v>
      </c>
      <c r="C1406" s="24" t="s">
        <v>392</v>
      </c>
      <c r="D1406" s="25">
        <v>11098</v>
      </c>
      <c r="E1406" s="25">
        <v>114135</v>
      </c>
      <c r="F1406" s="26">
        <v>12134.7</v>
      </c>
      <c r="G1406" s="27">
        <v>10.631883</v>
      </c>
    </row>
    <row r="1407" spans="1:7" hidden="1" x14ac:dyDescent="0.25">
      <c r="A1407" s="24" t="s">
        <v>409</v>
      </c>
      <c r="B1407" s="24" t="s">
        <v>75</v>
      </c>
      <c r="C1407" s="24" t="s">
        <v>392</v>
      </c>
      <c r="D1407" s="25">
        <v>93</v>
      </c>
      <c r="E1407" s="25">
        <v>1138</v>
      </c>
      <c r="F1407" s="26">
        <v>132</v>
      </c>
      <c r="G1407" s="27">
        <v>11.599297</v>
      </c>
    </row>
    <row r="1408" spans="1:7" hidden="1" x14ac:dyDescent="0.25">
      <c r="A1408" s="24" t="s">
        <v>411</v>
      </c>
      <c r="B1408" s="24" t="s">
        <v>75</v>
      </c>
      <c r="C1408" s="24" t="s">
        <v>392</v>
      </c>
      <c r="D1408" s="25">
        <v>61</v>
      </c>
      <c r="E1408" s="25">
        <v>2108</v>
      </c>
      <c r="F1408" s="26">
        <v>172.8</v>
      </c>
      <c r="G1408" s="27">
        <v>8.1973435000000006</v>
      </c>
    </row>
    <row r="1409" spans="1:7" hidden="1" x14ac:dyDescent="0.25">
      <c r="A1409" s="24" t="s">
        <v>413</v>
      </c>
      <c r="B1409" s="24" t="s">
        <v>75</v>
      </c>
      <c r="C1409" s="24" t="s">
        <v>392</v>
      </c>
      <c r="D1409" s="25">
        <v>191</v>
      </c>
      <c r="E1409" s="25">
        <v>2234</v>
      </c>
      <c r="F1409" s="26">
        <v>310.3</v>
      </c>
      <c r="G1409" s="27">
        <v>13.889884</v>
      </c>
    </row>
    <row r="1410" spans="1:7" hidden="1" x14ac:dyDescent="0.25">
      <c r="A1410" s="24" t="s">
        <v>414</v>
      </c>
      <c r="B1410" s="24" t="s">
        <v>75</v>
      </c>
      <c r="C1410" s="24" t="s">
        <v>392</v>
      </c>
      <c r="D1410" s="25">
        <v>2155</v>
      </c>
      <c r="E1410" s="25">
        <v>20764</v>
      </c>
      <c r="F1410" s="26">
        <v>3382.6</v>
      </c>
      <c r="G1410" s="27">
        <v>16.290694999999999</v>
      </c>
    </row>
    <row r="1411" spans="1:7" hidden="1" x14ac:dyDescent="0.25">
      <c r="A1411" s="24" t="s">
        <v>415</v>
      </c>
      <c r="B1411" s="24" t="s">
        <v>75</v>
      </c>
      <c r="C1411" s="24" t="s">
        <v>392</v>
      </c>
      <c r="D1411" s="25">
        <v>2804</v>
      </c>
      <c r="E1411" s="25">
        <v>32826</v>
      </c>
      <c r="F1411" s="26">
        <v>4039.5</v>
      </c>
      <c r="G1411" s="27">
        <v>12.305794000000001</v>
      </c>
    </row>
    <row r="1412" spans="1:7" hidden="1" x14ac:dyDescent="0.25">
      <c r="A1412" s="24" t="s">
        <v>467</v>
      </c>
      <c r="B1412" s="24" t="s">
        <v>75</v>
      </c>
      <c r="C1412" s="24" t="s">
        <v>281</v>
      </c>
      <c r="D1412" s="25">
        <v>11</v>
      </c>
      <c r="E1412" s="25">
        <v>97</v>
      </c>
      <c r="F1412" s="26">
        <v>9.1</v>
      </c>
      <c r="G1412" s="27">
        <v>9.3814433000000008</v>
      </c>
    </row>
    <row r="1413" spans="1:7" hidden="1" x14ac:dyDescent="0.25">
      <c r="A1413" s="24" t="s">
        <v>470</v>
      </c>
      <c r="B1413" s="24" t="s">
        <v>75</v>
      </c>
      <c r="C1413" s="24" t="s">
        <v>281</v>
      </c>
      <c r="D1413" s="25">
        <v>21856</v>
      </c>
      <c r="E1413" s="25">
        <v>527499</v>
      </c>
      <c r="F1413" s="26">
        <v>57808</v>
      </c>
      <c r="G1413" s="27">
        <v>10.958883</v>
      </c>
    </row>
    <row r="1414" spans="1:7" hidden="1" x14ac:dyDescent="0.25">
      <c r="A1414" s="24" t="s">
        <v>422</v>
      </c>
      <c r="B1414" s="24" t="s">
        <v>75</v>
      </c>
      <c r="C1414" s="24" t="s">
        <v>351</v>
      </c>
      <c r="D1414" s="25">
        <v>6</v>
      </c>
      <c r="E1414" s="25">
        <v>28984</v>
      </c>
      <c r="F1414" s="26">
        <v>379.4</v>
      </c>
      <c r="G1414" s="27">
        <v>1.3089980999999999</v>
      </c>
    </row>
    <row r="1415" spans="1:7" hidden="1" x14ac:dyDescent="0.25">
      <c r="A1415" s="24" t="s">
        <v>1510</v>
      </c>
      <c r="B1415" s="24" t="s">
        <v>75</v>
      </c>
      <c r="C1415" s="24" t="s">
        <v>281</v>
      </c>
      <c r="D1415" s="25">
        <v>5412</v>
      </c>
      <c r="E1415" s="25">
        <v>764677</v>
      </c>
      <c r="F1415" s="26">
        <v>40694</v>
      </c>
      <c r="G1415" s="27">
        <v>5.3217241</v>
      </c>
    </row>
    <row r="1416" spans="1:7" hidden="1" x14ac:dyDescent="0.25">
      <c r="A1416" s="24" t="s">
        <v>1511</v>
      </c>
      <c r="B1416" s="24" t="s">
        <v>86</v>
      </c>
      <c r="C1416" s="24" t="s">
        <v>278</v>
      </c>
      <c r="D1416" s="25">
        <v>257813</v>
      </c>
      <c r="E1416" s="25">
        <v>2560833</v>
      </c>
      <c r="F1416" s="26">
        <v>398743.8</v>
      </c>
      <c r="G1416" s="27">
        <v>15.570862999999999</v>
      </c>
    </row>
    <row r="1417" spans="1:7" hidden="1" x14ac:dyDescent="0.25">
      <c r="A1417" s="24" t="s">
        <v>1512</v>
      </c>
      <c r="B1417" s="24" t="s">
        <v>86</v>
      </c>
      <c r="C1417" s="24" t="s">
        <v>283</v>
      </c>
      <c r="D1417" s="25">
        <v>10056</v>
      </c>
      <c r="E1417" s="25">
        <v>470264</v>
      </c>
      <c r="F1417" s="26">
        <v>17848</v>
      </c>
      <c r="G1417" s="27">
        <v>3.795315</v>
      </c>
    </row>
    <row r="1418" spans="1:7" hidden="1" x14ac:dyDescent="0.25">
      <c r="A1418" s="24" t="s">
        <v>1513</v>
      </c>
      <c r="B1418" s="24" t="s">
        <v>86</v>
      </c>
      <c r="C1418" s="24" t="s">
        <v>283</v>
      </c>
      <c r="D1418" s="25">
        <v>3641</v>
      </c>
      <c r="E1418" s="25">
        <v>112009</v>
      </c>
      <c r="F1418" s="26">
        <v>5614</v>
      </c>
      <c r="G1418" s="27">
        <v>5.0120972000000004</v>
      </c>
    </row>
    <row r="1419" spans="1:7" hidden="1" x14ac:dyDescent="0.25">
      <c r="A1419" s="24" t="s">
        <v>1514</v>
      </c>
      <c r="B1419" s="24" t="s">
        <v>86</v>
      </c>
      <c r="C1419" s="24" t="s">
        <v>278</v>
      </c>
      <c r="D1419" s="25">
        <v>2583808</v>
      </c>
      <c r="E1419" s="25">
        <v>19226835</v>
      </c>
      <c r="F1419" s="26">
        <v>4348461</v>
      </c>
      <c r="G1419" s="27">
        <v>22.616624000000002</v>
      </c>
    </row>
    <row r="1420" spans="1:7" hidden="1" x14ac:dyDescent="0.25">
      <c r="A1420" s="24" t="s">
        <v>1515</v>
      </c>
      <c r="B1420" s="24" t="s">
        <v>86</v>
      </c>
      <c r="C1420" s="24" t="s">
        <v>278</v>
      </c>
      <c r="D1420" s="25">
        <v>761</v>
      </c>
      <c r="E1420" s="25">
        <v>5968</v>
      </c>
      <c r="F1420" s="26">
        <v>2142.4</v>
      </c>
      <c r="G1420" s="27">
        <v>35.898122999999998</v>
      </c>
    </row>
    <row r="1421" spans="1:7" hidden="1" x14ac:dyDescent="0.25">
      <c r="A1421" s="24" t="s">
        <v>400</v>
      </c>
      <c r="B1421" s="24" t="s">
        <v>86</v>
      </c>
      <c r="C1421" s="24" t="s">
        <v>392</v>
      </c>
      <c r="D1421" s="25">
        <v>276</v>
      </c>
      <c r="E1421" s="25">
        <v>1282</v>
      </c>
      <c r="F1421" s="26">
        <v>112</v>
      </c>
      <c r="G1421" s="27">
        <v>8.7363494999999993</v>
      </c>
    </row>
    <row r="1422" spans="1:7" hidden="1" x14ac:dyDescent="0.25">
      <c r="A1422" s="24" t="s">
        <v>1516</v>
      </c>
      <c r="B1422" s="24" t="s">
        <v>86</v>
      </c>
      <c r="C1422" s="24" t="s">
        <v>283</v>
      </c>
      <c r="D1422" s="25">
        <v>19016</v>
      </c>
      <c r="E1422" s="25">
        <v>430644</v>
      </c>
      <c r="F1422" s="26">
        <v>32350</v>
      </c>
      <c r="G1422" s="27">
        <v>7.5120053000000002</v>
      </c>
    </row>
    <row r="1423" spans="1:7" hidden="1" x14ac:dyDescent="0.25">
      <c r="A1423" s="24" t="s">
        <v>1517</v>
      </c>
      <c r="B1423" s="24" t="s">
        <v>86</v>
      </c>
      <c r="C1423" s="24" t="s">
        <v>283</v>
      </c>
      <c r="D1423" s="25">
        <v>4947</v>
      </c>
      <c r="E1423" s="25">
        <v>161223</v>
      </c>
      <c r="F1423" s="26">
        <v>8065</v>
      </c>
      <c r="G1423" s="27">
        <v>5.0023879999999998</v>
      </c>
    </row>
    <row r="1424" spans="1:7" hidden="1" x14ac:dyDescent="0.25">
      <c r="A1424" s="24" t="s">
        <v>1518</v>
      </c>
      <c r="B1424" s="24" t="s">
        <v>86</v>
      </c>
      <c r="C1424" s="24" t="s">
        <v>174</v>
      </c>
      <c r="D1424" s="25">
        <v>1123626</v>
      </c>
      <c r="E1424" s="25">
        <v>17225147</v>
      </c>
      <c r="F1424" s="26">
        <v>3308794.1</v>
      </c>
      <c r="G1424" s="27">
        <v>19.209091000000001</v>
      </c>
    </row>
    <row r="1425" spans="1:7" hidden="1" x14ac:dyDescent="0.25">
      <c r="A1425" s="24" t="s">
        <v>401</v>
      </c>
      <c r="B1425" s="24" t="s">
        <v>86</v>
      </c>
      <c r="C1425" s="24" t="s">
        <v>392</v>
      </c>
      <c r="D1425" s="25">
        <v>3</v>
      </c>
      <c r="E1425" s="25">
        <v>272</v>
      </c>
      <c r="F1425" s="26">
        <v>51.5</v>
      </c>
      <c r="G1425" s="27">
        <v>18.933824000000001</v>
      </c>
    </row>
    <row r="1426" spans="1:7" hidden="1" x14ac:dyDescent="0.25">
      <c r="A1426" s="24" t="s">
        <v>1519</v>
      </c>
      <c r="B1426" s="24" t="s">
        <v>86</v>
      </c>
      <c r="C1426" s="24" t="s">
        <v>278</v>
      </c>
      <c r="D1426" s="25">
        <v>697811</v>
      </c>
      <c r="E1426" s="25">
        <v>6808780</v>
      </c>
      <c r="F1426" s="26">
        <v>779219.2</v>
      </c>
      <c r="G1426" s="27">
        <v>11.444329</v>
      </c>
    </row>
    <row r="1427" spans="1:7" hidden="1" x14ac:dyDescent="0.25">
      <c r="A1427" s="24" t="s">
        <v>1520</v>
      </c>
      <c r="B1427" s="24" t="s">
        <v>86</v>
      </c>
      <c r="C1427" s="24" t="s">
        <v>278</v>
      </c>
      <c r="D1427" s="25">
        <v>1348697</v>
      </c>
      <c r="E1427" s="25">
        <v>13184751</v>
      </c>
      <c r="F1427" s="26">
        <v>1509604.6</v>
      </c>
      <c r="G1427" s="27">
        <v>11.449624999999999</v>
      </c>
    </row>
    <row r="1428" spans="1:7" hidden="1" x14ac:dyDescent="0.25">
      <c r="A1428" s="24" t="s">
        <v>1521</v>
      </c>
      <c r="B1428" s="24" t="s">
        <v>86</v>
      </c>
      <c r="C1428" s="24" t="s">
        <v>281</v>
      </c>
      <c r="D1428" s="25">
        <v>1860</v>
      </c>
      <c r="E1428" s="25">
        <v>7331</v>
      </c>
      <c r="F1428" s="26">
        <v>2010</v>
      </c>
      <c r="G1428" s="27">
        <v>27.417815000000001</v>
      </c>
    </row>
    <row r="1429" spans="1:7" hidden="1" x14ac:dyDescent="0.25">
      <c r="A1429" s="24" t="s">
        <v>1522</v>
      </c>
      <c r="B1429" s="24" t="s">
        <v>86</v>
      </c>
      <c r="C1429" s="24" t="s">
        <v>278</v>
      </c>
      <c r="D1429" s="25">
        <v>149828</v>
      </c>
      <c r="E1429" s="25">
        <v>1508898</v>
      </c>
      <c r="F1429" s="26">
        <v>287652.8</v>
      </c>
      <c r="G1429" s="27">
        <v>19.063766999999999</v>
      </c>
    </row>
    <row r="1430" spans="1:7" hidden="1" x14ac:dyDescent="0.25">
      <c r="A1430" s="24" t="s">
        <v>1523</v>
      </c>
      <c r="B1430" s="24" t="s">
        <v>86</v>
      </c>
      <c r="C1430" s="24" t="s">
        <v>278</v>
      </c>
      <c r="D1430" s="25">
        <v>3429</v>
      </c>
      <c r="E1430" s="25">
        <v>43335</v>
      </c>
      <c r="F1430" s="26">
        <v>4462.5</v>
      </c>
      <c r="G1430" s="27">
        <v>10.297681000000001</v>
      </c>
    </row>
    <row r="1431" spans="1:7" hidden="1" x14ac:dyDescent="0.25">
      <c r="A1431" s="24" t="s">
        <v>1524</v>
      </c>
      <c r="B1431" s="24" t="s">
        <v>86</v>
      </c>
      <c r="C1431" s="24" t="s">
        <v>278</v>
      </c>
      <c r="D1431" s="25">
        <v>302015</v>
      </c>
      <c r="E1431" s="25">
        <v>2710235</v>
      </c>
      <c r="F1431" s="26">
        <v>358399.9</v>
      </c>
      <c r="G1431" s="27">
        <v>13.223941999999999</v>
      </c>
    </row>
    <row r="1432" spans="1:7" hidden="1" x14ac:dyDescent="0.25">
      <c r="A1432" s="24" t="s">
        <v>408</v>
      </c>
      <c r="B1432" s="24" t="s">
        <v>86</v>
      </c>
      <c r="C1432" s="24" t="s">
        <v>392</v>
      </c>
      <c r="D1432" s="25">
        <v>16107</v>
      </c>
      <c r="E1432" s="25">
        <v>123886</v>
      </c>
      <c r="F1432" s="26">
        <v>19096.7</v>
      </c>
      <c r="G1432" s="27">
        <v>15.414736</v>
      </c>
    </row>
    <row r="1433" spans="1:7" hidden="1" x14ac:dyDescent="0.25">
      <c r="A1433" s="24" t="s">
        <v>409</v>
      </c>
      <c r="B1433" s="24" t="s">
        <v>86</v>
      </c>
      <c r="C1433" s="24" t="s">
        <v>392</v>
      </c>
      <c r="D1433" s="25">
        <v>1022</v>
      </c>
      <c r="E1433" s="25">
        <v>9538</v>
      </c>
      <c r="F1433" s="26">
        <v>1245.8</v>
      </c>
      <c r="G1433" s="27">
        <v>13.061438000000001</v>
      </c>
    </row>
    <row r="1434" spans="1:7" hidden="1" x14ac:dyDescent="0.25">
      <c r="A1434" s="24" t="s">
        <v>1525</v>
      </c>
      <c r="B1434" s="24" t="s">
        <v>86</v>
      </c>
      <c r="C1434" s="24" t="s">
        <v>281</v>
      </c>
      <c r="D1434" s="25">
        <v>6295</v>
      </c>
      <c r="E1434" s="25">
        <v>82384</v>
      </c>
      <c r="F1434" s="26">
        <v>9694</v>
      </c>
      <c r="G1434" s="27">
        <v>11.766848</v>
      </c>
    </row>
    <row r="1435" spans="1:7" hidden="1" x14ac:dyDescent="0.25">
      <c r="A1435" s="24" t="s">
        <v>411</v>
      </c>
      <c r="B1435" s="24" t="s">
        <v>86</v>
      </c>
      <c r="C1435" s="24" t="s">
        <v>392</v>
      </c>
      <c r="D1435" s="25">
        <v>60</v>
      </c>
      <c r="E1435" s="25">
        <v>2743</v>
      </c>
      <c r="F1435" s="26">
        <v>406.8</v>
      </c>
      <c r="G1435" s="27">
        <v>14.830477999999999</v>
      </c>
    </row>
    <row r="1436" spans="1:7" hidden="1" x14ac:dyDescent="0.25">
      <c r="A1436" s="24" t="s">
        <v>412</v>
      </c>
      <c r="B1436" s="24" t="s">
        <v>86</v>
      </c>
      <c r="C1436" s="24" t="s">
        <v>392</v>
      </c>
      <c r="D1436" s="25">
        <v>4</v>
      </c>
      <c r="E1436" s="25">
        <v>272</v>
      </c>
      <c r="F1436" s="26">
        <v>28.6</v>
      </c>
      <c r="G1436" s="27">
        <v>10.514706</v>
      </c>
    </row>
    <row r="1437" spans="1:7" hidden="1" x14ac:dyDescent="0.25">
      <c r="A1437" s="24" t="s">
        <v>413</v>
      </c>
      <c r="B1437" s="24" t="s">
        <v>86</v>
      </c>
      <c r="C1437" s="24" t="s">
        <v>392</v>
      </c>
      <c r="D1437" s="25">
        <v>5214</v>
      </c>
      <c r="E1437" s="25">
        <v>47776</v>
      </c>
      <c r="F1437" s="26">
        <v>6689.5</v>
      </c>
      <c r="G1437" s="27">
        <v>14.001799999999999</v>
      </c>
    </row>
    <row r="1438" spans="1:7" hidden="1" x14ac:dyDescent="0.25">
      <c r="A1438" s="24" t="s">
        <v>414</v>
      </c>
      <c r="B1438" s="24" t="s">
        <v>86</v>
      </c>
      <c r="C1438" s="24" t="s">
        <v>392</v>
      </c>
      <c r="D1438" s="25">
        <v>512</v>
      </c>
      <c r="E1438" s="25">
        <v>4025</v>
      </c>
      <c r="F1438" s="26">
        <v>939.2</v>
      </c>
      <c r="G1438" s="27">
        <v>23.334161000000002</v>
      </c>
    </row>
    <row r="1439" spans="1:7" hidden="1" x14ac:dyDescent="0.25">
      <c r="A1439" s="24" t="s">
        <v>415</v>
      </c>
      <c r="B1439" s="24" t="s">
        <v>86</v>
      </c>
      <c r="C1439" s="24" t="s">
        <v>392</v>
      </c>
      <c r="D1439" s="25">
        <v>7712</v>
      </c>
      <c r="E1439" s="25">
        <v>53642</v>
      </c>
      <c r="F1439" s="26">
        <v>10209.6</v>
      </c>
      <c r="G1439" s="27">
        <v>19.032847</v>
      </c>
    </row>
    <row r="1440" spans="1:7" hidden="1" x14ac:dyDescent="0.25">
      <c r="A1440" s="24" t="s">
        <v>416</v>
      </c>
      <c r="B1440" s="24" t="s">
        <v>86</v>
      </c>
      <c r="C1440" s="24" t="s">
        <v>392</v>
      </c>
      <c r="D1440" s="25">
        <v>7</v>
      </c>
      <c r="E1440" s="25">
        <v>1646</v>
      </c>
      <c r="F1440" s="26">
        <v>381</v>
      </c>
      <c r="G1440" s="27">
        <v>23.147023000000001</v>
      </c>
    </row>
    <row r="1441" spans="1:7" hidden="1" x14ac:dyDescent="0.25">
      <c r="A1441" s="24" t="s">
        <v>1526</v>
      </c>
      <c r="B1441" s="24" t="s">
        <v>86</v>
      </c>
      <c r="C1441" s="24" t="s">
        <v>283</v>
      </c>
      <c r="D1441" s="25">
        <v>9349</v>
      </c>
      <c r="E1441" s="25">
        <v>190480</v>
      </c>
      <c r="F1441" s="26">
        <v>11960.5</v>
      </c>
      <c r="G1441" s="27">
        <v>6.2791369000000001</v>
      </c>
    </row>
    <row r="1442" spans="1:7" hidden="1" x14ac:dyDescent="0.25">
      <c r="A1442" s="24" t="s">
        <v>1527</v>
      </c>
      <c r="B1442" s="24" t="s">
        <v>86</v>
      </c>
      <c r="C1442" s="24" t="s">
        <v>283</v>
      </c>
      <c r="D1442" s="25">
        <v>4221</v>
      </c>
      <c r="E1442" s="25">
        <v>150083</v>
      </c>
      <c r="F1442" s="26">
        <v>7186</v>
      </c>
      <c r="G1442" s="27">
        <v>4.7880172999999999</v>
      </c>
    </row>
    <row r="1443" spans="1:7" hidden="1" x14ac:dyDescent="0.25">
      <c r="A1443" s="24" t="s">
        <v>1528</v>
      </c>
      <c r="B1443" s="24" t="s">
        <v>86</v>
      </c>
      <c r="C1443" s="24" t="s">
        <v>283</v>
      </c>
      <c r="D1443" s="25">
        <v>17393</v>
      </c>
      <c r="E1443" s="25">
        <v>424813</v>
      </c>
      <c r="F1443" s="26">
        <v>20944.099999999999</v>
      </c>
      <c r="G1443" s="27">
        <v>4.9301928000000004</v>
      </c>
    </row>
    <row r="1444" spans="1:7" hidden="1" x14ac:dyDescent="0.25">
      <c r="A1444" s="24" t="s">
        <v>1529</v>
      </c>
      <c r="B1444" s="24" t="s">
        <v>86</v>
      </c>
      <c r="C1444" s="24" t="s">
        <v>283</v>
      </c>
      <c r="D1444" s="25">
        <v>14611</v>
      </c>
      <c r="E1444" s="25">
        <v>249507</v>
      </c>
      <c r="F1444" s="26">
        <v>30734</v>
      </c>
      <c r="G1444" s="27">
        <v>12.317890999999999</v>
      </c>
    </row>
    <row r="1445" spans="1:7" hidden="1" x14ac:dyDescent="0.25">
      <c r="A1445" s="24" t="s">
        <v>1530</v>
      </c>
      <c r="B1445" s="24" t="s">
        <v>86</v>
      </c>
      <c r="C1445" s="24" t="s">
        <v>283</v>
      </c>
      <c r="D1445" s="25">
        <v>10912</v>
      </c>
      <c r="E1445" s="25">
        <v>200070</v>
      </c>
      <c r="F1445" s="26">
        <v>22959</v>
      </c>
      <c r="G1445" s="27">
        <v>11.475484</v>
      </c>
    </row>
    <row r="1446" spans="1:7" hidden="1" x14ac:dyDescent="0.25">
      <c r="A1446" s="24" t="s">
        <v>1531</v>
      </c>
      <c r="B1446" s="24" t="s">
        <v>86</v>
      </c>
      <c r="C1446" s="24" t="s">
        <v>283</v>
      </c>
      <c r="D1446" s="25">
        <v>1270</v>
      </c>
      <c r="E1446" s="25">
        <v>75905</v>
      </c>
      <c r="F1446" s="26">
        <v>2427.6999999999998</v>
      </c>
      <c r="G1446" s="27">
        <v>3.19834</v>
      </c>
    </row>
    <row r="1447" spans="1:7" hidden="1" x14ac:dyDescent="0.25">
      <c r="A1447" s="24" t="s">
        <v>1532</v>
      </c>
      <c r="B1447" s="24" t="s">
        <v>86</v>
      </c>
      <c r="C1447" s="24" t="s">
        <v>283</v>
      </c>
      <c r="D1447" s="25">
        <v>5114</v>
      </c>
      <c r="E1447" s="25">
        <v>536368</v>
      </c>
      <c r="F1447" s="26">
        <v>24544.3</v>
      </c>
      <c r="G1447" s="27">
        <v>4.5760186999999997</v>
      </c>
    </row>
    <row r="1448" spans="1:7" hidden="1" x14ac:dyDescent="0.25">
      <c r="A1448" s="24" t="s">
        <v>421</v>
      </c>
      <c r="B1448" s="24" t="s">
        <v>86</v>
      </c>
      <c r="C1448" s="24" t="s">
        <v>392</v>
      </c>
      <c r="D1448" s="25">
        <v>11672</v>
      </c>
      <c r="E1448" s="25">
        <v>77001</v>
      </c>
      <c r="F1448" s="26">
        <v>11391.6</v>
      </c>
      <c r="G1448" s="27">
        <v>14.794093999999999</v>
      </c>
    </row>
    <row r="1449" spans="1:7" hidden="1" x14ac:dyDescent="0.25">
      <c r="A1449" s="24" t="s">
        <v>1533</v>
      </c>
      <c r="B1449" s="24" t="s">
        <v>94</v>
      </c>
      <c r="C1449" s="24" t="s">
        <v>281</v>
      </c>
      <c r="D1449" s="25">
        <v>7500</v>
      </c>
      <c r="E1449" s="25">
        <v>103329</v>
      </c>
      <c r="F1449" s="26">
        <v>14853</v>
      </c>
      <c r="G1449" s="27">
        <v>14.374473999999999</v>
      </c>
    </row>
    <row r="1450" spans="1:7" hidden="1" x14ac:dyDescent="0.25">
      <c r="A1450" s="24" t="s">
        <v>1534</v>
      </c>
      <c r="B1450" s="24" t="s">
        <v>94</v>
      </c>
      <c r="C1450" s="24" t="s">
        <v>281</v>
      </c>
      <c r="D1450" s="25">
        <v>18659</v>
      </c>
      <c r="E1450" s="25">
        <v>234739</v>
      </c>
      <c r="F1450" s="26">
        <v>36778.9</v>
      </c>
      <c r="G1450" s="27">
        <v>15.667997</v>
      </c>
    </row>
    <row r="1451" spans="1:7" hidden="1" x14ac:dyDescent="0.25">
      <c r="A1451" s="24" t="s">
        <v>1535</v>
      </c>
      <c r="B1451" s="24" t="s">
        <v>94</v>
      </c>
      <c r="C1451" s="24" t="s">
        <v>281</v>
      </c>
      <c r="D1451" s="25">
        <v>11383</v>
      </c>
      <c r="E1451" s="25">
        <v>207538</v>
      </c>
      <c r="F1451" s="26">
        <v>31465</v>
      </c>
      <c r="G1451" s="27">
        <v>15.161079000000001</v>
      </c>
    </row>
    <row r="1452" spans="1:7" hidden="1" x14ac:dyDescent="0.25">
      <c r="A1452" s="24" t="s">
        <v>1536</v>
      </c>
      <c r="B1452" s="24" t="s">
        <v>94</v>
      </c>
      <c r="C1452" s="24" t="s">
        <v>281</v>
      </c>
      <c r="D1452" s="25">
        <v>11925</v>
      </c>
      <c r="E1452" s="25">
        <v>144838</v>
      </c>
      <c r="F1452" s="26">
        <v>20534</v>
      </c>
      <c r="G1452" s="27">
        <v>14.177218999999999</v>
      </c>
    </row>
    <row r="1453" spans="1:7" hidden="1" x14ac:dyDescent="0.25">
      <c r="A1453" s="24" t="s">
        <v>1537</v>
      </c>
      <c r="B1453" s="24" t="s">
        <v>94</v>
      </c>
      <c r="C1453" s="24" t="s">
        <v>283</v>
      </c>
      <c r="D1453" s="25">
        <v>6012</v>
      </c>
      <c r="E1453" s="25">
        <v>99933</v>
      </c>
      <c r="F1453" s="26">
        <v>11096</v>
      </c>
      <c r="G1453" s="27">
        <v>11.103439</v>
      </c>
    </row>
    <row r="1454" spans="1:7" hidden="1" x14ac:dyDescent="0.25">
      <c r="A1454" s="24" t="s">
        <v>1538</v>
      </c>
      <c r="B1454" s="24" t="s">
        <v>94</v>
      </c>
      <c r="C1454" s="24" t="s">
        <v>283</v>
      </c>
      <c r="D1454" s="25">
        <v>14641</v>
      </c>
      <c r="E1454" s="25">
        <v>527310</v>
      </c>
      <c r="F1454" s="26">
        <v>55845</v>
      </c>
      <c r="G1454" s="27">
        <v>10.590544</v>
      </c>
    </row>
    <row r="1455" spans="1:7" hidden="1" x14ac:dyDescent="0.25">
      <c r="A1455" s="24" t="s">
        <v>1539</v>
      </c>
      <c r="B1455" s="24" t="s">
        <v>94</v>
      </c>
      <c r="C1455" s="24" t="s">
        <v>283</v>
      </c>
      <c r="D1455" s="25">
        <v>5827</v>
      </c>
      <c r="E1455" s="25">
        <v>177461</v>
      </c>
      <c r="F1455" s="26">
        <v>19793.2</v>
      </c>
      <c r="G1455" s="27">
        <v>11.153549</v>
      </c>
    </row>
    <row r="1456" spans="1:7" hidden="1" x14ac:dyDescent="0.25">
      <c r="A1456" s="24" t="s">
        <v>1540</v>
      </c>
      <c r="B1456" s="24" t="s">
        <v>94</v>
      </c>
      <c r="C1456" s="24" t="s">
        <v>283</v>
      </c>
      <c r="D1456" s="25">
        <v>7703</v>
      </c>
      <c r="E1456" s="25">
        <v>223834</v>
      </c>
      <c r="F1456" s="26">
        <v>18262</v>
      </c>
      <c r="G1456" s="27">
        <v>8.1587247999999999</v>
      </c>
    </row>
    <row r="1457" spans="1:7" hidden="1" x14ac:dyDescent="0.25">
      <c r="A1457" s="24" t="s">
        <v>1541</v>
      </c>
      <c r="B1457" s="24" t="s">
        <v>94</v>
      </c>
      <c r="C1457" s="24" t="s">
        <v>283</v>
      </c>
      <c r="D1457" s="25">
        <v>73364</v>
      </c>
      <c r="E1457" s="25">
        <v>1588114</v>
      </c>
      <c r="F1457" s="26">
        <v>191989.3</v>
      </c>
      <c r="G1457" s="27">
        <v>12.089138</v>
      </c>
    </row>
    <row r="1458" spans="1:7" hidden="1" x14ac:dyDescent="0.25">
      <c r="A1458" s="24" t="s">
        <v>1542</v>
      </c>
      <c r="B1458" s="24" t="s">
        <v>94</v>
      </c>
      <c r="C1458" s="24" t="s">
        <v>283</v>
      </c>
      <c r="D1458" s="25">
        <v>13487</v>
      </c>
      <c r="E1458" s="25">
        <v>787427</v>
      </c>
      <c r="F1458" s="26">
        <v>83845.5</v>
      </c>
      <c r="G1458" s="27">
        <v>10.648035</v>
      </c>
    </row>
    <row r="1459" spans="1:7" hidden="1" x14ac:dyDescent="0.25">
      <c r="A1459" s="24" t="s">
        <v>1543</v>
      </c>
      <c r="B1459" s="24" t="s">
        <v>94</v>
      </c>
      <c r="C1459" s="24" t="s">
        <v>283</v>
      </c>
      <c r="D1459" s="25">
        <v>25749</v>
      </c>
      <c r="E1459" s="25">
        <v>416497</v>
      </c>
      <c r="F1459" s="26">
        <v>47735.5</v>
      </c>
      <c r="G1459" s="27">
        <v>11.461187000000001</v>
      </c>
    </row>
    <row r="1460" spans="1:7" hidden="1" x14ac:dyDescent="0.25">
      <c r="A1460" s="24" t="s">
        <v>1544</v>
      </c>
      <c r="B1460" s="24" t="s">
        <v>94</v>
      </c>
      <c r="C1460" s="24" t="s">
        <v>283</v>
      </c>
      <c r="D1460" s="25">
        <v>6818</v>
      </c>
      <c r="E1460" s="25">
        <v>222120</v>
      </c>
      <c r="F1460" s="26">
        <v>29209</v>
      </c>
      <c r="G1460" s="27">
        <v>13.150099000000001</v>
      </c>
    </row>
    <row r="1461" spans="1:7" hidden="1" x14ac:dyDescent="0.25">
      <c r="A1461" s="24" t="s">
        <v>1545</v>
      </c>
      <c r="B1461" s="24" t="s">
        <v>94</v>
      </c>
      <c r="C1461" s="24" t="s">
        <v>283</v>
      </c>
      <c r="D1461" s="25">
        <v>5956</v>
      </c>
      <c r="E1461" s="25">
        <v>104457</v>
      </c>
      <c r="F1461" s="26">
        <v>12370.9</v>
      </c>
      <c r="G1461" s="27">
        <v>11.843055</v>
      </c>
    </row>
    <row r="1462" spans="1:7" hidden="1" x14ac:dyDescent="0.25">
      <c r="A1462" s="24" t="s">
        <v>1546</v>
      </c>
      <c r="B1462" s="24" t="s">
        <v>94</v>
      </c>
      <c r="C1462" s="24" t="s">
        <v>283</v>
      </c>
      <c r="D1462" s="25">
        <v>29678</v>
      </c>
      <c r="E1462" s="25">
        <v>552949</v>
      </c>
      <c r="F1462" s="26">
        <v>65698</v>
      </c>
      <c r="G1462" s="27">
        <v>11.881385</v>
      </c>
    </row>
    <row r="1463" spans="1:7" hidden="1" x14ac:dyDescent="0.25">
      <c r="A1463" s="24" t="s">
        <v>1547</v>
      </c>
      <c r="B1463" s="24" t="s">
        <v>94</v>
      </c>
      <c r="C1463" s="24" t="s">
        <v>283</v>
      </c>
      <c r="D1463" s="25">
        <v>6712</v>
      </c>
      <c r="E1463" s="25">
        <v>166862</v>
      </c>
      <c r="F1463" s="26">
        <v>20781.900000000001</v>
      </c>
      <c r="G1463" s="27">
        <v>12.454542999999999</v>
      </c>
    </row>
    <row r="1464" spans="1:7" hidden="1" x14ac:dyDescent="0.25">
      <c r="A1464" s="24" t="s">
        <v>1548</v>
      </c>
      <c r="B1464" s="24" t="s">
        <v>94</v>
      </c>
      <c r="C1464" s="24" t="s">
        <v>283</v>
      </c>
      <c r="D1464" s="25">
        <v>4166</v>
      </c>
      <c r="E1464" s="25">
        <v>182937</v>
      </c>
      <c r="F1464" s="26">
        <v>22375</v>
      </c>
      <c r="G1464" s="27">
        <v>12.230987000000001</v>
      </c>
    </row>
    <row r="1465" spans="1:7" hidden="1" x14ac:dyDescent="0.25">
      <c r="A1465" s="24" t="s">
        <v>1549</v>
      </c>
      <c r="B1465" s="24" t="s">
        <v>94</v>
      </c>
      <c r="C1465" s="24" t="s">
        <v>283</v>
      </c>
      <c r="D1465" s="25">
        <v>9299</v>
      </c>
      <c r="E1465" s="25">
        <v>352670</v>
      </c>
      <c r="F1465" s="26">
        <v>31534</v>
      </c>
      <c r="G1465" s="27">
        <v>8.9415034000000002</v>
      </c>
    </row>
    <row r="1466" spans="1:7" hidden="1" x14ac:dyDescent="0.25">
      <c r="A1466" s="24" t="s">
        <v>1550</v>
      </c>
      <c r="B1466" s="24" t="s">
        <v>94</v>
      </c>
      <c r="C1466" s="24" t="s">
        <v>283</v>
      </c>
      <c r="D1466" s="25">
        <v>5888</v>
      </c>
      <c r="E1466" s="25">
        <v>145364</v>
      </c>
      <c r="F1466" s="26">
        <v>16127.9</v>
      </c>
      <c r="G1466" s="27">
        <v>11.094837999999999</v>
      </c>
    </row>
    <row r="1467" spans="1:7" hidden="1" x14ac:dyDescent="0.25">
      <c r="A1467" s="24" t="s">
        <v>1551</v>
      </c>
      <c r="B1467" s="24" t="s">
        <v>94</v>
      </c>
      <c r="C1467" s="24" t="s">
        <v>283</v>
      </c>
      <c r="D1467" s="25">
        <v>3112</v>
      </c>
      <c r="E1467" s="25">
        <v>94923</v>
      </c>
      <c r="F1467" s="26">
        <v>9979</v>
      </c>
      <c r="G1467" s="27">
        <v>10.512731</v>
      </c>
    </row>
    <row r="1468" spans="1:7" hidden="1" x14ac:dyDescent="0.25">
      <c r="A1468" s="24" t="s">
        <v>1552</v>
      </c>
      <c r="B1468" s="24" t="s">
        <v>94</v>
      </c>
      <c r="C1468" s="24" t="s">
        <v>283</v>
      </c>
      <c r="D1468" s="25">
        <v>7383</v>
      </c>
      <c r="E1468" s="25">
        <v>296932</v>
      </c>
      <c r="F1468" s="26">
        <v>30359</v>
      </c>
      <c r="G1468" s="27">
        <v>10.224226</v>
      </c>
    </row>
    <row r="1469" spans="1:7" hidden="1" x14ac:dyDescent="0.25">
      <c r="A1469" s="24" t="s">
        <v>1553</v>
      </c>
      <c r="B1469" s="24" t="s">
        <v>94</v>
      </c>
      <c r="C1469" s="24" t="s">
        <v>283</v>
      </c>
      <c r="D1469" s="25">
        <v>12361</v>
      </c>
      <c r="E1469" s="25">
        <v>220087</v>
      </c>
      <c r="F1469" s="26">
        <v>26525.3</v>
      </c>
      <c r="G1469" s="27">
        <v>12.052187999999999</v>
      </c>
    </row>
    <row r="1470" spans="1:7" hidden="1" x14ac:dyDescent="0.25">
      <c r="A1470" s="24" t="s">
        <v>1554</v>
      </c>
      <c r="B1470" s="24" t="s">
        <v>94</v>
      </c>
      <c r="C1470" s="24" t="s">
        <v>283</v>
      </c>
      <c r="D1470" s="25">
        <v>10723</v>
      </c>
      <c r="E1470" s="25">
        <v>297777</v>
      </c>
      <c r="F1470" s="26">
        <v>28557</v>
      </c>
      <c r="G1470" s="27">
        <v>9.5900624000000008</v>
      </c>
    </row>
    <row r="1471" spans="1:7" hidden="1" x14ac:dyDescent="0.25">
      <c r="A1471" s="24" t="s">
        <v>1555</v>
      </c>
      <c r="B1471" s="24" t="s">
        <v>94</v>
      </c>
      <c r="C1471" s="24" t="s">
        <v>283</v>
      </c>
      <c r="D1471" s="25">
        <v>5037</v>
      </c>
      <c r="E1471" s="25">
        <v>94767</v>
      </c>
      <c r="F1471" s="26">
        <v>11763.2</v>
      </c>
      <c r="G1471" s="27">
        <v>12.41276</v>
      </c>
    </row>
    <row r="1472" spans="1:7" hidden="1" x14ac:dyDescent="0.25">
      <c r="A1472" s="24" t="s">
        <v>1556</v>
      </c>
      <c r="B1472" s="24" t="s">
        <v>94</v>
      </c>
      <c r="C1472" s="24" t="s">
        <v>283</v>
      </c>
      <c r="D1472" s="25">
        <v>4156</v>
      </c>
      <c r="E1472" s="25">
        <v>217000</v>
      </c>
      <c r="F1472" s="26">
        <v>20053</v>
      </c>
      <c r="G1472" s="27">
        <v>9.2410137999999993</v>
      </c>
    </row>
    <row r="1473" spans="1:7" hidden="1" x14ac:dyDescent="0.25">
      <c r="A1473" s="24" t="s">
        <v>1557</v>
      </c>
      <c r="B1473" s="24" t="s">
        <v>94</v>
      </c>
      <c r="C1473" s="24" t="s">
        <v>283</v>
      </c>
      <c r="D1473" s="25">
        <v>4991</v>
      </c>
      <c r="E1473" s="25">
        <v>162748</v>
      </c>
      <c r="F1473" s="26">
        <v>17172</v>
      </c>
      <c r="G1473" s="27">
        <v>10.551282</v>
      </c>
    </row>
    <row r="1474" spans="1:7" hidden="1" x14ac:dyDescent="0.25">
      <c r="A1474" s="24" t="s">
        <v>1558</v>
      </c>
      <c r="B1474" s="24" t="s">
        <v>94</v>
      </c>
      <c r="C1474" s="24" t="s">
        <v>283</v>
      </c>
      <c r="D1474" s="25">
        <v>13513</v>
      </c>
      <c r="E1474" s="25">
        <v>278922</v>
      </c>
      <c r="F1474" s="26">
        <v>31240</v>
      </c>
      <c r="G1474" s="27">
        <v>11.200264000000001</v>
      </c>
    </row>
    <row r="1475" spans="1:7" hidden="1" x14ac:dyDescent="0.25">
      <c r="A1475" s="24" t="s">
        <v>1559</v>
      </c>
      <c r="B1475" s="24" t="s">
        <v>94</v>
      </c>
      <c r="C1475" s="24" t="s">
        <v>283</v>
      </c>
      <c r="D1475" s="25">
        <v>5412</v>
      </c>
      <c r="E1475" s="25">
        <v>183089</v>
      </c>
      <c r="F1475" s="26">
        <v>17074</v>
      </c>
      <c r="G1475" s="27">
        <v>9.3255192999999998</v>
      </c>
    </row>
    <row r="1476" spans="1:7" hidden="1" x14ac:dyDescent="0.25">
      <c r="A1476" s="24" t="s">
        <v>1560</v>
      </c>
      <c r="B1476" s="24" t="s">
        <v>94</v>
      </c>
      <c r="C1476" s="24" t="s">
        <v>283</v>
      </c>
      <c r="D1476" s="25">
        <v>17007</v>
      </c>
      <c r="E1476" s="25">
        <v>461124</v>
      </c>
      <c r="F1476" s="26">
        <v>48142</v>
      </c>
      <c r="G1476" s="27">
        <v>10.440142</v>
      </c>
    </row>
    <row r="1477" spans="1:7" hidden="1" x14ac:dyDescent="0.25">
      <c r="A1477" s="24" t="s">
        <v>1561</v>
      </c>
      <c r="B1477" s="24" t="s">
        <v>94</v>
      </c>
      <c r="C1477" s="24" t="s">
        <v>278</v>
      </c>
      <c r="D1477" s="25">
        <v>207198</v>
      </c>
      <c r="E1477" s="25">
        <v>2177975</v>
      </c>
      <c r="F1477" s="26">
        <v>259904.5</v>
      </c>
      <c r="G1477" s="27">
        <v>11.933310000000001</v>
      </c>
    </row>
    <row r="1478" spans="1:7" hidden="1" x14ac:dyDescent="0.25">
      <c r="A1478" s="24" t="s">
        <v>1562</v>
      </c>
      <c r="B1478" s="24" t="s">
        <v>94</v>
      </c>
      <c r="C1478" s="24" t="s">
        <v>283</v>
      </c>
      <c r="D1478" s="25">
        <v>3032</v>
      </c>
      <c r="E1478" s="25">
        <v>226180</v>
      </c>
      <c r="F1478" s="26">
        <v>18903</v>
      </c>
      <c r="G1478" s="27">
        <v>8.3575029000000001</v>
      </c>
    </row>
    <row r="1479" spans="1:7" hidden="1" x14ac:dyDescent="0.25">
      <c r="A1479" s="24" t="s">
        <v>1563</v>
      </c>
      <c r="B1479" s="24" t="s">
        <v>94</v>
      </c>
      <c r="C1479" s="24" t="s">
        <v>281</v>
      </c>
      <c r="D1479" s="25">
        <v>17250</v>
      </c>
      <c r="E1479" s="25">
        <v>350799</v>
      </c>
      <c r="F1479" s="26">
        <v>42429</v>
      </c>
      <c r="G1479" s="27">
        <v>12.09496</v>
      </c>
    </row>
    <row r="1480" spans="1:7" hidden="1" x14ac:dyDescent="0.25">
      <c r="A1480" s="24" t="s">
        <v>1564</v>
      </c>
      <c r="B1480" s="24" t="s">
        <v>94</v>
      </c>
      <c r="C1480" s="24" t="s">
        <v>281</v>
      </c>
      <c r="D1480" s="25">
        <v>5095</v>
      </c>
      <c r="E1480" s="25">
        <v>112227</v>
      </c>
      <c r="F1480" s="26">
        <v>14096</v>
      </c>
      <c r="G1480" s="27">
        <v>12.560257</v>
      </c>
    </row>
    <row r="1481" spans="1:7" hidden="1" x14ac:dyDescent="0.25">
      <c r="A1481" s="24" t="s">
        <v>1565</v>
      </c>
      <c r="B1481" s="24" t="s">
        <v>94</v>
      </c>
      <c r="C1481" s="24" t="s">
        <v>278</v>
      </c>
      <c r="D1481" s="25">
        <v>263242</v>
      </c>
      <c r="E1481" s="25">
        <v>3655649</v>
      </c>
      <c r="F1481" s="26">
        <v>385585</v>
      </c>
      <c r="G1481" s="27">
        <v>10.547648000000001</v>
      </c>
    </row>
    <row r="1482" spans="1:7" hidden="1" x14ac:dyDescent="0.25">
      <c r="A1482" s="24" t="s">
        <v>1566</v>
      </c>
      <c r="B1482" s="24" t="s">
        <v>94</v>
      </c>
      <c r="C1482" s="24" t="s">
        <v>278</v>
      </c>
      <c r="D1482" s="25">
        <v>324095</v>
      </c>
      <c r="E1482" s="25">
        <v>4346057</v>
      </c>
      <c r="F1482" s="26">
        <v>478891.3</v>
      </c>
      <c r="G1482" s="27">
        <v>11.018983</v>
      </c>
    </row>
    <row r="1483" spans="1:7" hidden="1" x14ac:dyDescent="0.25">
      <c r="A1483" s="24" t="s">
        <v>1567</v>
      </c>
      <c r="B1483" s="24" t="s">
        <v>94</v>
      </c>
      <c r="C1483" s="24" t="s">
        <v>281</v>
      </c>
      <c r="D1483" s="25">
        <v>9081</v>
      </c>
      <c r="E1483" s="25">
        <v>140610</v>
      </c>
      <c r="F1483" s="26">
        <v>18264</v>
      </c>
      <c r="G1483" s="27">
        <v>12.989119000000001</v>
      </c>
    </row>
    <row r="1484" spans="1:7" hidden="1" x14ac:dyDescent="0.25">
      <c r="A1484" s="24" t="s">
        <v>1568</v>
      </c>
      <c r="B1484" s="24" t="s">
        <v>94</v>
      </c>
      <c r="C1484" s="24" t="s">
        <v>281</v>
      </c>
      <c r="D1484" s="25">
        <v>9023</v>
      </c>
      <c r="E1484" s="25">
        <v>109979</v>
      </c>
      <c r="F1484" s="26">
        <v>15194</v>
      </c>
      <c r="G1484" s="27">
        <v>13.815365</v>
      </c>
    </row>
    <row r="1485" spans="1:7" hidden="1" x14ac:dyDescent="0.25">
      <c r="A1485" s="24" t="s">
        <v>1569</v>
      </c>
      <c r="B1485" s="24" t="s">
        <v>94</v>
      </c>
      <c r="C1485" s="24" t="s">
        <v>281</v>
      </c>
      <c r="D1485" s="25">
        <v>16873</v>
      </c>
      <c r="E1485" s="25">
        <v>240569</v>
      </c>
      <c r="F1485" s="26">
        <v>33035</v>
      </c>
      <c r="G1485" s="27">
        <v>13.732027</v>
      </c>
    </row>
    <row r="1486" spans="1:7" hidden="1" x14ac:dyDescent="0.25">
      <c r="A1486" s="24" t="s">
        <v>1570</v>
      </c>
      <c r="B1486" s="24" t="s">
        <v>94</v>
      </c>
      <c r="C1486" s="24" t="s">
        <v>281</v>
      </c>
      <c r="D1486" s="25">
        <v>13344</v>
      </c>
      <c r="E1486" s="25">
        <v>338240</v>
      </c>
      <c r="F1486" s="26">
        <v>41724.1</v>
      </c>
      <c r="G1486" s="27">
        <v>12.335649</v>
      </c>
    </row>
    <row r="1487" spans="1:7" hidden="1" x14ac:dyDescent="0.25">
      <c r="A1487" s="24" t="s">
        <v>1571</v>
      </c>
      <c r="B1487" s="24" t="s">
        <v>94</v>
      </c>
      <c r="C1487" s="24" t="s">
        <v>281</v>
      </c>
      <c r="D1487" s="25">
        <v>17331</v>
      </c>
      <c r="E1487" s="25">
        <v>334511</v>
      </c>
      <c r="F1487" s="26">
        <v>40577.800000000003</v>
      </c>
      <c r="G1487" s="27">
        <v>12.130483</v>
      </c>
    </row>
    <row r="1488" spans="1:7" hidden="1" x14ac:dyDescent="0.25">
      <c r="A1488" s="24" t="s">
        <v>1572</v>
      </c>
      <c r="B1488" s="24" t="s">
        <v>94</v>
      </c>
      <c r="C1488" s="24" t="s">
        <v>281</v>
      </c>
      <c r="D1488" s="25">
        <v>25571</v>
      </c>
      <c r="E1488" s="25">
        <v>358238</v>
      </c>
      <c r="F1488" s="26">
        <v>51506</v>
      </c>
      <c r="G1488" s="27">
        <v>14.377592999999999</v>
      </c>
    </row>
    <row r="1489" spans="1:7" hidden="1" x14ac:dyDescent="0.25">
      <c r="A1489" s="24" t="s">
        <v>1573</v>
      </c>
      <c r="B1489" s="24" t="s">
        <v>94</v>
      </c>
      <c r="C1489" s="24" t="s">
        <v>281</v>
      </c>
      <c r="D1489" s="25">
        <v>4621</v>
      </c>
      <c r="E1489" s="25">
        <v>169069</v>
      </c>
      <c r="F1489" s="26">
        <v>18910.099999999999</v>
      </c>
      <c r="G1489" s="27">
        <v>11.184842</v>
      </c>
    </row>
    <row r="1490" spans="1:7" hidden="1" x14ac:dyDescent="0.25">
      <c r="A1490" s="24" t="s">
        <v>1574</v>
      </c>
      <c r="B1490" s="24" t="s">
        <v>94</v>
      </c>
      <c r="C1490" s="24" t="s">
        <v>281</v>
      </c>
      <c r="D1490" s="25">
        <v>16293</v>
      </c>
      <c r="E1490" s="25">
        <v>309539</v>
      </c>
      <c r="F1490" s="26">
        <v>36187</v>
      </c>
      <c r="G1490" s="27">
        <v>11.690611000000001</v>
      </c>
    </row>
    <row r="1491" spans="1:7" hidden="1" x14ac:dyDescent="0.25">
      <c r="A1491" s="24" t="s">
        <v>1575</v>
      </c>
      <c r="B1491" s="24" t="s">
        <v>94</v>
      </c>
      <c r="C1491" s="24" t="s">
        <v>281</v>
      </c>
      <c r="D1491" s="25">
        <v>8127</v>
      </c>
      <c r="E1491" s="25">
        <v>158834</v>
      </c>
      <c r="F1491" s="26">
        <v>20596</v>
      </c>
      <c r="G1491" s="27">
        <v>12.966996999999999</v>
      </c>
    </row>
    <row r="1492" spans="1:7" hidden="1" x14ac:dyDescent="0.25">
      <c r="A1492" s="24" t="s">
        <v>1576</v>
      </c>
      <c r="B1492" s="24" t="s">
        <v>94</v>
      </c>
      <c r="C1492" s="24" t="s">
        <v>281</v>
      </c>
      <c r="D1492" s="25">
        <v>10723</v>
      </c>
      <c r="E1492" s="25">
        <v>250619</v>
      </c>
      <c r="F1492" s="26">
        <v>29040.9</v>
      </c>
      <c r="G1492" s="27">
        <v>11.587669</v>
      </c>
    </row>
    <row r="1493" spans="1:7" hidden="1" x14ac:dyDescent="0.25">
      <c r="A1493" s="24" t="s">
        <v>837</v>
      </c>
      <c r="B1493" s="24" t="s">
        <v>94</v>
      </c>
      <c r="C1493" s="24" t="s">
        <v>281</v>
      </c>
      <c r="D1493" s="25">
        <v>1064</v>
      </c>
      <c r="E1493" s="25">
        <v>16132</v>
      </c>
      <c r="F1493" s="26">
        <v>2131.6999999999998</v>
      </c>
      <c r="G1493" s="27">
        <v>13.214109000000001</v>
      </c>
    </row>
    <row r="1494" spans="1:7" hidden="1" x14ac:dyDescent="0.25">
      <c r="A1494" s="24" t="s">
        <v>1388</v>
      </c>
      <c r="B1494" s="24" t="s">
        <v>94</v>
      </c>
      <c r="C1494" s="24" t="s">
        <v>281</v>
      </c>
      <c r="D1494" s="25">
        <v>9651</v>
      </c>
      <c r="E1494" s="25">
        <v>193677</v>
      </c>
      <c r="F1494" s="26">
        <v>24006</v>
      </c>
      <c r="G1494" s="27">
        <v>12.394864</v>
      </c>
    </row>
    <row r="1495" spans="1:7" hidden="1" x14ac:dyDescent="0.25">
      <c r="A1495" s="24" t="s">
        <v>1577</v>
      </c>
      <c r="B1495" s="24" t="s">
        <v>94</v>
      </c>
      <c r="C1495" s="24" t="s">
        <v>281</v>
      </c>
      <c r="D1495" s="25">
        <v>5906</v>
      </c>
      <c r="E1495" s="25">
        <v>116984</v>
      </c>
      <c r="F1495" s="26">
        <v>14312</v>
      </c>
      <c r="G1495" s="27">
        <v>12.234152</v>
      </c>
    </row>
    <row r="1496" spans="1:7" hidden="1" x14ac:dyDescent="0.25">
      <c r="A1496" s="24" t="s">
        <v>1578</v>
      </c>
      <c r="B1496" s="24" t="s">
        <v>94</v>
      </c>
      <c r="C1496" s="24" t="s">
        <v>278</v>
      </c>
      <c r="D1496" s="25">
        <v>347706</v>
      </c>
      <c r="E1496" s="25">
        <v>4194014</v>
      </c>
      <c r="F1496" s="26">
        <v>503569.4</v>
      </c>
      <c r="G1496" s="27">
        <v>12.00686</v>
      </c>
    </row>
    <row r="1497" spans="1:7" hidden="1" x14ac:dyDescent="0.25">
      <c r="A1497" s="24" t="s">
        <v>1579</v>
      </c>
      <c r="B1497" s="24" t="s">
        <v>94</v>
      </c>
      <c r="C1497" s="24" t="s">
        <v>278</v>
      </c>
      <c r="D1497" s="25">
        <v>948826</v>
      </c>
      <c r="E1497" s="25">
        <v>11415915</v>
      </c>
      <c r="F1497" s="26">
        <v>1432884</v>
      </c>
      <c r="G1497" s="27">
        <v>12.551634999999999</v>
      </c>
    </row>
    <row r="1498" spans="1:7" hidden="1" x14ac:dyDescent="0.25">
      <c r="A1498" s="24" t="s">
        <v>1580</v>
      </c>
      <c r="B1498" s="24" t="s">
        <v>94</v>
      </c>
      <c r="C1498" s="24" t="s">
        <v>278</v>
      </c>
      <c r="D1498" s="25">
        <v>1</v>
      </c>
      <c r="E1498" s="25">
        <v>156768</v>
      </c>
      <c r="F1498" s="26">
        <v>8188</v>
      </c>
      <c r="G1498" s="27">
        <v>5.2230046999999997</v>
      </c>
    </row>
    <row r="1499" spans="1:7" hidden="1" x14ac:dyDescent="0.25">
      <c r="A1499" s="24" t="s">
        <v>844</v>
      </c>
      <c r="B1499" s="24" t="s">
        <v>94</v>
      </c>
      <c r="C1499" s="24" t="s">
        <v>281</v>
      </c>
      <c r="D1499" s="25">
        <v>9490</v>
      </c>
      <c r="E1499" s="25">
        <v>255202</v>
      </c>
      <c r="F1499" s="26">
        <v>27832.5</v>
      </c>
      <c r="G1499" s="27">
        <v>10.906067</v>
      </c>
    </row>
    <row r="1500" spans="1:7" hidden="1" x14ac:dyDescent="0.25">
      <c r="A1500" s="24" t="s">
        <v>1581</v>
      </c>
      <c r="B1500" s="24" t="s">
        <v>94</v>
      </c>
      <c r="C1500" s="24" t="s">
        <v>281</v>
      </c>
      <c r="D1500" s="25">
        <v>16677</v>
      </c>
      <c r="E1500" s="25">
        <v>649677</v>
      </c>
      <c r="F1500" s="26">
        <v>67319.8</v>
      </c>
      <c r="G1500" s="27">
        <v>10.362041</v>
      </c>
    </row>
    <row r="1501" spans="1:7" hidden="1" x14ac:dyDescent="0.25">
      <c r="A1501" s="24" t="s">
        <v>408</v>
      </c>
      <c r="B1501" s="24" t="s">
        <v>94</v>
      </c>
      <c r="C1501" s="24" t="s">
        <v>392</v>
      </c>
      <c r="D1501" s="25">
        <v>18</v>
      </c>
      <c r="E1501" s="25">
        <v>8848</v>
      </c>
      <c r="F1501" s="26">
        <v>715.7</v>
      </c>
      <c r="G1501" s="27">
        <v>8.0888335999999992</v>
      </c>
    </row>
    <row r="1502" spans="1:7" hidden="1" x14ac:dyDescent="0.25">
      <c r="A1502" s="24" t="s">
        <v>1582</v>
      </c>
      <c r="B1502" s="24" t="s">
        <v>94</v>
      </c>
      <c r="C1502" s="24" t="s">
        <v>281</v>
      </c>
      <c r="D1502" s="25">
        <v>119263</v>
      </c>
      <c r="E1502" s="25">
        <v>2514308</v>
      </c>
      <c r="F1502" s="26">
        <v>277217</v>
      </c>
      <c r="G1502" s="27">
        <v>11.025577999999999</v>
      </c>
    </row>
    <row r="1503" spans="1:7" hidden="1" x14ac:dyDescent="0.25">
      <c r="A1503" s="24" t="s">
        <v>411</v>
      </c>
      <c r="B1503" s="24" t="s">
        <v>94</v>
      </c>
      <c r="C1503" s="24" t="s">
        <v>392</v>
      </c>
      <c r="D1503" s="25">
        <v>1</v>
      </c>
      <c r="E1503" s="25">
        <v>436</v>
      </c>
      <c r="F1503" s="26">
        <v>45.5</v>
      </c>
      <c r="G1503" s="27">
        <v>10.435779999999999</v>
      </c>
    </row>
    <row r="1504" spans="1:7" hidden="1" x14ac:dyDescent="0.25">
      <c r="A1504" s="24" t="s">
        <v>1583</v>
      </c>
      <c r="B1504" s="24" t="s">
        <v>94</v>
      </c>
      <c r="C1504" s="24" t="s">
        <v>278</v>
      </c>
      <c r="D1504" s="25">
        <v>100860</v>
      </c>
      <c r="E1504" s="25">
        <v>1140905</v>
      </c>
      <c r="F1504" s="26">
        <v>142434.79999999999</v>
      </c>
      <c r="G1504" s="27">
        <v>12.48437</v>
      </c>
    </row>
    <row r="1505" spans="1:7" hidden="1" x14ac:dyDescent="0.25">
      <c r="A1505" s="24" t="s">
        <v>1584</v>
      </c>
      <c r="B1505" s="24" t="s">
        <v>94</v>
      </c>
      <c r="C1505" s="24" t="s">
        <v>281</v>
      </c>
      <c r="D1505" s="25">
        <v>9857</v>
      </c>
      <c r="E1505" s="25">
        <v>519678</v>
      </c>
      <c r="F1505" s="26">
        <v>53509.2</v>
      </c>
      <c r="G1505" s="27">
        <v>10.296607</v>
      </c>
    </row>
    <row r="1506" spans="1:7" hidden="1" x14ac:dyDescent="0.25">
      <c r="A1506" s="24" t="s">
        <v>1585</v>
      </c>
      <c r="B1506" s="24" t="s">
        <v>94</v>
      </c>
      <c r="C1506" s="24" t="s">
        <v>283</v>
      </c>
      <c r="D1506" s="25">
        <v>1502</v>
      </c>
      <c r="E1506" s="25">
        <v>122739</v>
      </c>
      <c r="F1506" s="26">
        <v>11985</v>
      </c>
      <c r="G1506" s="27">
        <v>9.7646224999999998</v>
      </c>
    </row>
    <row r="1507" spans="1:7" hidden="1" x14ac:dyDescent="0.25">
      <c r="A1507" s="24" t="s">
        <v>1586</v>
      </c>
      <c r="B1507" s="24" t="s">
        <v>94</v>
      </c>
      <c r="C1507" s="24" t="s">
        <v>283</v>
      </c>
      <c r="D1507" s="25">
        <v>2150</v>
      </c>
      <c r="E1507" s="25">
        <v>32401</v>
      </c>
      <c r="F1507" s="26">
        <v>3812</v>
      </c>
      <c r="G1507" s="27">
        <v>11.765069</v>
      </c>
    </row>
    <row r="1508" spans="1:7" hidden="1" x14ac:dyDescent="0.25">
      <c r="A1508" s="24" t="s">
        <v>1587</v>
      </c>
      <c r="B1508" s="24" t="s">
        <v>94</v>
      </c>
      <c r="C1508" s="24" t="s">
        <v>281</v>
      </c>
      <c r="D1508" s="25">
        <v>10503</v>
      </c>
      <c r="E1508" s="25">
        <v>109885</v>
      </c>
      <c r="F1508" s="26">
        <v>17272.5</v>
      </c>
      <c r="G1508" s="27">
        <v>15.718705999999999</v>
      </c>
    </row>
    <row r="1509" spans="1:7" hidden="1" x14ac:dyDescent="0.25">
      <c r="A1509" s="24" t="s">
        <v>856</v>
      </c>
      <c r="B1509" s="24" t="s">
        <v>96</v>
      </c>
      <c r="C1509" s="24" t="s">
        <v>281</v>
      </c>
      <c r="D1509" s="25">
        <v>7661</v>
      </c>
      <c r="E1509" s="25">
        <v>950544</v>
      </c>
      <c r="F1509" s="26">
        <v>62334</v>
      </c>
      <c r="G1509" s="27">
        <v>6.5577185</v>
      </c>
    </row>
    <row r="1510" spans="1:7" hidden="1" x14ac:dyDescent="0.25">
      <c r="A1510" s="24" t="s">
        <v>354</v>
      </c>
      <c r="B1510" s="24" t="s">
        <v>96</v>
      </c>
      <c r="C1510" s="24" t="s">
        <v>281</v>
      </c>
      <c r="D1510" s="25">
        <v>4598</v>
      </c>
      <c r="E1510" s="25">
        <v>82912</v>
      </c>
      <c r="F1510" s="26">
        <v>8637.2000000000007</v>
      </c>
      <c r="G1510" s="27">
        <v>10.417310000000001</v>
      </c>
    </row>
    <row r="1511" spans="1:7" hidden="1" x14ac:dyDescent="0.25">
      <c r="A1511" s="24" t="s">
        <v>1588</v>
      </c>
      <c r="B1511" s="24" t="s">
        <v>96</v>
      </c>
      <c r="C1511" s="24" t="s">
        <v>281</v>
      </c>
      <c r="D1511" s="25">
        <v>25237</v>
      </c>
      <c r="E1511" s="25">
        <v>616435</v>
      </c>
      <c r="F1511" s="26">
        <v>64153</v>
      </c>
      <c r="G1511" s="27">
        <v>10.407099000000001</v>
      </c>
    </row>
    <row r="1512" spans="1:7" hidden="1" x14ac:dyDescent="0.25">
      <c r="A1512" s="24" t="s">
        <v>1589</v>
      </c>
      <c r="B1512" s="24" t="s">
        <v>96</v>
      </c>
      <c r="C1512" s="24" t="s">
        <v>281</v>
      </c>
      <c r="D1512" s="25">
        <v>24670</v>
      </c>
      <c r="E1512" s="25">
        <v>665341</v>
      </c>
      <c r="F1512" s="26">
        <v>56507.199999999997</v>
      </c>
      <c r="G1512" s="27">
        <v>8.4929682999999994</v>
      </c>
    </row>
    <row r="1513" spans="1:7" hidden="1" x14ac:dyDescent="0.25">
      <c r="A1513" s="24" t="s">
        <v>1590</v>
      </c>
      <c r="B1513" s="24" t="s">
        <v>96</v>
      </c>
      <c r="C1513" s="24" t="s">
        <v>281</v>
      </c>
      <c r="D1513" s="25">
        <v>21632</v>
      </c>
      <c r="E1513" s="25">
        <v>575821</v>
      </c>
      <c r="F1513" s="26">
        <v>55497</v>
      </c>
      <c r="G1513" s="27">
        <v>9.6378909000000004</v>
      </c>
    </row>
    <row r="1514" spans="1:7" hidden="1" x14ac:dyDescent="0.25">
      <c r="A1514" s="24" t="s">
        <v>1591</v>
      </c>
      <c r="B1514" s="24" t="s">
        <v>96</v>
      </c>
      <c r="C1514" s="24" t="s">
        <v>281</v>
      </c>
      <c r="D1514" s="25">
        <v>18832</v>
      </c>
      <c r="E1514" s="25">
        <v>439789</v>
      </c>
      <c r="F1514" s="26">
        <v>42600.1</v>
      </c>
      <c r="G1514" s="27">
        <v>9.6864860000000004</v>
      </c>
    </row>
    <row r="1515" spans="1:7" hidden="1" x14ac:dyDescent="0.25">
      <c r="A1515" s="24" t="s">
        <v>1592</v>
      </c>
      <c r="B1515" s="24" t="s">
        <v>96</v>
      </c>
      <c r="C1515" s="24" t="s">
        <v>281</v>
      </c>
      <c r="D1515" s="25">
        <v>16736</v>
      </c>
      <c r="E1515" s="25">
        <v>396375</v>
      </c>
      <c r="F1515" s="26">
        <v>40676</v>
      </c>
      <c r="G1515" s="27">
        <v>10.261998999999999</v>
      </c>
    </row>
    <row r="1516" spans="1:7" hidden="1" x14ac:dyDescent="0.25">
      <c r="A1516" s="24" t="s">
        <v>1593</v>
      </c>
      <c r="B1516" s="24" t="s">
        <v>96</v>
      </c>
      <c r="C1516" s="24" t="s">
        <v>283</v>
      </c>
      <c r="D1516" s="25">
        <v>8766</v>
      </c>
      <c r="E1516" s="25">
        <v>199088</v>
      </c>
      <c r="F1516" s="26">
        <v>23342.2</v>
      </c>
      <c r="G1516" s="27">
        <v>11.724564000000001</v>
      </c>
    </row>
    <row r="1517" spans="1:7" hidden="1" x14ac:dyDescent="0.25">
      <c r="A1517" s="24" t="s">
        <v>1594</v>
      </c>
      <c r="B1517" s="24" t="s">
        <v>96</v>
      </c>
      <c r="C1517" s="24" t="s">
        <v>283</v>
      </c>
      <c r="D1517" s="25">
        <v>12125</v>
      </c>
      <c r="E1517" s="25">
        <v>261215</v>
      </c>
      <c r="F1517" s="26">
        <v>29415</v>
      </c>
      <c r="G1517" s="27">
        <v>11.260839000000001</v>
      </c>
    </row>
    <row r="1518" spans="1:7" hidden="1" x14ac:dyDescent="0.25">
      <c r="A1518" s="24" t="s">
        <v>1595</v>
      </c>
      <c r="B1518" s="24" t="s">
        <v>96</v>
      </c>
      <c r="C1518" s="24" t="s">
        <v>283</v>
      </c>
      <c r="D1518" s="25">
        <v>4450</v>
      </c>
      <c r="E1518" s="25">
        <v>110142</v>
      </c>
      <c r="F1518" s="26">
        <v>9151</v>
      </c>
      <c r="G1518" s="27">
        <v>8.3083656000000001</v>
      </c>
    </row>
    <row r="1519" spans="1:7" hidden="1" x14ac:dyDescent="0.25">
      <c r="A1519" s="24" t="s">
        <v>1596</v>
      </c>
      <c r="B1519" s="24" t="s">
        <v>96</v>
      </c>
      <c r="C1519" s="24" t="s">
        <v>283</v>
      </c>
      <c r="D1519" s="25">
        <v>8823</v>
      </c>
      <c r="E1519" s="25">
        <v>175386</v>
      </c>
      <c r="F1519" s="26">
        <v>18111.2</v>
      </c>
      <c r="G1519" s="27">
        <v>10.32648</v>
      </c>
    </row>
    <row r="1520" spans="1:7" hidden="1" x14ac:dyDescent="0.25">
      <c r="A1520" s="24" t="s">
        <v>1597</v>
      </c>
      <c r="B1520" s="24" t="s">
        <v>96</v>
      </c>
      <c r="C1520" s="24" t="s">
        <v>283</v>
      </c>
      <c r="D1520" s="25">
        <v>40337</v>
      </c>
      <c r="E1520" s="25">
        <v>882430</v>
      </c>
      <c r="F1520" s="26">
        <v>89169</v>
      </c>
      <c r="G1520" s="27">
        <v>10.104938000000001</v>
      </c>
    </row>
    <row r="1521" spans="1:7" hidden="1" x14ac:dyDescent="0.25">
      <c r="A1521" s="24" t="s">
        <v>1598</v>
      </c>
      <c r="B1521" s="24" t="s">
        <v>96</v>
      </c>
      <c r="C1521" s="24" t="s">
        <v>283</v>
      </c>
      <c r="D1521" s="25">
        <v>1688</v>
      </c>
      <c r="E1521" s="25">
        <v>22638</v>
      </c>
      <c r="F1521" s="26">
        <v>2380.8000000000002</v>
      </c>
      <c r="G1521" s="27">
        <v>10.516830000000001</v>
      </c>
    </row>
    <row r="1522" spans="1:7" hidden="1" x14ac:dyDescent="0.25">
      <c r="A1522" s="24" t="s">
        <v>1599</v>
      </c>
      <c r="B1522" s="24" t="s">
        <v>96</v>
      </c>
      <c r="C1522" s="24" t="s">
        <v>283</v>
      </c>
      <c r="D1522" s="25">
        <v>6591</v>
      </c>
      <c r="E1522" s="25">
        <v>171581</v>
      </c>
      <c r="F1522" s="26">
        <v>14974</v>
      </c>
      <c r="G1522" s="27">
        <v>8.7270734999999995</v>
      </c>
    </row>
    <row r="1523" spans="1:7" hidden="1" x14ac:dyDescent="0.25">
      <c r="A1523" s="24" t="s">
        <v>1600</v>
      </c>
      <c r="B1523" s="24" t="s">
        <v>96</v>
      </c>
      <c r="C1523" s="24" t="s">
        <v>283</v>
      </c>
      <c r="D1523" s="25">
        <v>2089</v>
      </c>
      <c r="E1523" s="25">
        <v>35291</v>
      </c>
      <c r="F1523" s="26">
        <v>3091</v>
      </c>
      <c r="G1523" s="27">
        <v>8.7586069999999996</v>
      </c>
    </row>
    <row r="1524" spans="1:7" hidden="1" x14ac:dyDescent="0.25">
      <c r="A1524" s="24" t="s">
        <v>1601</v>
      </c>
      <c r="B1524" s="24" t="s">
        <v>96</v>
      </c>
      <c r="C1524" s="24" t="s">
        <v>283</v>
      </c>
      <c r="D1524" s="25">
        <v>15865</v>
      </c>
      <c r="E1524" s="25">
        <v>347249</v>
      </c>
      <c r="F1524" s="26">
        <v>37308</v>
      </c>
      <c r="G1524" s="27">
        <v>10.743874999999999</v>
      </c>
    </row>
    <row r="1525" spans="1:7" hidden="1" x14ac:dyDescent="0.25">
      <c r="A1525" s="24" t="s">
        <v>1602</v>
      </c>
      <c r="B1525" s="24" t="s">
        <v>96</v>
      </c>
      <c r="C1525" s="24" t="s">
        <v>283</v>
      </c>
      <c r="D1525" s="25">
        <v>4800</v>
      </c>
      <c r="E1525" s="25">
        <v>92289</v>
      </c>
      <c r="F1525" s="26">
        <v>7938</v>
      </c>
      <c r="G1525" s="27">
        <v>8.6012418000000004</v>
      </c>
    </row>
    <row r="1526" spans="1:7" hidden="1" x14ac:dyDescent="0.25">
      <c r="A1526" s="24" t="s">
        <v>1603</v>
      </c>
      <c r="B1526" s="24" t="s">
        <v>96</v>
      </c>
      <c r="C1526" s="24" t="s">
        <v>283</v>
      </c>
      <c r="D1526" s="25">
        <v>4158</v>
      </c>
      <c r="E1526" s="25">
        <v>106356</v>
      </c>
      <c r="F1526" s="26">
        <v>9989</v>
      </c>
      <c r="G1526" s="27">
        <v>9.3920417999999994</v>
      </c>
    </row>
    <row r="1527" spans="1:7" hidden="1" x14ac:dyDescent="0.25">
      <c r="A1527" s="24" t="s">
        <v>1604</v>
      </c>
      <c r="B1527" s="24" t="s">
        <v>96</v>
      </c>
      <c r="C1527" s="24" t="s">
        <v>283</v>
      </c>
      <c r="D1527" s="25">
        <v>2011</v>
      </c>
      <c r="E1527" s="25">
        <v>72209</v>
      </c>
      <c r="F1527" s="26">
        <v>5023</v>
      </c>
      <c r="G1527" s="27">
        <v>6.9561966000000002</v>
      </c>
    </row>
    <row r="1528" spans="1:7" hidden="1" x14ac:dyDescent="0.25">
      <c r="A1528" s="24" t="s">
        <v>1605</v>
      </c>
      <c r="B1528" s="24" t="s">
        <v>96</v>
      </c>
      <c r="C1528" s="24" t="s">
        <v>281</v>
      </c>
      <c r="D1528" s="25">
        <v>17837</v>
      </c>
      <c r="E1528" s="25">
        <v>270640</v>
      </c>
      <c r="F1528" s="26">
        <v>30643</v>
      </c>
      <c r="G1528" s="27">
        <v>11.322421</v>
      </c>
    </row>
    <row r="1529" spans="1:7" hidden="1" x14ac:dyDescent="0.25">
      <c r="A1529" s="24" t="s">
        <v>1606</v>
      </c>
      <c r="B1529" s="24" t="s">
        <v>96</v>
      </c>
      <c r="C1529" s="24" t="s">
        <v>281</v>
      </c>
      <c r="D1529" s="25">
        <v>22120</v>
      </c>
      <c r="E1529" s="25">
        <v>712645</v>
      </c>
      <c r="F1529" s="26">
        <v>61229.2</v>
      </c>
      <c r="G1529" s="27">
        <v>8.5918233999999991</v>
      </c>
    </row>
    <row r="1530" spans="1:7" hidden="1" x14ac:dyDescent="0.25">
      <c r="A1530" s="24" t="s">
        <v>1607</v>
      </c>
      <c r="B1530" s="24" t="s">
        <v>96</v>
      </c>
      <c r="C1530" s="24" t="s">
        <v>281</v>
      </c>
      <c r="D1530" s="25">
        <v>33801</v>
      </c>
      <c r="E1530" s="25">
        <v>477424</v>
      </c>
      <c r="F1530" s="26">
        <v>54190</v>
      </c>
      <c r="G1530" s="27">
        <v>11.350498</v>
      </c>
    </row>
    <row r="1531" spans="1:7" hidden="1" x14ac:dyDescent="0.25">
      <c r="A1531" s="24" t="s">
        <v>369</v>
      </c>
      <c r="B1531" s="24" t="s">
        <v>96</v>
      </c>
      <c r="C1531" s="24" t="s">
        <v>278</v>
      </c>
      <c r="D1531" s="25">
        <v>4680</v>
      </c>
      <c r="E1531" s="25">
        <v>149055</v>
      </c>
      <c r="F1531" s="26">
        <v>12885.4</v>
      </c>
      <c r="G1531" s="27">
        <v>8.6447284999999994</v>
      </c>
    </row>
    <row r="1532" spans="1:7" hidden="1" x14ac:dyDescent="0.25">
      <c r="A1532" s="24" t="s">
        <v>1608</v>
      </c>
      <c r="B1532" s="24" t="s">
        <v>96</v>
      </c>
      <c r="C1532" s="24" t="s">
        <v>174</v>
      </c>
      <c r="D1532" s="25">
        <v>80</v>
      </c>
      <c r="E1532" s="25">
        <v>1952204</v>
      </c>
      <c r="F1532" s="26">
        <v>99869.8</v>
      </c>
      <c r="G1532" s="27">
        <v>5.1157461</v>
      </c>
    </row>
    <row r="1533" spans="1:7" hidden="1" x14ac:dyDescent="0.25">
      <c r="A1533" s="24" t="s">
        <v>1609</v>
      </c>
      <c r="B1533" s="24" t="s">
        <v>96</v>
      </c>
      <c r="C1533" s="24" t="s">
        <v>281</v>
      </c>
      <c r="D1533" s="25">
        <v>19495</v>
      </c>
      <c r="E1533" s="25">
        <v>494507</v>
      </c>
      <c r="F1533" s="26">
        <v>45979.199999999997</v>
      </c>
      <c r="G1533" s="27">
        <v>9.2979877000000002</v>
      </c>
    </row>
    <row r="1534" spans="1:7" hidden="1" x14ac:dyDescent="0.25">
      <c r="A1534" s="24" t="s">
        <v>1610</v>
      </c>
      <c r="B1534" s="24" t="s">
        <v>96</v>
      </c>
      <c r="C1534" s="24" t="s">
        <v>281</v>
      </c>
      <c r="D1534" s="25">
        <v>5818</v>
      </c>
      <c r="E1534" s="25">
        <v>317247</v>
      </c>
      <c r="F1534" s="26">
        <v>26459</v>
      </c>
      <c r="G1534" s="27">
        <v>8.3401891999999993</v>
      </c>
    </row>
    <row r="1535" spans="1:7" hidden="1" x14ac:dyDescent="0.25">
      <c r="A1535" s="24" t="s">
        <v>1611</v>
      </c>
      <c r="B1535" s="24" t="s">
        <v>96</v>
      </c>
      <c r="C1535" s="24" t="s">
        <v>281</v>
      </c>
      <c r="D1535" s="25">
        <v>21803</v>
      </c>
      <c r="E1535" s="25">
        <v>324235</v>
      </c>
      <c r="F1535" s="26">
        <v>36318.300000000003</v>
      </c>
      <c r="G1535" s="27">
        <v>11.201228</v>
      </c>
    </row>
    <row r="1536" spans="1:7" hidden="1" x14ac:dyDescent="0.25">
      <c r="A1536" s="24" t="s">
        <v>1612</v>
      </c>
      <c r="B1536" s="24" t="s">
        <v>96</v>
      </c>
      <c r="C1536" s="24" t="s">
        <v>281</v>
      </c>
      <c r="D1536" s="25">
        <v>24649</v>
      </c>
      <c r="E1536" s="25">
        <v>369443</v>
      </c>
      <c r="F1536" s="26">
        <v>38775.599999999999</v>
      </c>
      <c r="G1536" s="27">
        <v>10.495692</v>
      </c>
    </row>
    <row r="1537" spans="1:7" hidden="1" x14ac:dyDescent="0.25">
      <c r="A1537" s="24" t="s">
        <v>1613</v>
      </c>
      <c r="B1537" s="24" t="s">
        <v>96</v>
      </c>
      <c r="C1537" s="24" t="s">
        <v>281</v>
      </c>
      <c r="D1537" s="25">
        <v>39095</v>
      </c>
      <c r="E1537" s="25">
        <v>602527</v>
      </c>
      <c r="F1537" s="26">
        <v>68996</v>
      </c>
      <c r="G1537" s="27">
        <v>11.451105</v>
      </c>
    </row>
    <row r="1538" spans="1:7" hidden="1" x14ac:dyDescent="0.25">
      <c r="A1538" s="24" t="s">
        <v>1614</v>
      </c>
      <c r="B1538" s="24" t="s">
        <v>96</v>
      </c>
      <c r="C1538" s="24" t="s">
        <v>281</v>
      </c>
      <c r="D1538" s="25">
        <v>6642</v>
      </c>
      <c r="E1538" s="25">
        <v>209424</v>
      </c>
      <c r="F1538" s="26">
        <v>20981.7</v>
      </c>
      <c r="G1538" s="27">
        <v>10.018765999999999</v>
      </c>
    </row>
    <row r="1539" spans="1:7" hidden="1" x14ac:dyDescent="0.25">
      <c r="A1539" s="24" t="s">
        <v>1615</v>
      </c>
      <c r="B1539" s="24" t="s">
        <v>96</v>
      </c>
      <c r="C1539" s="24" t="s">
        <v>281</v>
      </c>
      <c r="D1539" s="25">
        <v>11840</v>
      </c>
      <c r="E1539" s="25">
        <v>322513</v>
      </c>
      <c r="F1539" s="26">
        <v>32606</v>
      </c>
      <c r="G1539" s="27">
        <v>10.10998</v>
      </c>
    </row>
    <row r="1540" spans="1:7" hidden="1" x14ac:dyDescent="0.25">
      <c r="A1540" s="24" t="s">
        <v>1616</v>
      </c>
      <c r="B1540" s="24" t="s">
        <v>96</v>
      </c>
      <c r="C1540" s="24" t="s">
        <v>281</v>
      </c>
      <c r="D1540" s="25">
        <v>55035</v>
      </c>
      <c r="E1540" s="25">
        <v>1102923</v>
      </c>
      <c r="F1540" s="26">
        <v>119323</v>
      </c>
      <c r="G1540" s="27">
        <v>10.818797</v>
      </c>
    </row>
    <row r="1541" spans="1:7" hidden="1" x14ac:dyDescent="0.25">
      <c r="A1541" s="24" t="s">
        <v>374</v>
      </c>
      <c r="B1541" s="24" t="s">
        <v>96</v>
      </c>
      <c r="C1541" s="24" t="s">
        <v>278</v>
      </c>
      <c r="D1541" s="25">
        <v>771427</v>
      </c>
      <c r="E1541" s="25">
        <v>23730041</v>
      </c>
      <c r="F1541" s="26">
        <v>1859866</v>
      </c>
      <c r="G1541" s="27">
        <v>7.8376013000000002</v>
      </c>
    </row>
    <row r="1542" spans="1:7" hidden="1" x14ac:dyDescent="0.25">
      <c r="A1542" s="24" t="s">
        <v>376</v>
      </c>
      <c r="B1542" s="24" t="s">
        <v>96</v>
      </c>
      <c r="C1542" s="24" t="s">
        <v>281</v>
      </c>
      <c r="D1542" s="25">
        <v>12015</v>
      </c>
      <c r="E1542" s="25">
        <v>194742</v>
      </c>
      <c r="F1542" s="26">
        <v>20668</v>
      </c>
      <c r="G1542" s="27">
        <v>10.613016</v>
      </c>
    </row>
    <row r="1543" spans="1:7" hidden="1" x14ac:dyDescent="0.25">
      <c r="A1543" s="24" t="s">
        <v>1617</v>
      </c>
      <c r="B1543" s="24" t="s">
        <v>96</v>
      </c>
      <c r="C1543" s="24" t="s">
        <v>281</v>
      </c>
      <c r="D1543" s="25">
        <v>21536</v>
      </c>
      <c r="E1543" s="25">
        <v>669416</v>
      </c>
      <c r="F1543" s="26">
        <v>61760</v>
      </c>
      <c r="G1543" s="27">
        <v>9.2259522</v>
      </c>
    </row>
    <row r="1544" spans="1:7" hidden="1" x14ac:dyDescent="0.25">
      <c r="A1544" s="24" t="s">
        <v>1618</v>
      </c>
      <c r="B1544" s="24" t="s">
        <v>96</v>
      </c>
      <c r="C1544" s="24" t="s">
        <v>283</v>
      </c>
      <c r="D1544" s="25">
        <v>1255</v>
      </c>
      <c r="E1544" s="25">
        <v>18657</v>
      </c>
      <c r="F1544" s="26">
        <v>2128.6</v>
      </c>
      <c r="G1544" s="27">
        <v>11.409122999999999</v>
      </c>
    </row>
    <row r="1545" spans="1:7" hidden="1" x14ac:dyDescent="0.25">
      <c r="A1545" s="24" t="s">
        <v>1619</v>
      </c>
      <c r="B1545" s="24" t="s">
        <v>96</v>
      </c>
      <c r="C1545" s="24" t="s">
        <v>278</v>
      </c>
      <c r="D1545" s="25">
        <v>550022</v>
      </c>
      <c r="E1545" s="25">
        <v>18026293</v>
      </c>
      <c r="F1545" s="26">
        <v>1354239.1</v>
      </c>
      <c r="G1545" s="27">
        <v>7.5125767999999997</v>
      </c>
    </row>
    <row r="1546" spans="1:7" hidden="1" x14ac:dyDescent="0.25">
      <c r="A1546" s="24" t="s">
        <v>1620</v>
      </c>
      <c r="B1546" s="24" t="s">
        <v>96</v>
      </c>
      <c r="C1546" s="24" t="s">
        <v>281</v>
      </c>
      <c r="D1546" s="25">
        <v>15936</v>
      </c>
      <c r="E1546" s="25">
        <v>386607</v>
      </c>
      <c r="F1546" s="26">
        <v>33638</v>
      </c>
      <c r="G1546" s="27">
        <v>8.7008253999999994</v>
      </c>
    </row>
    <row r="1547" spans="1:7" hidden="1" x14ac:dyDescent="0.25">
      <c r="A1547" s="24" t="s">
        <v>379</v>
      </c>
      <c r="B1547" s="24" t="s">
        <v>96</v>
      </c>
      <c r="C1547" s="24" t="s">
        <v>281</v>
      </c>
      <c r="D1547" s="25">
        <v>495</v>
      </c>
      <c r="E1547" s="25">
        <v>5670</v>
      </c>
      <c r="F1547" s="26">
        <v>495</v>
      </c>
      <c r="G1547" s="27">
        <v>8.7301587000000005</v>
      </c>
    </row>
    <row r="1548" spans="1:7" hidden="1" x14ac:dyDescent="0.25">
      <c r="A1548" s="24" t="s">
        <v>1621</v>
      </c>
      <c r="B1548" s="24" t="s">
        <v>96</v>
      </c>
      <c r="C1548" s="24" t="s">
        <v>281</v>
      </c>
      <c r="D1548" s="25">
        <v>11491</v>
      </c>
      <c r="E1548" s="25">
        <v>394973</v>
      </c>
      <c r="F1548" s="26">
        <v>34552</v>
      </c>
      <c r="G1548" s="27">
        <v>8.7479396999999999</v>
      </c>
    </row>
    <row r="1549" spans="1:7" hidden="1" x14ac:dyDescent="0.25">
      <c r="A1549" s="24" t="s">
        <v>1622</v>
      </c>
      <c r="B1549" s="24" t="s">
        <v>96</v>
      </c>
      <c r="C1549" s="24" t="s">
        <v>281</v>
      </c>
      <c r="D1549" s="25">
        <v>14805</v>
      </c>
      <c r="E1549" s="25">
        <v>311752</v>
      </c>
      <c r="F1549" s="26">
        <v>27612.2</v>
      </c>
      <c r="G1549" s="27">
        <v>8.8571044000000008</v>
      </c>
    </row>
    <row r="1550" spans="1:7" hidden="1" x14ac:dyDescent="0.25">
      <c r="A1550" s="24" t="s">
        <v>381</v>
      </c>
      <c r="B1550" s="24" t="s">
        <v>96</v>
      </c>
      <c r="C1550" s="24" t="s">
        <v>281</v>
      </c>
      <c r="D1550" s="25">
        <v>229</v>
      </c>
      <c r="E1550" s="25">
        <v>2921</v>
      </c>
      <c r="F1550" s="26">
        <v>299</v>
      </c>
      <c r="G1550" s="27">
        <v>10.236219999999999</v>
      </c>
    </row>
    <row r="1551" spans="1:7" hidden="1" x14ac:dyDescent="0.25">
      <c r="A1551" s="24" t="s">
        <v>1623</v>
      </c>
      <c r="B1551" s="24" t="s">
        <v>96</v>
      </c>
      <c r="C1551" s="24" t="s">
        <v>281</v>
      </c>
      <c r="D1551" s="25">
        <v>4388</v>
      </c>
      <c r="E1551" s="25">
        <v>66971</v>
      </c>
      <c r="F1551" s="26">
        <v>8090</v>
      </c>
      <c r="G1551" s="27">
        <v>12.079855</v>
      </c>
    </row>
    <row r="1552" spans="1:7" hidden="1" x14ac:dyDescent="0.25">
      <c r="A1552" s="24" t="s">
        <v>502</v>
      </c>
      <c r="B1552" s="24" t="s">
        <v>96</v>
      </c>
      <c r="C1552" s="24" t="s">
        <v>281</v>
      </c>
      <c r="D1552" s="25">
        <v>19</v>
      </c>
      <c r="E1552" s="25">
        <v>972</v>
      </c>
      <c r="F1552" s="26">
        <v>125.2</v>
      </c>
      <c r="G1552" s="27">
        <v>12.880658</v>
      </c>
    </row>
    <row r="1553" spans="1:7" hidden="1" x14ac:dyDescent="0.25">
      <c r="A1553" s="24" t="s">
        <v>1624</v>
      </c>
      <c r="B1553" s="24" t="s">
        <v>96</v>
      </c>
      <c r="C1553" s="24" t="s">
        <v>283</v>
      </c>
      <c r="D1553" s="25">
        <v>21002</v>
      </c>
      <c r="E1553" s="25">
        <v>440579</v>
      </c>
      <c r="F1553" s="26">
        <v>45587</v>
      </c>
      <c r="G1553" s="27">
        <v>10.347066</v>
      </c>
    </row>
    <row r="1554" spans="1:7" hidden="1" x14ac:dyDescent="0.25">
      <c r="A1554" s="24" t="s">
        <v>1625</v>
      </c>
      <c r="B1554" s="24" t="s">
        <v>96</v>
      </c>
      <c r="C1554" s="24" t="s">
        <v>283</v>
      </c>
      <c r="D1554" s="25">
        <v>11492</v>
      </c>
      <c r="E1554" s="25">
        <v>180469</v>
      </c>
      <c r="F1554" s="26">
        <v>15001</v>
      </c>
      <c r="G1554" s="27">
        <v>8.3122308999999994</v>
      </c>
    </row>
    <row r="1555" spans="1:7" hidden="1" x14ac:dyDescent="0.25">
      <c r="A1555" s="24" t="s">
        <v>505</v>
      </c>
      <c r="B1555" s="24" t="s">
        <v>96</v>
      </c>
      <c r="C1555" s="24" t="s">
        <v>281</v>
      </c>
      <c r="D1555" s="25">
        <v>21049</v>
      </c>
      <c r="E1555" s="25">
        <v>841732</v>
      </c>
      <c r="F1555" s="26">
        <v>83853.5</v>
      </c>
      <c r="G1555" s="27">
        <v>9.9620187999999992</v>
      </c>
    </row>
    <row r="1556" spans="1:7" hidden="1" x14ac:dyDescent="0.25">
      <c r="A1556" s="24" t="s">
        <v>1626</v>
      </c>
      <c r="B1556" s="24" t="s">
        <v>96</v>
      </c>
      <c r="C1556" s="24" t="s">
        <v>281</v>
      </c>
      <c r="D1556" s="25">
        <v>36493</v>
      </c>
      <c r="E1556" s="25">
        <v>617314</v>
      </c>
      <c r="F1556" s="26">
        <v>66779.399999999994</v>
      </c>
      <c r="G1556" s="27">
        <v>10.817736</v>
      </c>
    </row>
    <row r="1557" spans="1:7" hidden="1" x14ac:dyDescent="0.25">
      <c r="A1557" s="24" t="s">
        <v>1627</v>
      </c>
      <c r="B1557" s="24" t="s">
        <v>96</v>
      </c>
      <c r="C1557" s="24" t="s">
        <v>283</v>
      </c>
      <c r="D1557" s="25">
        <v>3869</v>
      </c>
      <c r="E1557" s="25">
        <v>71417</v>
      </c>
      <c r="F1557" s="26">
        <v>7456</v>
      </c>
      <c r="G1557" s="27">
        <v>10.440091000000001</v>
      </c>
    </row>
    <row r="1558" spans="1:7" hidden="1" x14ac:dyDescent="0.25">
      <c r="A1558" s="24" t="s">
        <v>1628</v>
      </c>
      <c r="B1558" s="24" t="s">
        <v>98</v>
      </c>
      <c r="C1558" s="24" t="s">
        <v>281</v>
      </c>
      <c r="D1558" s="25">
        <v>3621</v>
      </c>
      <c r="E1558" s="25">
        <v>173492</v>
      </c>
      <c r="F1558" s="26">
        <v>13721</v>
      </c>
      <c r="G1558" s="27">
        <v>7.908722</v>
      </c>
    </row>
    <row r="1559" spans="1:7" hidden="1" x14ac:dyDescent="0.25">
      <c r="A1559" s="24" t="s">
        <v>1629</v>
      </c>
      <c r="B1559" s="24" t="s">
        <v>98</v>
      </c>
      <c r="C1559" s="24" t="s">
        <v>351</v>
      </c>
      <c r="D1559" s="25">
        <v>1</v>
      </c>
      <c r="E1559" s="25">
        <v>5697</v>
      </c>
      <c r="F1559" s="26">
        <v>228</v>
      </c>
      <c r="G1559" s="27">
        <v>4.0021063999999997</v>
      </c>
    </row>
    <row r="1560" spans="1:7" hidden="1" x14ac:dyDescent="0.25">
      <c r="A1560" s="24" t="s">
        <v>1630</v>
      </c>
      <c r="B1560" s="24" t="s">
        <v>98</v>
      </c>
      <c r="C1560" s="24" t="s">
        <v>283</v>
      </c>
      <c r="D1560" s="25">
        <v>7258</v>
      </c>
      <c r="E1560" s="25">
        <v>181369</v>
      </c>
      <c r="F1560" s="26">
        <v>12268.2</v>
      </c>
      <c r="G1560" s="27">
        <v>6.764221</v>
      </c>
    </row>
    <row r="1561" spans="1:7" hidden="1" x14ac:dyDescent="0.25">
      <c r="A1561" s="24" t="s">
        <v>1631</v>
      </c>
      <c r="B1561" s="24" t="s">
        <v>98</v>
      </c>
      <c r="C1561" s="24" t="s">
        <v>281</v>
      </c>
      <c r="D1561" s="25">
        <v>33853</v>
      </c>
      <c r="E1561" s="25">
        <v>750267</v>
      </c>
      <c r="F1561" s="26">
        <v>61253</v>
      </c>
      <c r="G1561" s="27">
        <v>8.1641601999999995</v>
      </c>
    </row>
    <row r="1562" spans="1:7" hidden="1" x14ac:dyDescent="0.25">
      <c r="A1562" s="24" t="s">
        <v>1632</v>
      </c>
      <c r="B1562" s="24" t="s">
        <v>98</v>
      </c>
      <c r="C1562" s="24" t="s">
        <v>385</v>
      </c>
      <c r="D1562" s="25">
        <v>38980</v>
      </c>
      <c r="E1562" s="25">
        <v>1352071</v>
      </c>
      <c r="F1562" s="26">
        <v>92438</v>
      </c>
      <c r="G1562" s="27">
        <v>6.8367711</v>
      </c>
    </row>
    <row r="1563" spans="1:7" hidden="1" x14ac:dyDescent="0.25">
      <c r="A1563" s="24" t="s">
        <v>1633</v>
      </c>
      <c r="B1563" s="24" t="s">
        <v>98</v>
      </c>
      <c r="C1563" s="24" t="s">
        <v>283</v>
      </c>
      <c r="D1563" s="25">
        <v>11999</v>
      </c>
      <c r="E1563" s="25">
        <v>177290</v>
      </c>
      <c r="F1563" s="26">
        <v>15377.5</v>
      </c>
      <c r="G1563" s="27">
        <v>8.6736421000000004</v>
      </c>
    </row>
    <row r="1564" spans="1:7" hidden="1" x14ac:dyDescent="0.25">
      <c r="A1564" s="24" t="s">
        <v>1634</v>
      </c>
      <c r="B1564" s="24" t="s">
        <v>98</v>
      </c>
      <c r="C1564" s="24" t="s">
        <v>283</v>
      </c>
      <c r="D1564" s="25">
        <v>3820</v>
      </c>
      <c r="E1564" s="25">
        <v>65315</v>
      </c>
      <c r="F1564" s="26">
        <v>5649</v>
      </c>
      <c r="G1564" s="27">
        <v>8.6488554999999998</v>
      </c>
    </row>
    <row r="1565" spans="1:7" hidden="1" x14ac:dyDescent="0.25">
      <c r="A1565" s="24" t="s">
        <v>1635</v>
      </c>
      <c r="B1565" s="24" t="s">
        <v>98</v>
      </c>
      <c r="C1565" s="24" t="s">
        <v>283</v>
      </c>
      <c r="D1565" s="25">
        <v>93807</v>
      </c>
      <c r="E1565" s="25">
        <v>2454901</v>
      </c>
      <c r="F1565" s="26">
        <v>220538.7</v>
      </c>
      <c r="G1565" s="27">
        <v>8.9836086999999996</v>
      </c>
    </row>
    <row r="1566" spans="1:7" hidden="1" x14ac:dyDescent="0.25">
      <c r="A1566" s="24" t="s">
        <v>1636</v>
      </c>
      <c r="B1566" s="24" t="s">
        <v>98</v>
      </c>
      <c r="C1566" s="24" t="s">
        <v>283</v>
      </c>
      <c r="D1566" s="25">
        <v>9783</v>
      </c>
      <c r="E1566" s="25">
        <v>254189</v>
      </c>
      <c r="F1566" s="26">
        <v>18061</v>
      </c>
      <c r="G1566" s="27">
        <v>7.1053429000000001</v>
      </c>
    </row>
    <row r="1567" spans="1:7" hidden="1" x14ac:dyDescent="0.25">
      <c r="A1567" s="24" t="s">
        <v>1637</v>
      </c>
      <c r="B1567" s="24" t="s">
        <v>98</v>
      </c>
      <c r="C1567" s="24" t="s">
        <v>283</v>
      </c>
      <c r="D1567" s="25">
        <v>5323</v>
      </c>
      <c r="E1567" s="25">
        <v>111142</v>
      </c>
      <c r="F1567" s="26">
        <v>8613.4</v>
      </c>
      <c r="G1567" s="27">
        <v>7.7499054999999997</v>
      </c>
    </row>
    <row r="1568" spans="1:7" hidden="1" x14ac:dyDescent="0.25">
      <c r="A1568" s="24" t="s">
        <v>1638</v>
      </c>
      <c r="B1568" s="24" t="s">
        <v>98</v>
      </c>
      <c r="C1568" s="24" t="s">
        <v>283</v>
      </c>
      <c r="D1568" s="25">
        <v>16300</v>
      </c>
      <c r="E1568" s="25">
        <v>710822</v>
      </c>
      <c r="F1568" s="26">
        <v>40545</v>
      </c>
      <c r="G1568" s="27">
        <v>5.7039596000000001</v>
      </c>
    </row>
    <row r="1569" spans="1:7" hidden="1" x14ac:dyDescent="0.25">
      <c r="A1569" s="24" t="s">
        <v>1639</v>
      </c>
      <c r="B1569" s="24" t="s">
        <v>98</v>
      </c>
      <c r="C1569" s="24" t="s">
        <v>283</v>
      </c>
      <c r="D1569" s="25">
        <v>4416</v>
      </c>
      <c r="E1569" s="25">
        <v>106798</v>
      </c>
      <c r="F1569" s="26">
        <v>7281</v>
      </c>
      <c r="G1569" s="27">
        <v>6.8175433999999999</v>
      </c>
    </row>
    <row r="1570" spans="1:7" hidden="1" x14ac:dyDescent="0.25">
      <c r="A1570" s="24" t="s">
        <v>1640</v>
      </c>
      <c r="B1570" s="24" t="s">
        <v>98</v>
      </c>
      <c r="C1570" s="24" t="s">
        <v>283</v>
      </c>
      <c r="D1570" s="25">
        <v>4550</v>
      </c>
      <c r="E1570" s="25">
        <v>75473</v>
      </c>
      <c r="F1570" s="26">
        <v>5877.3</v>
      </c>
      <c r="G1570" s="27">
        <v>7.7872881999999999</v>
      </c>
    </row>
    <row r="1571" spans="1:7" hidden="1" x14ac:dyDescent="0.25">
      <c r="A1571" s="24" t="s">
        <v>1641</v>
      </c>
      <c r="B1571" s="24" t="s">
        <v>98</v>
      </c>
      <c r="C1571" s="24" t="s">
        <v>283</v>
      </c>
      <c r="D1571" s="25">
        <v>32057</v>
      </c>
      <c r="E1571" s="25">
        <v>788878</v>
      </c>
      <c r="F1571" s="26">
        <v>50460</v>
      </c>
      <c r="G1571" s="27">
        <v>6.3964262999999999</v>
      </c>
    </row>
    <row r="1572" spans="1:7" hidden="1" x14ac:dyDescent="0.25">
      <c r="A1572" s="24" t="s">
        <v>1642</v>
      </c>
      <c r="B1572" s="24" t="s">
        <v>98</v>
      </c>
      <c r="C1572" s="24" t="s">
        <v>385</v>
      </c>
      <c r="D1572" s="25">
        <v>4574</v>
      </c>
      <c r="E1572" s="25">
        <v>1113297</v>
      </c>
      <c r="F1572" s="26">
        <v>56927.5</v>
      </c>
      <c r="G1572" s="27">
        <v>5.1134154000000001</v>
      </c>
    </row>
    <row r="1573" spans="1:7" hidden="1" x14ac:dyDescent="0.25">
      <c r="A1573" s="24" t="s">
        <v>746</v>
      </c>
      <c r="B1573" s="24" t="s">
        <v>98</v>
      </c>
      <c r="C1573" s="24" t="s">
        <v>281</v>
      </c>
      <c r="D1573" s="25">
        <v>175</v>
      </c>
      <c r="E1573" s="25">
        <v>1935</v>
      </c>
      <c r="F1573" s="26">
        <v>220.1</v>
      </c>
      <c r="G1573" s="27">
        <v>11.374677</v>
      </c>
    </row>
    <row r="1574" spans="1:7" hidden="1" x14ac:dyDescent="0.25">
      <c r="A1574" s="24" t="s">
        <v>1643</v>
      </c>
      <c r="B1574" s="24" t="s">
        <v>98</v>
      </c>
      <c r="C1574" s="24" t="s">
        <v>281</v>
      </c>
      <c r="D1574" s="25">
        <v>3869</v>
      </c>
      <c r="E1574" s="25">
        <v>112649</v>
      </c>
      <c r="F1574" s="26">
        <v>9144.1</v>
      </c>
      <c r="G1574" s="27">
        <v>8.1173379000000008</v>
      </c>
    </row>
    <row r="1575" spans="1:7" hidden="1" x14ac:dyDescent="0.25">
      <c r="A1575" s="24" t="s">
        <v>1644</v>
      </c>
      <c r="B1575" s="24" t="s">
        <v>98</v>
      </c>
      <c r="C1575" s="24" t="s">
        <v>281</v>
      </c>
      <c r="D1575" s="25">
        <v>1890</v>
      </c>
      <c r="E1575" s="25">
        <v>24672</v>
      </c>
      <c r="F1575" s="26">
        <v>2576</v>
      </c>
      <c r="G1575" s="27">
        <v>10.440986000000001</v>
      </c>
    </row>
    <row r="1576" spans="1:7" hidden="1" x14ac:dyDescent="0.25">
      <c r="A1576" s="24" t="s">
        <v>1645</v>
      </c>
      <c r="B1576" s="24" t="s">
        <v>98</v>
      </c>
      <c r="C1576" s="24" t="s">
        <v>385</v>
      </c>
      <c r="D1576" s="25">
        <v>19218</v>
      </c>
      <c r="E1576" s="25">
        <v>505709</v>
      </c>
      <c r="F1576" s="26">
        <v>33863.4</v>
      </c>
      <c r="G1576" s="27">
        <v>6.6962225000000002</v>
      </c>
    </row>
    <row r="1577" spans="1:7" hidden="1" x14ac:dyDescent="0.25">
      <c r="A1577" s="24" t="s">
        <v>1646</v>
      </c>
      <c r="B1577" s="24" t="s">
        <v>98</v>
      </c>
      <c r="C1577" s="24" t="s">
        <v>281</v>
      </c>
      <c r="D1577" s="25">
        <v>138</v>
      </c>
      <c r="E1577" s="25">
        <v>5015</v>
      </c>
      <c r="F1577" s="26">
        <v>455.1</v>
      </c>
      <c r="G1577" s="27">
        <v>9.0747757</v>
      </c>
    </row>
    <row r="1578" spans="1:7" hidden="1" x14ac:dyDescent="0.25">
      <c r="A1578" s="24" t="s">
        <v>1647</v>
      </c>
      <c r="B1578" s="24" t="s">
        <v>98</v>
      </c>
      <c r="C1578" s="24" t="s">
        <v>281</v>
      </c>
      <c r="D1578" s="25">
        <v>22393</v>
      </c>
      <c r="E1578" s="25">
        <v>412824</v>
      </c>
      <c r="F1578" s="26">
        <v>37905.5</v>
      </c>
      <c r="G1578" s="27">
        <v>9.1820000999999998</v>
      </c>
    </row>
    <row r="1579" spans="1:7" hidden="1" x14ac:dyDescent="0.25">
      <c r="A1579" s="24" t="s">
        <v>1648</v>
      </c>
      <c r="B1579" s="24" t="s">
        <v>98</v>
      </c>
      <c r="C1579" s="24" t="s">
        <v>281</v>
      </c>
      <c r="D1579" s="25">
        <v>17812</v>
      </c>
      <c r="E1579" s="25">
        <v>334756</v>
      </c>
      <c r="F1579" s="26">
        <v>34992.300000000003</v>
      </c>
      <c r="G1579" s="27">
        <v>10.453075999999999</v>
      </c>
    </row>
    <row r="1580" spans="1:7" hidden="1" x14ac:dyDescent="0.25">
      <c r="A1580" s="24" t="s">
        <v>1649</v>
      </c>
      <c r="B1580" s="24" t="s">
        <v>98</v>
      </c>
      <c r="C1580" s="24" t="s">
        <v>281</v>
      </c>
      <c r="D1580" s="25">
        <v>9908</v>
      </c>
      <c r="E1580" s="25">
        <v>156763</v>
      </c>
      <c r="F1580" s="26">
        <v>15905</v>
      </c>
      <c r="G1580" s="27">
        <v>10.145889</v>
      </c>
    </row>
    <row r="1581" spans="1:7" hidden="1" x14ac:dyDescent="0.25">
      <c r="A1581" s="24" t="s">
        <v>1650</v>
      </c>
      <c r="B1581" s="24" t="s">
        <v>98</v>
      </c>
      <c r="C1581" s="24" t="s">
        <v>385</v>
      </c>
      <c r="D1581" s="25">
        <v>21345</v>
      </c>
      <c r="E1581" s="25">
        <v>622680</v>
      </c>
      <c r="F1581" s="26">
        <v>49949.3</v>
      </c>
      <c r="G1581" s="27">
        <v>8.0216644000000006</v>
      </c>
    </row>
    <row r="1582" spans="1:7" hidden="1" x14ac:dyDescent="0.25">
      <c r="A1582" s="24" t="s">
        <v>1505</v>
      </c>
      <c r="B1582" s="24" t="s">
        <v>98</v>
      </c>
      <c r="C1582" s="24" t="s">
        <v>281</v>
      </c>
      <c r="D1582" s="25">
        <v>2304</v>
      </c>
      <c r="E1582" s="25">
        <v>94529</v>
      </c>
      <c r="F1582" s="26">
        <v>6373.8</v>
      </c>
      <c r="G1582" s="27">
        <v>6.7426927000000001</v>
      </c>
    </row>
    <row r="1583" spans="1:7" hidden="1" x14ac:dyDescent="0.25">
      <c r="A1583" s="24" t="s">
        <v>1651</v>
      </c>
      <c r="B1583" s="24" t="s">
        <v>98</v>
      </c>
      <c r="C1583" s="24" t="s">
        <v>281</v>
      </c>
      <c r="D1583" s="25">
        <v>3822</v>
      </c>
      <c r="E1583" s="25">
        <v>120394</v>
      </c>
      <c r="F1583" s="26">
        <v>8661.6</v>
      </c>
      <c r="G1583" s="27">
        <v>7.1943785</v>
      </c>
    </row>
    <row r="1584" spans="1:7" hidden="1" x14ac:dyDescent="0.25">
      <c r="A1584" s="24" t="s">
        <v>748</v>
      </c>
      <c r="B1584" s="24" t="s">
        <v>98</v>
      </c>
      <c r="C1584" s="24" t="s">
        <v>278</v>
      </c>
      <c r="D1584" s="25">
        <v>18937</v>
      </c>
      <c r="E1584" s="25">
        <v>682166</v>
      </c>
      <c r="F1584" s="26">
        <v>53834</v>
      </c>
      <c r="G1584" s="27">
        <v>7.8916275999999996</v>
      </c>
    </row>
    <row r="1585" spans="1:7" hidden="1" x14ac:dyDescent="0.25">
      <c r="A1585" s="24" t="s">
        <v>1652</v>
      </c>
      <c r="B1585" s="24" t="s">
        <v>98</v>
      </c>
      <c r="C1585" s="24" t="s">
        <v>281</v>
      </c>
      <c r="D1585" s="25">
        <v>12759</v>
      </c>
      <c r="E1585" s="25">
        <v>244017</v>
      </c>
      <c r="F1585" s="26">
        <v>26070</v>
      </c>
      <c r="G1585" s="27">
        <v>10.683681999999999</v>
      </c>
    </row>
    <row r="1586" spans="1:7" hidden="1" x14ac:dyDescent="0.25">
      <c r="A1586" s="24" t="s">
        <v>401</v>
      </c>
      <c r="B1586" s="24" t="s">
        <v>98</v>
      </c>
      <c r="C1586" s="24" t="s">
        <v>392</v>
      </c>
      <c r="D1586" s="25">
        <v>24</v>
      </c>
      <c r="E1586" s="25">
        <v>333</v>
      </c>
      <c r="F1586" s="26">
        <v>30.4</v>
      </c>
      <c r="G1586" s="27">
        <v>9.1291291000000001</v>
      </c>
    </row>
    <row r="1587" spans="1:7" hidden="1" x14ac:dyDescent="0.25">
      <c r="A1587" s="24" t="s">
        <v>1653</v>
      </c>
      <c r="B1587" s="24" t="s">
        <v>98</v>
      </c>
      <c r="C1587" s="24" t="s">
        <v>281</v>
      </c>
      <c r="D1587" s="25">
        <v>19081</v>
      </c>
      <c r="E1587" s="25">
        <v>418801</v>
      </c>
      <c r="F1587" s="26">
        <v>34618</v>
      </c>
      <c r="G1587" s="27">
        <v>8.2659783999999998</v>
      </c>
    </row>
    <row r="1588" spans="1:7" hidden="1" x14ac:dyDescent="0.25">
      <c r="A1588" s="24" t="s">
        <v>1654</v>
      </c>
      <c r="B1588" s="24" t="s">
        <v>98</v>
      </c>
      <c r="C1588" s="24" t="s">
        <v>385</v>
      </c>
      <c r="D1588" s="25">
        <v>10062</v>
      </c>
      <c r="E1588" s="25">
        <v>613114</v>
      </c>
      <c r="F1588" s="26">
        <v>36625</v>
      </c>
      <c r="G1588" s="27">
        <v>5.9736035999999997</v>
      </c>
    </row>
    <row r="1589" spans="1:7" hidden="1" x14ac:dyDescent="0.25">
      <c r="A1589" s="24" t="s">
        <v>1655</v>
      </c>
      <c r="B1589" s="24" t="s">
        <v>98</v>
      </c>
      <c r="C1589" s="24" t="s">
        <v>281</v>
      </c>
      <c r="D1589" s="25">
        <v>31084</v>
      </c>
      <c r="E1589" s="25">
        <v>676428</v>
      </c>
      <c r="F1589" s="26">
        <v>53953</v>
      </c>
      <c r="G1589" s="27">
        <v>7.9761629999999997</v>
      </c>
    </row>
    <row r="1590" spans="1:7" hidden="1" x14ac:dyDescent="0.25">
      <c r="A1590" s="24" t="s">
        <v>457</v>
      </c>
      <c r="B1590" s="24" t="s">
        <v>98</v>
      </c>
      <c r="C1590" s="24" t="s">
        <v>278</v>
      </c>
      <c r="D1590" s="25">
        <v>580492</v>
      </c>
      <c r="E1590" s="25">
        <v>13200282</v>
      </c>
      <c r="F1590" s="26">
        <v>1302575.5</v>
      </c>
      <c r="G1590" s="27">
        <v>9.8677854000000007</v>
      </c>
    </row>
    <row r="1591" spans="1:7" hidden="1" x14ac:dyDescent="0.25">
      <c r="A1591" s="24" t="s">
        <v>1656</v>
      </c>
      <c r="B1591" s="24" t="s">
        <v>98</v>
      </c>
      <c r="C1591" s="24" t="s">
        <v>278</v>
      </c>
      <c r="D1591" s="25">
        <v>869773</v>
      </c>
      <c r="E1591" s="25">
        <v>17754280</v>
      </c>
      <c r="F1591" s="26">
        <v>1737739.8</v>
      </c>
      <c r="G1591" s="27">
        <v>9.7877232999999997</v>
      </c>
    </row>
    <row r="1592" spans="1:7" hidden="1" x14ac:dyDescent="0.25">
      <c r="A1592" s="24" t="s">
        <v>1657</v>
      </c>
      <c r="B1592" s="24" t="s">
        <v>98</v>
      </c>
      <c r="C1592" s="24" t="s">
        <v>281</v>
      </c>
      <c r="D1592" s="25">
        <v>19517</v>
      </c>
      <c r="E1592" s="25">
        <v>330691</v>
      </c>
      <c r="F1592" s="26">
        <v>29284.799999999999</v>
      </c>
      <c r="G1592" s="27">
        <v>8.8556386000000007</v>
      </c>
    </row>
    <row r="1593" spans="1:7" hidden="1" x14ac:dyDescent="0.25">
      <c r="A1593" s="24" t="s">
        <v>408</v>
      </c>
      <c r="B1593" s="24" t="s">
        <v>98</v>
      </c>
      <c r="C1593" s="24" t="s">
        <v>392</v>
      </c>
      <c r="D1593" s="25">
        <v>3697</v>
      </c>
      <c r="E1593" s="25">
        <v>31558</v>
      </c>
      <c r="F1593" s="26">
        <v>2499.6</v>
      </c>
      <c r="G1593" s="27">
        <v>7.9206539999999999</v>
      </c>
    </row>
    <row r="1594" spans="1:7" hidden="1" x14ac:dyDescent="0.25">
      <c r="A1594" s="24" t="s">
        <v>411</v>
      </c>
      <c r="B1594" s="24" t="s">
        <v>98</v>
      </c>
      <c r="C1594" s="24" t="s">
        <v>392</v>
      </c>
      <c r="D1594" s="25">
        <v>2</v>
      </c>
      <c r="E1594" s="25">
        <v>98</v>
      </c>
      <c r="F1594" s="26">
        <v>7.2</v>
      </c>
      <c r="G1594" s="27">
        <v>7.3469388000000002</v>
      </c>
    </row>
    <row r="1595" spans="1:7" hidden="1" x14ac:dyDescent="0.25">
      <c r="A1595" s="24" t="s">
        <v>415</v>
      </c>
      <c r="B1595" s="24" t="s">
        <v>98</v>
      </c>
      <c r="C1595" s="24" t="s">
        <v>392</v>
      </c>
      <c r="D1595" s="25">
        <v>96</v>
      </c>
      <c r="E1595" s="25">
        <v>480</v>
      </c>
      <c r="F1595" s="26">
        <v>56.8</v>
      </c>
      <c r="G1595" s="27">
        <v>11.833333</v>
      </c>
    </row>
    <row r="1596" spans="1:7" hidden="1" x14ac:dyDescent="0.25">
      <c r="A1596" s="24" t="s">
        <v>467</v>
      </c>
      <c r="B1596" s="24" t="s">
        <v>98</v>
      </c>
      <c r="C1596" s="24" t="s">
        <v>281</v>
      </c>
      <c r="D1596" s="25">
        <v>1863</v>
      </c>
      <c r="E1596" s="25">
        <v>37142</v>
      </c>
      <c r="F1596" s="26">
        <v>3075.7</v>
      </c>
      <c r="G1596" s="27">
        <v>8.2809218999999992</v>
      </c>
    </row>
    <row r="1597" spans="1:7" hidden="1" x14ac:dyDescent="0.25">
      <c r="A1597" s="24" t="s">
        <v>416</v>
      </c>
      <c r="B1597" s="24" t="s">
        <v>98</v>
      </c>
      <c r="C1597" s="24" t="s">
        <v>392</v>
      </c>
      <c r="D1597" s="25">
        <v>3</v>
      </c>
      <c r="E1597" s="25">
        <v>622</v>
      </c>
      <c r="F1597" s="26">
        <v>45</v>
      </c>
      <c r="G1597" s="27">
        <v>7.2347267000000004</v>
      </c>
    </row>
    <row r="1598" spans="1:7" hidden="1" x14ac:dyDescent="0.25">
      <c r="A1598" s="24" t="s">
        <v>1658</v>
      </c>
      <c r="B1598" s="24" t="s">
        <v>98</v>
      </c>
      <c r="C1598" s="24" t="s">
        <v>385</v>
      </c>
      <c r="D1598" s="25">
        <v>21037</v>
      </c>
      <c r="E1598" s="25">
        <v>484380</v>
      </c>
      <c r="F1598" s="26">
        <v>38563.800000000003</v>
      </c>
      <c r="G1598" s="27">
        <v>7.9614764999999998</v>
      </c>
    </row>
    <row r="1599" spans="1:7" hidden="1" x14ac:dyDescent="0.25">
      <c r="A1599" s="24" t="s">
        <v>1659</v>
      </c>
      <c r="B1599" s="24" t="s">
        <v>98</v>
      </c>
      <c r="C1599" s="24" t="s">
        <v>281</v>
      </c>
      <c r="D1599" s="25">
        <v>14980</v>
      </c>
      <c r="E1599" s="25">
        <v>2130767</v>
      </c>
      <c r="F1599" s="26">
        <v>116369.5</v>
      </c>
      <c r="G1599" s="27">
        <v>5.4613902000000003</v>
      </c>
    </row>
    <row r="1600" spans="1:7" hidden="1" x14ac:dyDescent="0.25">
      <c r="A1600" s="24" t="s">
        <v>1660</v>
      </c>
      <c r="B1600" s="24" t="s">
        <v>98</v>
      </c>
      <c r="C1600" s="24" t="s">
        <v>281</v>
      </c>
      <c r="D1600" s="25">
        <v>4695</v>
      </c>
      <c r="E1600" s="25">
        <v>111310</v>
      </c>
      <c r="F1600" s="26">
        <v>11262</v>
      </c>
      <c r="G1600" s="27">
        <v>10.117689</v>
      </c>
    </row>
    <row r="1601" spans="1:7" hidden="1" x14ac:dyDescent="0.25">
      <c r="A1601" s="24" t="s">
        <v>1661</v>
      </c>
      <c r="B1601" s="24" t="s">
        <v>101</v>
      </c>
      <c r="C1601" s="24" t="s">
        <v>281</v>
      </c>
      <c r="D1601" s="25">
        <v>32162</v>
      </c>
      <c r="E1601" s="25">
        <v>533393</v>
      </c>
      <c r="F1601" s="26">
        <v>62103</v>
      </c>
      <c r="G1601" s="27">
        <v>11.64301</v>
      </c>
    </row>
    <row r="1602" spans="1:7" hidden="1" x14ac:dyDescent="0.25">
      <c r="A1602" s="24" t="s">
        <v>1662</v>
      </c>
      <c r="B1602" s="24" t="s">
        <v>101</v>
      </c>
      <c r="C1602" s="24" t="s">
        <v>281</v>
      </c>
      <c r="D1602" s="25">
        <v>9318</v>
      </c>
      <c r="E1602" s="25">
        <v>366522</v>
      </c>
      <c r="F1602" s="26">
        <v>32272</v>
      </c>
      <c r="G1602" s="27">
        <v>8.8049285000000008</v>
      </c>
    </row>
    <row r="1603" spans="1:7" hidden="1" x14ac:dyDescent="0.25">
      <c r="A1603" s="24" t="s">
        <v>1663</v>
      </c>
      <c r="B1603" s="24" t="s">
        <v>101</v>
      </c>
      <c r="C1603" s="24" t="s">
        <v>283</v>
      </c>
      <c r="D1603" s="25">
        <v>11402</v>
      </c>
      <c r="E1603" s="25">
        <v>300587</v>
      </c>
      <c r="F1603" s="26">
        <v>27649</v>
      </c>
      <c r="G1603" s="27">
        <v>9.1983353000000001</v>
      </c>
    </row>
    <row r="1604" spans="1:7" hidden="1" x14ac:dyDescent="0.25">
      <c r="A1604" s="24" t="s">
        <v>1664</v>
      </c>
      <c r="B1604" s="24" t="s">
        <v>101</v>
      </c>
      <c r="C1604" s="24" t="s">
        <v>283</v>
      </c>
      <c r="D1604" s="25">
        <v>6642</v>
      </c>
      <c r="E1604" s="25">
        <v>134588</v>
      </c>
      <c r="F1604" s="26">
        <v>17034.8</v>
      </c>
      <c r="G1604" s="27">
        <v>12.656998</v>
      </c>
    </row>
    <row r="1605" spans="1:7" hidden="1" x14ac:dyDescent="0.25">
      <c r="A1605" s="24" t="s">
        <v>1665</v>
      </c>
      <c r="B1605" s="24" t="s">
        <v>101</v>
      </c>
      <c r="C1605" s="24" t="s">
        <v>283</v>
      </c>
      <c r="D1605" s="25">
        <v>8174</v>
      </c>
      <c r="E1605" s="25">
        <v>111796</v>
      </c>
      <c r="F1605" s="26">
        <v>19525</v>
      </c>
      <c r="G1605" s="27">
        <v>17.464846999999999</v>
      </c>
    </row>
    <row r="1606" spans="1:7" hidden="1" x14ac:dyDescent="0.25">
      <c r="A1606" s="24" t="s">
        <v>1666</v>
      </c>
      <c r="B1606" s="24" t="s">
        <v>101</v>
      </c>
      <c r="C1606" s="24" t="s">
        <v>283</v>
      </c>
      <c r="D1606" s="25">
        <v>5328</v>
      </c>
      <c r="E1606" s="25">
        <v>86699</v>
      </c>
      <c r="F1606" s="26">
        <v>10733</v>
      </c>
      <c r="G1606" s="27">
        <v>12.379612</v>
      </c>
    </row>
    <row r="1607" spans="1:7" hidden="1" x14ac:dyDescent="0.25">
      <c r="A1607" s="24" t="s">
        <v>1667</v>
      </c>
      <c r="B1607" s="24" t="s">
        <v>101</v>
      </c>
      <c r="C1607" s="24" t="s">
        <v>281</v>
      </c>
      <c r="D1607" s="25">
        <v>25306</v>
      </c>
      <c r="E1607" s="25">
        <v>285393</v>
      </c>
      <c r="F1607" s="26">
        <v>37574</v>
      </c>
      <c r="G1607" s="27">
        <v>13.165705000000001</v>
      </c>
    </row>
    <row r="1608" spans="1:7" hidden="1" x14ac:dyDescent="0.25">
      <c r="A1608" s="24" t="s">
        <v>1668</v>
      </c>
      <c r="B1608" s="24" t="s">
        <v>101</v>
      </c>
      <c r="C1608" s="24" t="s">
        <v>278</v>
      </c>
      <c r="D1608" s="25">
        <v>6914</v>
      </c>
      <c r="E1608" s="25">
        <v>115084</v>
      </c>
      <c r="F1608" s="26">
        <v>12462</v>
      </c>
      <c r="G1608" s="27">
        <v>10.828612</v>
      </c>
    </row>
    <row r="1609" spans="1:7" hidden="1" x14ac:dyDescent="0.25">
      <c r="A1609" s="24" t="s">
        <v>1669</v>
      </c>
      <c r="B1609" s="24" t="s">
        <v>101</v>
      </c>
      <c r="C1609" s="24" t="s">
        <v>281</v>
      </c>
      <c r="D1609" s="25">
        <v>18731</v>
      </c>
      <c r="E1609" s="25">
        <v>238978</v>
      </c>
      <c r="F1609" s="26">
        <v>29743</v>
      </c>
      <c r="G1609" s="27">
        <v>12.445916</v>
      </c>
    </row>
    <row r="1610" spans="1:7" hidden="1" x14ac:dyDescent="0.25">
      <c r="A1610" s="24" t="s">
        <v>1670</v>
      </c>
      <c r="B1610" s="24" t="s">
        <v>101</v>
      </c>
      <c r="C1610" s="24" t="s">
        <v>278</v>
      </c>
      <c r="D1610" s="25">
        <v>409366</v>
      </c>
      <c r="E1610" s="25">
        <v>3872724</v>
      </c>
      <c r="F1610" s="26">
        <v>570052.69999999995</v>
      </c>
      <c r="G1610" s="27">
        <v>14.719683</v>
      </c>
    </row>
    <row r="1611" spans="1:7" hidden="1" x14ac:dyDescent="0.25">
      <c r="A1611" s="24" t="s">
        <v>401</v>
      </c>
      <c r="B1611" s="24" t="s">
        <v>101</v>
      </c>
      <c r="C1611" s="24" t="s">
        <v>392</v>
      </c>
      <c r="D1611" s="25">
        <v>5</v>
      </c>
      <c r="E1611" s="25">
        <v>561</v>
      </c>
      <c r="F1611" s="26">
        <v>80.5</v>
      </c>
      <c r="G1611" s="27">
        <v>14.349375999999999</v>
      </c>
    </row>
    <row r="1612" spans="1:7" hidden="1" x14ac:dyDescent="0.25">
      <c r="A1612" s="24" t="s">
        <v>1671</v>
      </c>
      <c r="B1612" s="24" t="s">
        <v>101</v>
      </c>
      <c r="C1612" s="24" t="s">
        <v>278</v>
      </c>
      <c r="D1612" s="25">
        <v>361982</v>
      </c>
      <c r="E1612" s="25">
        <v>4280365</v>
      </c>
      <c r="F1612" s="26">
        <v>555099.9</v>
      </c>
      <c r="G1612" s="27">
        <v>12.968518</v>
      </c>
    </row>
    <row r="1613" spans="1:7" hidden="1" x14ac:dyDescent="0.25">
      <c r="A1613" s="24" t="s">
        <v>1672</v>
      </c>
      <c r="B1613" s="24" t="s">
        <v>101</v>
      </c>
      <c r="C1613" s="24" t="s">
        <v>281</v>
      </c>
      <c r="D1613" s="25">
        <v>19559</v>
      </c>
      <c r="E1613" s="25">
        <v>243595</v>
      </c>
      <c r="F1613" s="26">
        <v>31640</v>
      </c>
      <c r="G1613" s="27">
        <v>12.988772000000001</v>
      </c>
    </row>
    <row r="1614" spans="1:7" hidden="1" x14ac:dyDescent="0.25">
      <c r="A1614" s="24" t="s">
        <v>1673</v>
      </c>
      <c r="B1614" s="24" t="s">
        <v>101</v>
      </c>
      <c r="C1614" s="24" t="s">
        <v>278</v>
      </c>
      <c r="D1614" s="25">
        <v>1048211</v>
      </c>
      <c r="E1614" s="25">
        <v>10827883</v>
      </c>
      <c r="F1614" s="26">
        <v>1409796.7</v>
      </c>
      <c r="G1614" s="27">
        <v>13.020058000000001</v>
      </c>
    </row>
    <row r="1615" spans="1:7" hidden="1" x14ac:dyDescent="0.25">
      <c r="A1615" s="24" t="s">
        <v>1674</v>
      </c>
      <c r="B1615" s="24" t="s">
        <v>101</v>
      </c>
      <c r="C1615" s="24" t="s">
        <v>278</v>
      </c>
      <c r="D1615" s="25">
        <v>789573</v>
      </c>
      <c r="E1615" s="25">
        <v>8990953</v>
      </c>
      <c r="F1615" s="26">
        <v>1166096.8999999999</v>
      </c>
      <c r="G1615" s="27">
        <v>12.969670000000001</v>
      </c>
    </row>
    <row r="1616" spans="1:7" hidden="1" x14ac:dyDescent="0.25">
      <c r="A1616" s="24" t="s">
        <v>1523</v>
      </c>
      <c r="B1616" s="24" t="s">
        <v>101</v>
      </c>
      <c r="C1616" s="24" t="s">
        <v>278</v>
      </c>
      <c r="D1616" s="25">
        <v>395325</v>
      </c>
      <c r="E1616" s="25">
        <v>3830520</v>
      </c>
      <c r="F1616" s="26">
        <v>547564.5</v>
      </c>
      <c r="G1616" s="27">
        <v>14.294782</v>
      </c>
    </row>
    <row r="1617" spans="1:7" hidden="1" x14ac:dyDescent="0.25">
      <c r="A1617" s="24" t="s">
        <v>1675</v>
      </c>
      <c r="B1617" s="24" t="s">
        <v>101</v>
      </c>
      <c r="C1617" s="24" t="s">
        <v>278</v>
      </c>
      <c r="D1617" s="25">
        <v>115882</v>
      </c>
      <c r="E1617" s="25">
        <v>1496958</v>
      </c>
      <c r="F1617" s="26">
        <v>184300.4</v>
      </c>
      <c r="G1617" s="27">
        <v>12.311661000000001</v>
      </c>
    </row>
    <row r="1618" spans="1:7" hidden="1" x14ac:dyDescent="0.25">
      <c r="A1618" s="24" t="s">
        <v>1676</v>
      </c>
      <c r="B1618" s="24" t="s">
        <v>101</v>
      </c>
      <c r="C1618" s="24" t="s">
        <v>278</v>
      </c>
      <c r="D1618" s="25">
        <v>2729</v>
      </c>
      <c r="E1618" s="25">
        <v>69016</v>
      </c>
      <c r="F1618" s="26">
        <v>9836.7000000000007</v>
      </c>
      <c r="G1618" s="27">
        <v>14.252782</v>
      </c>
    </row>
    <row r="1619" spans="1:7" hidden="1" x14ac:dyDescent="0.25">
      <c r="A1619" s="24" t="s">
        <v>1677</v>
      </c>
      <c r="B1619" s="24" t="s">
        <v>101</v>
      </c>
      <c r="C1619" s="24" t="s">
        <v>281</v>
      </c>
      <c r="D1619" s="25">
        <v>22698</v>
      </c>
      <c r="E1619" s="25">
        <v>369068</v>
      </c>
      <c r="F1619" s="26">
        <v>40945</v>
      </c>
      <c r="G1619" s="27">
        <v>11.094162000000001</v>
      </c>
    </row>
    <row r="1620" spans="1:7" hidden="1" x14ac:dyDescent="0.25">
      <c r="A1620" s="24" t="s">
        <v>408</v>
      </c>
      <c r="B1620" s="24" t="s">
        <v>101</v>
      </c>
      <c r="C1620" s="24" t="s">
        <v>392</v>
      </c>
      <c r="D1620" s="25">
        <v>4404</v>
      </c>
      <c r="E1620" s="25">
        <v>39662</v>
      </c>
      <c r="F1620" s="26">
        <v>4850.5</v>
      </c>
      <c r="G1620" s="27">
        <v>12.22959</v>
      </c>
    </row>
    <row r="1621" spans="1:7" hidden="1" x14ac:dyDescent="0.25">
      <c r="A1621" s="24" t="s">
        <v>1678</v>
      </c>
      <c r="B1621" s="24" t="s">
        <v>101</v>
      </c>
      <c r="C1621" s="24" t="s">
        <v>281</v>
      </c>
      <c r="D1621" s="25">
        <v>13606</v>
      </c>
      <c r="E1621" s="25">
        <v>187215</v>
      </c>
      <c r="F1621" s="26">
        <v>19566</v>
      </c>
      <c r="G1621" s="27">
        <v>10.451086</v>
      </c>
    </row>
    <row r="1622" spans="1:7" hidden="1" x14ac:dyDescent="0.25">
      <c r="A1622" s="24" t="s">
        <v>411</v>
      </c>
      <c r="B1622" s="24" t="s">
        <v>101</v>
      </c>
      <c r="C1622" s="24" t="s">
        <v>392</v>
      </c>
      <c r="D1622" s="25">
        <v>10</v>
      </c>
      <c r="E1622" s="25">
        <v>2728</v>
      </c>
      <c r="F1622" s="26">
        <v>271.7</v>
      </c>
      <c r="G1622" s="27">
        <v>9.9596774000000003</v>
      </c>
    </row>
    <row r="1623" spans="1:7" hidden="1" x14ac:dyDescent="0.25">
      <c r="A1623" s="24" t="s">
        <v>412</v>
      </c>
      <c r="B1623" s="24" t="s">
        <v>101</v>
      </c>
      <c r="C1623" s="24" t="s">
        <v>392</v>
      </c>
      <c r="D1623" s="25">
        <v>11</v>
      </c>
      <c r="E1623" s="25">
        <v>140</v>
      </c>
      <c r="F1623" s="26">
        <v>19.100000000000001</v>
      </c>
      <c r="G1623" s="27">
        <v>13.642856999999999</v>
      </c>
    </row>
    <row r="1624" spans="1:7" hidden="1" x14ac:dyDescent="0.25">
      <c r="A1624" s="24" t="s">
        <v>413</v>
      </c>
      <c r="B1624" s="24" t="s">
        <v>101</v>
      </c>
      <c r="C1624" s="24" t="s">
        <v>392</v>
      </c>
      <c r="D1624" s="25">
        <v>60</v>
      </c>
      <c r="E1624" s="25">
        <v>610</v>
      </c>
      <c r="F1624" s="26">
        <v>8.9</v>
      </c>
      <c r="G1624" s="27">
        <v>1.4590164000000001</v>
      </c>
    </row>
    <row r="1625" spans="1:7" hidden="1" x14ac:dyDescent="0.25">
      <c r="A1625" s="24" t="s">
        <v>414</v>
      </c>
      <c r="B1625" s="24" t="s">
        <v>101</v>
      </c>
      <c r="C1625" s="24" t="s">
        <v>392</v>
      </c>
      <c r="D1625" s="25">
        <v>4</v>
      </c>
      <c r="E1625" s="25">
        <v>32</v>
      </c>
      <c r="F1625" s="26">
        <v>7.5</v>
      </c>
      <c r="G1625" s="27">
        <v>23.4375</v>
      </c>
    </row>
    <row r="1626" spans="1:7" hidden="1" x14ac:dyDescent="0.25">
      <c r="A1626" s="24" t="s">
        <v>415</v>
      </c>
      <c r="B1626" s="24" t="s">
        <v>101</v>
      </c>
      <c r="C1626" s="24" t="s">
        <v>392</v>
      </c>
      <c r="D1626" s="25">
        <v>129</v>
      </c>
      <c r="E1626" s="25">
        <v>955</v>
      </c>
      <c r="F1626" s="26">
        <v>147.19999999999999</v>
      </c>
      <c r="G1626" s="27">
        <v>15.413613</v>
      </c>
    </row>
    <row r="1627" spans="1:7" hidden="1" x14ac:dyDescent="0.25">
      <c r="A1627" s="24" t="s">
        <v>416</v>
      </c>
      <c r="B1627" s="24" t="s">
        <v>101</v>
      </c>
      <c r="C1627" s="24" t="s">
        <v>392</v>
      </c>
      <c r="D1627" s="25">
        <v>20</v>
      </c>
      <c r="E1627" s="25">
        <v>3317</v>
      </c>
      <c r="F1627" s="26">
        <v>249</v>
      </c>
      <c r="G1627" s="27">
        <v>7.5067832000000001</v>
      </c>
    </row>
    <row r="1628" spans="1:7" hidden="1" x14ac:dyDescent="0.25">
      <c r="A1628" s="24" t="s">
        <v>1679</v>
      </c>
      <c r="B1628" s="24" t="s">
        <v>101</v>
      </c>
      <c r="C1628" s="24" t="s">
        <v>281</v>
      </c>
      <c r="D1628" s="25">
        <v>19236</v>
      </c>
      <c r="E1628" s="25">
        <v>222134</v>
      </c>
      <c r="F1628" s="26">
        <v>27932</v>
      </c>
      <c r="G1628" s="27">
        <v>12.574392</v>
      </c>
    </row>
    <row r="1629" spans="1:7" hidden="1" x14ac:dyDescent="0.25">
      <c r="A1629" s="24" t="s">
        <v>1680</v>
      </c>
      <c r="B1629" s="24" t="s">
        <v>101</v>
      </c>
      <c r="C1629" s="24" t="s">
        <v>278</v>
      </c>
      <c r="D1629" s="25">
        <v>62708</v>
      </c>
      <c r="E1629" s="25">
        <v>710504</v>
      </c>
      <c r="F1629" s="26">
        <v>74731.100000000006</v>
      </c>
      <c r="G1629" s="27">
        <v>10.518041</v>
      </c>
    </row>
    <row r="1630" spans="1:7" hidden="1" x14ac:dyDescent="0.25">
      <c r="A1630" s="24" t="s">
        <v>1681</v>
      </c>
      <c r="B1630" s="24" t="s">
        <v>101</v>
      </c>
      <c r="C1630" s="24" t="s">
        <v>281</v>
      </c>
      <c r="D1630" s="25">
        <v>18864</v>
      </c>
      <c r="E1630" s="25">
        <v>162045</v>
      </c>
      <c r="F1630" s="26">
        <v>24998</v>
      </c>
      <c r="G1630" s="27">
        <v>15.426579</v>
      </c>
    </row>
    <row r="1631" spans="1:7" hidden="1" x14ac:dyDescent="0.25">
      <c r="A1631" s="24" t="s">
        <v>1682</v>
      </c>
      <c r="B1631" s="24" t="s">
        <v>101</v>
      </c>
      <c r="C1631" s="24" t="s">
        <v>281</v>
      </c>
      <c r="D1631" s="25">
        <v>22063</v>
      </c>
      <c r="E1631" s="25">
        <v>270775</v>
      </c>
      <c r="F1631" s="26">
        <v>33897</v>
      </c>
      <c r="G1631" s="27">
        <v>12.518511999999999</v>
      </c>
    </row>
    <row r="1632" spans="1:7" hidden="1" x14ac:dyDescent="0.25">
      <c r="A1632" s="24" t="s">
        <v>421</v>
      </c>
      <c r="B1632" s="24" t="s">
        <v>101</v>
      </c>
      <c r="C1632" s="24" t="s">
        <v>392</v>
      </c>
      <c r="D1632" s="25">
        <v>1221</v>
      </c>
      <c r="E1632" s="25">
        <v>9117</v>
      </c>
      <c r="F1632" s="26">
        <v>1145.7</v>
      </c>
      <c r="G1632" s="27">
        <v>12.566634000000001</v>
      </c>
    </row>
    <row r="1633" spans="1:7" hidden="1" x14ac:dyDescent="0.25">
      <c r="A1633" s="24" t="s">
        <v>1683</v>
      </c>
      <c r="B1633" s="24" t="s">
        <v>101</v>
      </c>
      <c r="C1633" s="24" t="s">
        <v>278</v>
      </c>
      <c r="D1633" s="25">
        <v>6321</v>
      </c>
      <c r="E1633" s="25">
        <v>104929</v>
      </c>
      <c r="F1633" s="26">
        <v>11681</v>
      </c>
      <c r="G1633" s="27">
        <v>11.132289</v>
      </c>
    </row>
    <row r="1634" spans="1:7" hidden="1" x14ac:dyDescent="0.25">
      <c r="A1634" s="24" t="s">
        <v>1684</v>
      </c>
      <c r="B1634" s="24" t="s">
        <v>101</v>
      </c>
      <c r="C1634" s="24" t="s">
        <v>278</v>
      </c>
      <c r="D1634" s="25">
        <v>512861</v>
      </c>
      <c r="E1634" s="25">
        <v>6716952</v>
      </c>
      <c r="F1634" s="26">
        <v>713123.8</v>
      </c>
      <c r="G1634" s="27">
        <v>10.616777000000001</v>
      </c>
    </row>
    <row r="1635" spans="1:7" hidden="1" x14ac:dyDescent="0.25">
      <c r="A1635" s="24" t="s">
        <v>1685</v>
      </c>
      <c r="B1635" s="24" t="s">
        <v>104</v>
      </c>
      <c r="C1635" s="24" t="s">
        <v>278</v>
      </c>
      <c r="D1635" s="25">
        <v>1912</v>
      </c>
      <c r="E1635" s="25">
        <v>11885</v>
      </c>
      <c r="F1635" s="26">
        <v>4784.2</v>
      </c>
      <c r="G1635" s="27">
        <v>40.254102000000003</v>
      </c>
    </row>
    <row r="1636" spans="1:7" hidden="1" x14ac:dyDescent="0.25">
      <c r="A1636" s="24" t="s">
        <v>1686</v>
      </c>
      <c r="B1636" s="24" t="s">
        <v>104</v>
      </c>
      <c r="C1636" s="24" t="s">
        <v>283</v>
      </c>
      <c r="D1636" s="25">
        <v>4736</v>
      </c>
      <c r="E1636" s="25">
        <v>53888</v>
      </c>
      <c r="F1636" s="26">
        <v>8230.6</v>
      </c>
      <c r="G1636" s="27">
        <v>15.273529999999999</v>
      </c>
    </row>
    <row r="1637" spans="1:7" hidden="1" x14ac:dyDescent="0.25">
      <c r="A1637" s="24" t="s">
        <v>408</v>
      </c>
      <c r="B1637" s="24" t="s">
        <v>104</v>
      </c>
      <c r="C1637" s="24" t="s">
        <v>392</v>
      </c>
      <c r="D1637" s="25">
        <v>224</v>
      </c>
      <c r="E1637" s="25">
        <v>2269</v>
      </c>
      <c r="F1637" s="26">
        <v>240.4</v>
      </c>
      <c r="G1637" s="27">
        <v>10.594976000000001</v>
      </c>
    </row>
    <row r="1638" spans="1:7" hidden="1" x14ac:dyDescent="0.25">
      <c r="A1638" s="24" t="s">
        <v>415</v>
      </c>
      <c r="B1638" s="24" t="s">
        <v>104</v>
      </c>
      <c r="C1638" s="24" t="s">
        <v>392</v>
      </c>
      <c r="D1638" s="25">
        <v>8</v>
      </c>
      <c r="E1638" s="25">
        <v>2</v>
      </c>
      <c r="F1638" s="26">
        <v>1.3</v>
      </c>
      <c r="G1638" s="27">
        <v>65</v>
      </c>
    </row>
    <row r="1639" spans="1:7" hidden="1" x14ac:dyDescent="0.25">
      <c r="A1639" s="24" t="s">
        <v>1687</v>
      </c>
      <c r="B1639" s="24" t="s">
        <v>104</v>
      </c>
      <c r="C1639" s="24" t="s">
        <v>278</v>
      </c>
      <c r="D1639" s="25">
        <v>422163</v>
      </c>
      <c r="E1639" s="25">
        <v>3868162</v>
      </c>
      <c r="F1639" s="26">
        <v>670549.5</v>
      </c>
      <c r="G1639" s="27">
        <v>17.335094000000002</v>
      </c>
    </row>
    <row r="1640" spans="1:7" hidden="1" x14ac:dyDescent="0.25">
      <c r="A1640" s="24" t="s">
        <v>1688</v>
      </c>
      <c r="B1640" s="24" t="s">
        <v>106</v>
      </c>
      <c r="C1640" s="24" t="s">
        <v>281</v>
      </c>
      <c r="D1640" s="25">
        <v>47288</v>
      </c>
      <c r="E1640" s="25">
        <v>897388</v>
      </c>
      <c r="F1640" s="26">
        <v>110523</v>
      </c>
      <c r="G1640" s="27">
        <v>12.316077</v>
      </c>
    </row>
    <row r="1641" spans="1:7" hidden="1" x14ac:dyDescent="0.25">
      <c r="A1641" s="24" t="s">
        <v>1689</v>
      </c>
      <c r="B1641" s="24" t="s">
        <v>106</v>
      </c>
      <c r="C1641" s="24" t="s">
        <v>281</v>
      </c>
      <c r="D1641" s="25">
        <v>96457</v>
      </c>
      <c r="E1641" s="25">
        <v>2584555</v>
      </c>
      <c r="F1641" s="26">
        <v>277408</v>
      </c>
      <c r="G1641" s="27">
        <v>10.733298</v>
      </c>
    </row>
    <row r="1642" spans="1:7" hidden="1" x14ac:dyDescent="0.25">
      <c r="A1642" s="24" t="s">
        <v>1690</v>
      </c>
      <c r="B1642" s="24" t="s">
        <v>106</v>
      </c>
      <c r="C1642" s="24" t="s">
        <v>281</v>
      </c>
      <c r="D1642" s="25">
        <v>32136</v>
      </c>
      <c r="E1642" s="25">
        <v>669774</v>
      </c>
      <c r="F1642" s="26">
        <v>75374.100000000006</v>
      </c>
      <c r="G1642" s="27">
        <v>11.253662</v>
      </c>
    </row>
    <row r="1643" spans="1:7" hidden="1" x14ac:dyDescent="0.25">
      <c r="A1643" s="24" t="s">
        <v>1691</v>
      </c>
      <c r="B1643" s="24" t="s">
        <v>106</v>
      </c>
      <c r="C1643" s="24" t="s">
        <v>281</v>
      </c>
      <c r="D1643" s="25">
        <v>68075</v>
      </c>
      <c r="E1643" s="25">
        <v>1016349</v>
      </c>
      <c r="F1643" s="26">
        <v>145809.70000000001</v>
      </c>
      <c r="G1643" s="27">
        <v>14.34642</v>
      </c>
    </row>
    <row r="1644" spans="1:7" hidden="1" x14ac:dyDescent="0.25">
      <c r="A1644" s="24" t="s">
        <v>1315</v>
      </c>
      <c r="B1644" s="24" t="s">
        <v>106</v>
      </c>
      <c r="C1644" s="24" t="s">
        <v>281</v>
      </c>
      <c r="D1644" s="25">
        <v>20962</v>
      </c>
      <c r="E1644" s="25">
        <v>357406</v>
      </c>
      <c r="F1644" s="26">
        <v>46810.9</v>
      </c>
      <c r="G1644" s="27">
        <v>13.097402000000001</v>
      </c>
    </row>
    <row r="1645" spans="1:7" hidden="1" x14ac:dyDescent="0.25">
      <c r="A1645" s="24" t="s">
        <v>1692</v>
      </c>
      <c r="B1645" s="24" t="s">
        <v>106</v>
      </c>
      <c r="C1645" s="24" t="s">
        <v>283</v>
      </c>
      <c r="D1645" s="25">
        <v>4549</v>
      </c>
      <c r="E1645" s="25">
        <v>78248</v>
      </c>
      <c r="F1645" s="26">
        <v>8920</v>
      </c>
      <c r="G1645" s="27">
        <v>11.399652</v>
      </c>
    </row>
    <row r="1646" spans="1:7" hidden="1" x14ac:dyDescent="0.25">
      <c r="A1646" s="24" t="s">
        <v>1693</v>
      </c>
      <c r="B1646" s="24" t="s">
        <v>106</v>
      </c>
      <c r="C1646" s="24" t="s">
        <v>283</v>
      </c>
      <c r="D1646" s="25">
        <v>10892</v>
      </c>
      <c r="E1646" s="25">
        <v>170118</v>
      </c>
      <c r="F1646" s="26">
        <v>21690</v>
      </c>
      <c r="G1646" s="27">
        <v>12.749974</v>
      </c>
    </row>
    <row r="1647" spans="1:7" hidden="1" x14ac:dyDescent="0.25">
      <c r="A1647" s="24" t="s">
        <v>1694</v>
      </c>
      <c r="B1647" s="24" t="s">
        <v>106</v>
      </c>
      <c r="C1647" s="24" t="s">
        <v>283</v>
      </c>
      <c r="D1647" s="25">
        <v>7430</v>
      </c>
      <c r="E1647" s="25">
        <v>218469</v>
      </c>
      <c r="F1647" s="26">
        <v>23343</v>
      </c>
      <c r="G1647" s="27">
        <v>10.684811</v>
      </c>
    </row>
    <row r="1648" spans="1:7" hidden="1" x14ac:dyDescent="0.25">
      <c r="A1648" s="24" t="s">
        <v>1695</v>
      </c>
      <c r="B1648" s="24" t="s">
        <v>106</v>
      </c>
      <c r="C1648" s="24" t="s">
        <v>283</v>
      </c>
      <c r="D1648" s="25">
        <v>5027</v>
      </c>
      <c r="E1648" s="25">
        <v>125742</v>
      </c>
      <c r="F1648" s="26">
        <v>10754</v>
      </c>
      <c r="G1648" s="27">
        <v>8.5524328000000001</v>
      </c>
    </row>
    <row r="1649" spans="1:7" hidden="1" x14ac:dyDescent="0.25">
      <c r="A1649" s="24" t="s">
        <v>1696</v>
      </c>
      <c r="B1649" s="24" t="s">
        <v>106</v>
      </c>
      <c r="C1649" s="24" t="s">
        <v>283</v>
      </c>
      <c r="D1649" s="25">
        <v>5363</v>
      </c>
      <c r="E1649" s="25">
        <v>105909</v>
      </c>
      <c r="F1649" s="26">
        <v>13368</v>
      </c>
      <c r="G1649" s="27">
        <v>12.622157</v>
      </c>
    </row>
    <row r="1650" spans="1:7" hidden="1" x14ac:dyDescent="0.25">
      <c r="A1650" s="24" t="s">
        <v>1697</v>
      </c>
      <c r="B1650" s="24" t="s">
        <v>106</v>
      </c>
      <c r="C1650" s="24" t="s">
        <v>283</v>
      </c>
      <c r="D1650" s="25">
        <v>4965</v>
      </c>
      <c r="E1650" s="25">
        <v>207330</v>
      </c>
      <c r="F1650" s="26">
        <v>25973.200000000001</v>
      </c>
      <c r="G1650" s="27">
        <v>12.527468000000001</v>
      </c>
    </row>
    <row r="1651" spans="1:7" hidden="1" x14ac:dyDescent="0.25">
      <c r="A1651" s="24" t="s">
        <v>1698</v>
      </c>
      <c r="B1651" s="24" t="s">
        <v>106</v>
      </c>
      <c r="C1651" s="24" t="s">
        <v>283</v>
      </c>
      <c r="D1651" s="25">
        <v>24165</v>
      </c>
      <c r="E1651" s="25">
        <v>812628</v>
      </c>
      <c r="F1651" s="26">
        <v>67526</v>
      </c>
      <c r="G1651" s="27">
        <v>8.3095832000000005</v>
      </c>
    </row>
    <row r="1652" spans="1:7" hidden="1" x14ac:dyDescent="0.25">
      <c r="A1652" s="24" t="s">
        <v>1699</v>
      </c>
      <c r="B1652" s="24" t="s">
        <v>106</v>
      </c>
      <c r="C1652" s="24" t="s">
        <v>283</v>
      </c>
      <c r="D1652" s="25">
        <v>36369</v>
      </c>
      <c r="E1652" s="25">
        <v>856352</v>
      </c>
      <c r="F1652" s="26">
        <v>106633</v>
      </c>
      <c r="G1652" s="27">
        <v>12.452006000000001</v>
      </c>
    </row>
    <row r="1653" spans="1:7" hidden="1" x14ac:dyDescent="0.25">
      <c r="A1653" s="24" t="s">
        <v>1700</v>
      </c>
      <c r="B1653" s="24" t="s">
        <v>106</v>
      </c>
      <c r="C1653" s="24" t="s">
        <v>283</v>
      </c>
      <c r="D1653" s="25">
        <v>8296</v>
      </c>
      <c r="E1653" s="25">
        <v>135925</v>
      </c>
      <c r="F1653" s="26">
        <v>16141.5</v>
      </c>
      <c r="G1653" s="27">
        <v>11.875299</v>
      </c>
    </row>
    <row r="1654" spans="1:7" hidden="1" x14ac:dyDescent="0.25">
      <c r="A1654" s="24" t="s">
        <v>1701</v>
      </c>
      <c r="B1654" s="24" t="s">
        <v>106</v>
      </c>
      <c r="C1654" s="24" t="s">
        <v>283</v>
      </c>
      <c r="D1654" s="25">
        <v>6856</v>
      </c>
      <c r="E1654" s="25">
        <v>129549</v>
      </c>
      <c r="F1654" s="26">
        <v>17645.5</v>
      </c>
      <c r="G1654" s="27">
        <v>13.620715000000001</v>
      </c>
    </row>
    <row r="1655" spans="1:7" hidden="1" x14ac:dyDescent="0.25">
      <c r="A1655" s="24" t="s">
        <v>1702</v>
      </c>
      <c r="B1655" s="24" t="s">
        <v>106</v>
      </c>
      <c r="C1655" s="24" t="s">
        <v>283</v>
      </c>
      <c r="D1655" s="25">
        <v>4021</v>
      </c>
      <c r="E1655" s="25">
        <v>101926</v>
      </c>
      <c r="F1655" s="26">
        <v>14879</v>
      </c>
      <c r="G1655" s="27">
        <v>14.597845</v>
      </c>
    </row>
    <row r="1656" spans="1:7" hidden="1" x14ac:dyDescent="0.25">
      <c r="A1656" s="24" t="s">
        <v>1703</v>
      </c>
      <c r="B1656" s="24" t="s">
        <v>106</v>
      </c>
      <c r="C1656" s="24" t="s">
        <v>281</v>
      </c>
      <c r="D1656" s="25">
        <v>11694</v>
      </c>
      <c r="E1656" s="25">
        <v>173670</v>
      </c>
      <c r="F1656" s="26">
        <v>27214.3</v>
      </c>
      <c r="G1656" s="27">
        <v>15.670121</v>
      </c>
    </row>
    <row r="1657" spans="1:7" hidden="1" x14ac:dyDescent="0.25">
      <c r="A1657" s="24" t="s">
        <v>1338</v>
      </c>
      <c r="B1657" s="24" t="s">
        <v>106</v>
      </c>
      <c r="C1657" s="24" t="s">
        <v>278</v>
      </c>
      <c r="D1657" s="25">
        <v>582135</v>
      </c>
      <c r="E1657" s="25">
        <v>21141737</v>
      </c>
      <c r="F1657" s="26">
        <v>1613897.2</v>
      </c>
      <c r="G1657" s="27">
        <v>7.6337020000000004</v>
      </c>
    </row>
    <row r="1658" spans="1:7" hidden="1" x14ac:dyDescent="0.25">
      <c r="A1658" s="24" t="s">
        <v>1339</v>
      </c>
      <c r="B1658" s="24" t="s">
        <v>106</v>
      </c>
      <c r="C1658" s="24" t="s">
        <v>278</v>
      </c>
      <c r="D1658" s="25">
        <v>168685</v>
      </c>
      <c r="E1658" s="25">
        <v>6246843</v>
      </c>
      <c r="F1658" s="26">
        <v>537905.6</v>
      </c>
      <c r="G1658" s="27">
        <v>8.6108390999999997</v>
      </c>
    </row>
    <row r="1659" spans="1:7" hidden="1" x14ac:dyDescent="0.25">
      <c r="A1659" s="24" t="s">
        <v>1704</v>
      </c>
      <c r="B1659" s="24" t="s">
        <v>106</v>
      </c>
      <c r="C1659" s="24" t="s">
        <v>283</v>
      </c>
      <c r="D1659" s="25">
        <v>14530</v>
      </c>
      <c r="E1659" s="25">
        <v>286355</v>
      </c>
      <c r="F1659" s="26">
        <v>35092</v>
      </c>
      <c r="G1659" s="27">
        <v>12.254719</v>
      </c>
    </row>
    <row r="1660" spans="1:7" hidden="1" x14ac:dyDescent="0.25">
      <c r="A1660" s="24" t="s">
        <v>1705</v>
      </c>
      <c r="B1660" s="24" t="s">
        <v>106</v>
      </c>
      <c r="C1660" s="24" t="s">
        <v>281</v>
      </c>
      <c r="D1660" s="25">
        <v>20204</v>
      </c>
      <c r="E1660" s="25">
        <v>307452</v>
      </c>
      <c r="F1660" s="26">
        <v>44826.5</v>
      </c>
      <c r="G1660" s="27">
        <v>14.579999000000001</v>
      </c>
    </row>
    <row r="1661" spans="1:7" hidden="1" x14ac:dyDescent="0.25">
      <c r="A1661" s="24" t="s">
        <v>1706</v>
      </c>
      <c r="B1661" s="24" t="s">
        <v>106</v>
      </c>
      <c r="C1661" s="24" t="s">
        <v>281</v>
      </c>
      <c r="D1661" s="25">
        <v>28790</v>
      </c>
      <c r="E1661" s="25">
        <v>643265</v>
      </c>
      <c r="F1661" s="26">
        <v>74527</v>
      </c>
      <c r="G1661" s="27">
        <v>11.585737999999999</v>
      </c>
    </row>
    <row r="1662" spans="1:7" hidden="1" x14ac:dyDescent="0.25">
      <c r="A1662" s="24" t="s">
        <v>1707</v>
      </c>
      <c r="B1662" s="24" t="s">
        <v>106</v>
      </c>
      <c r="C1662" s="24" t="s">
        <v>283</v>
      </c>
      <c r="D1662" s="25">
        <v>13972</v>
      </c>
      <c r="E1662" s="25">
        <v>300633</v>
      </c>
      <c r="F1662" s="26">
        <v>24278</v>
      </c>
      <c r="G1662" s="27">
        <v>8.0756271000000002</v>
      </c>
    </row>
    <row r="1663" spans="1:7" hidden="1" x14ac:dyDescent="0.25">
      <c r="A1663" s="24" t="s">
        <v>1708</v>
      </c>
      <c r="B1663" s="24" t="s">
        <v>106</v>
      </c>
      <c r="C1663" s="24" t="s">
        <v>283</v>
      </c>
      <c r="D1663" s="25">
        <v>25073</v>
      </c>
      <c r="E1663" s="25">
        <v>352371</v>
      </c>
      <c r="F1663" s="26">
        <v>41945</v>
      </c>
      <c r="G1663" s="27">
        <v>11.903646999999999</v>
      </c>
    </row>
    <row r="1664" spans="1:7" hidden="1" x14ac:dyDescent="0.25">
      <c r="A1664" s="24" t="s">
        <v>622</v>
      </c>
      <c r="B1664" s="24" t="s">
        <v>106</v>
      </c>
      <c r="C1664" s="24" t="s">
        <v>281</v>
      </c>
      <c r="D1664" s="25">
        <v>14</v>
      </c>
      <c r="E1664" s="25">
        <v>79</v>
      </c>
      <c r="F1664" s="26">
        <v>13</v>
      </c>
      <c r="G1664" s="27">
        <v>16.455696</v>
      </c>
    </row>
    <row r="1665" spans="1:7" hidden="1" x14ac:dyDescent="0.25">
      <c r="A1665" s="24" t="s">
        <v>1709</v>
      </c>
      <c r="B1665" s="24" t="s">
        <v>106</v>
      </c>
      <c r="C1665" s="24" t="s">
        <v>281</v>
      </c>
      <c r="D1665" s="25">
        <v>78127</v>
      </c>
      <c r="E1665" s="25">
        <v>1134902</v>
      </c>
      <c r="F1665" s="26">
        <v>158367</v>
      </c>
      <c r="G1665" s="27">
        <v>13.954245</v>
      </c>
    </row>
    <row r="1666" spans="1:7" hidden="1" x14ac:dyDescent="0.25">
      <c r="A1666" s="24" t="s">
        <v>1710</v>
      </c>
      <c r="B1666" s="24" t="s">
        <v>106</v>
      </c>
      <c r="C1666" s="24" t="s">
        <v>281</v>
      </c>
      <c r="D1666" s="25">
        <v>57354</v>
      </c>
      <c r="E1666" s="25">
        <v>1023921</v>
      </c>
      <c r="F1666" s="26">
        <v>125944</v>
      </c>
      <c r="G1666" s="27">
        <v>12.300167999999999</v>
      </c>
    </row>
    <row r="1667" spans="1:7" hidden="1" x14ac:dyDescent="0.25">
      <c r="A1667" s="24" t="s">
        <v>1711</v>
      </c>
      <c r="B1667" s="24" t="s">
        <v>106</v>
      </c>
      <c r="C1667" s="24" t="s">
        <v>281</v>
      </c>
      <c r="D1667" s="25">
        <v>14219</v>
      </c>
      <c r="E1667" s="25">
        <v>179682</v>
      </c>
      <c r="F1667" s="26">
        <v>26262.9</v>
      </c>
      <c r="G1667" s="27">
        <v>14.616322</v>
      </c>
    </row>
    <row r="1668" spans="1:7" hidden="1" x14ac:dyDescent="0.25">
      <c r="A1668" s="24" t="s">
        <v>1712</v>
      </c>
      <c r="B1668" s="24" t="s">
        <v>106</v>
      </c>
      <c r="C1668" s="24" t="s">
        <v>278</v>
      </c>
      <c r="D1668" s="25">
        <v>6183</v>
      </c>
      <c r="E1668" s="25">
        <v>193491</v>
      </c>
      <c r="F1668" s="26">
        <v>18149</v>
      </c>
      <c r="G1668" s="27">
        <v>9.3797643999999991</v>
      </c>
    </row>
    <row r="1669" spans="1:7" hidden="1" x14ac:dyDescent="0.25">
      <c r="A1669" s="24" t="s">
        <v>1713</v>
      </c>
      <c r="B1669" s="24" t="s">
        <v>106</v>
      </c>
      <c r="C1669" s="24" t="s">
        <v>281</v>
      </c>
      <c r="D1669" s="25">
        <v>20916</v>
      </c>
      <c r="E1669" s="25">
        <v>400651</v>
      </c>
      <c r="F1669" s="26">
        <v>50190</v>
      </c>
      <c r="G1669" s="27">
        <v>12.527112000000001</v>
      </c>
    </row>
    <row r="1670" spans="1:7" hidden="1" x14ac:dyDescent="0.25">
      <c r="A1670" s="24" t="s">
        <v>1714</v>
      </c>
      <c r="B1670" s="24" t="s">
        <v>106</v>
      </c>
      <c r="C1670" s="24" t="s">
        <v>281</v>
      </c>
      <c r="D1670" s="25">
        <v>6487</v>
      </c>
      <c r="E1670" s="25">
        <v>937537</v>
      </c>
      <c r="F1670" s="26">
        <v>71316</v>
      </c>
      <c r="G1670" s="27">
        <v>7.6067397999999997</v>
      </c>
    </row>
    <row r="1671" spans="1:7" hidden="1" x14ac:dyDescent="0.25">
      <c r="A1671" s="24" t="s">
        <v>1715</v>
      </c>
      <c r="B1671" s="24" t="s">
        <v>106</v>
      </c>
      <c r="C1671" s="24" t="s">
        <v>281</v>
      </c>
      <c r="D1671" s="25">
        <v>55427</v>
      </c>
      <c r="E1671" s="25">
        <v>982226</v>
      </c>
      <c r="F1671" s="26">
        <v>122936.8</v>
      </c>
      <c r="G1671" s="27">
        <v>12.516142</v>
      </c>
    </row>
    <row r="1672" spans="1:7" hidden="1" x14ac:dyDescent="0.25">
      <c r="A1672" s="24" t="s">
        <v>1716</v>
      </c>
      <c r="B1672" s="24" t="s">
        <v>106</v>
      </c>
      <c r="C1672" s="24" t="s">
        <v>281</v>
      </c>
      <c r="D1672" s="25">
        <v>12916</v>
      </c>
      <c r="E1672" s="25">
        <v>298388</v>
      </c>
      <c r="F1672" s="26">
        <v>34195</v>
      </c>
      <c r="G1672" s="27">
        <v>11.459911</v>
      </c>
    </row>
    <row r="1673" spans="1:7" hidden="1" x14ac:dyDescent="0.25">
      <c r="A1673" s="24" t="s">
        <v>1717</v>
      </c>
      <c r="B1673" s="24" t="s">
        <v>106</v>
      </c>
      <c r="C1673" s="24" t="s">
        <v>281</v>
      </c>
      <c r="D1673" s="25">
        <v>71545</v>
      </c>
      <c r="E1673" s="25">
        <v>1451039</v>
      </c>
      <c r="F1673" s="26">
        <v>167577</v>
      </c>
      <c r="G1673" s="27">
        <v>11.548759</v>
      </c>
    </row>
    <row r="1674" spans="1:7" hidden="1" x14ac:dyDescent="0.25">
      <c r="A1674" s="24" t="s">
        <v>1718</v>
      </c>
      <c r="B1674" s="24" t="s">
        <v>106</v>
      </c>
      <c r="C1674" s="24" t="s">
        <v>281</v>
      </c>
      <c r="D1674" s="25">
        <v>30420</v>
      </c>
      <c r="E1674" s="25">
        <v>646197</v>
      </c>
      <c r="F1674" s="26">
        <v>78101</v>
      </c>
      <c r="G1674" s="27">
        <v>12.086252</v>
      </c>
    </row>
    <row r="1675" spans="1:7" hidden="1" x14ac:dyDescent="0.25">
      <c r="A1675" s="24" t="s">
        <v>1719</v>
      </c>
      <c r="B1675" s="24" t="s">
        <v>106</v>
      </c>
      <c r="C1675" s="24" t="s">
        <v>281</v>
      </c>
      <c r="D1675" s="25">
        <v>43572</v>
      </c>
      <c r="E1675" s="25">
        <v>1260768</v>
      </c>
      <c r="F1675" s="26">
        <v>135110.20000000001</v>
      </c>
      <c r="G1675" s="27">
        <v>10.7165</v>
      </c>
    </row>
    <row r="1676" spans="1:7" hidden="1" x14ac:dyDescent="0.25">
      <c r="A1676" s="24" t="s">
        <v>1720</v>
      </c>
      <c r="B1676" s="24" t="s">
        <v>106</v>
      </c>
      <c r="C1676" s="24" t="s">
        <v>278</v>
      </c>
      <c r="D1676" s="25">
        <v>715592</v>
      </c>
      <c r="E1676" s="25">
        <v>21963071</v>
      </c>
      <c r="F1676" s="26">
        <v>2578102</v>
      </c>
      <c r="G1676" s="27">
        <v>11.738348999999999</v>
      </c>
    </row>
    <row r="1677" spans="1:7" hidden="1" x14ac:dyDescent="0.25">
      <c r="A1677" s="24" t="s">
        <v>1721</v>
      </c>
      <c r="B1677" s="24" t="s">
        <v>106</v>
      </c>
      <c r="C1677" s="24" t="s">
        <v>174</v>
      </c>
      <c r="D1677" s="25">
        <v>180687</v>
      </c>
      <c r="E1677" s="25">
        <v>8187528</v>
      </c>
      <c r="F1677" s="26">
        <v>643350</v>
      </c>
      <c r="G1677" s="27">
        <v>7.8576831</v>
      </c>
    </row>
    <row r="1678" spans="1:7" hidden="1" x14ac:dyDescent="0.25">
      <c r="A1678" s="24" t="s">
        <v>415</v>
      </c>
      <c r="B1678" s="24" t="s">
        <v>106</v>
      </c>
      <c r="C1678" s="24" t="s">
        <v>392</v>
      </c>
      <c r="D1678" s="25">
        <v>2996</v>
      </c>
      <c r="E1678" s="25">
        <v>32649</v>
      </c>
      <c r="F1678" s="26">
        <v>4561.3</v>
      </c>
      <c r="G1678" s="27">
        <v>13.970719000000001</v>
      </c>
    </row>
    <row r="1679" spans="1:7" hidden="1" x14ac:dyDescent="0.25">
      <c r="A1679" s="24" t="s">
        <v>505</v>
      </c>
      <c r="B1679" s="24" t="s">
        <v>106</v>
      </c>
      <c r="C1679" s="24" t="s">
        <v>281</v>
      </c>
      <c r="D1679" s="25">
        <v>17967</v>
      </c>
      <c r="E1679" s="25">
        <v>291440</v>
      </c>
      <c r="F1679" s="26">
        <v>42732</v>
      </c>
      <c r="G1679" s="27">
        <v>14.662366</v>
      </c>
    </row>
    <row r="1680" spans="1:7" hidden="1" x14ac:dyDescent="0.25">
      <c r="A1680" s="24" t="s">
        <v>421</v>
      </c>
      <c r="B1680" s="24" t="s">
        <v>106</v>
      </c>
      <c r="C1680" s="24" t="s">
        <v>392</v>
      </c>
      <c r="D1680" s="25">
        <v>867</v>
      </c>
      <c r="E1680" s="25">
        <v>8433</v>
      </c>
      <c r="F1680" s="26">
        <v>1035.7</v>
      </c>
      <c r="G1680" s="27">
        <v>12.281513</v>
      </c>
    </row>
    <row r="1681" spans="1:7" hidden="1" x14ac:dyDescent="0.25">
      <c r="A1681" s="24" t="s">
        <v>1375</v>
      </c>
      <c r="B1681" s="24" t="s">
        <v>106</v>
      </c>
      <c r="C1681" s="24" t="s">
        <v>281</v>
      </c>
      <c r="D1681" s="25">
        <v>57449</v>
      </c>
      <c r="E1681" s="25">
        <v>959196</v>
      </c>
      <c r="F1681" s="26">
        <v>112069</v>
      </c>
      <c r="G1681" s="27">
        <v>11.683638999999999</v>
      </c>
    </row>
    <row r="1682" spans="1:7" hidden="1" x14ac:dyDescent="0.25">
      <c r="A1682" s="24" t="s">
        <v>1722</v>
      </c>
      <c r="B1682" s="24" t="s">
        <v>109</v>
      </c>
      <c r="C1682" s="24" t="s">
        <v>281</v>
      </c>
      <c r="D1682" s="25">
        <v>9890</v>
      </c>
      <c r="E1682" s="25">
        <v>141883</v>
      </c>
      <c r="F1682" s="26">
        <v>20197.5</v>
      </c>
      <c r="G1682" s="27">
        <v>14.235321000000001</v>
      </c>
    </row>
    <row r="1683" spans="1:7" hidden="1" x14ac:dyDescent="0.25">
      <c r="A1683" s="24" t="s">
        <v>1291</v>
      </c>
      <c r="B1683" s="24" t="s">
        <v>109</v>
      </c>
      <c r="C1683" s="24" t="s">
        <v>278</v>
      </c>
      <c r="D1683" s="25">
        <v>69492</v>
      </c>
      <c r="E1683" s="25">
        <v>1479840</v>
      </c>
      <c r="F1683" s="26">
        <v>182616.3</v>
      </c>
      <c r="G1683" s="27">
        <v>12.340273</v>
      </c>
    </row>
    <row r="1684" spans="1:7" hidden="1" x14ac:dyDescent="0.25">
      <c r="A1684" s="24" t="s">
        <v>1723</v>
      </c>
      <c r="B1684" s="24" t="s">
        <v>109</v>
      </c>
      <c r="C1684" s="24" t="s">
        <v>281</v>
      </c>
      <c r="D1684" s="25">
        <v>3758</v>
      </c>
      <c r="E1684" s="25">
        <v>87618</v>
      </c>
      <c r="F1684" s="26">
        <v>9711.9</v>
      </c>
      <c r="G1684" s="27">
        <v>11.084365999999999</v>
      </c>
    </row>
    <row r="1685" spans="1:7" hidden="1" x14ac:dyDescent="0.25">
      <c r="A1685" s="24" t="s">
        <v>1724</v>
      </c>
      <c r="B1685" s="24" t="s">
        <v>109</v>
      </c>
      <c r="C1685" s="24" t="s">
        <v>281</v>
      </c>
      <c r="D1685" s="25">
        <v>5983</v>
      </c>
      <c r="E1685" s="25">
        <v>99981</v>
      </c>
      <c r="F1685" s="26">
        <v>14141.9</v>
      </c>
      <c r="G1685" s="27">
        <v>14.144587</v>
      </c>
    </row>
    <row r="1686" spans="1:7" hidden="1" x14ac:dyDescent="0.25">
      <c r="A1686" s="24" t="s">
        <v>1725</v>
      </c>
      <c r="B1686" s="24" t="s">
        <v>109</v>
      </c>
      <c r="C1686" s="24" t="s">
        <v>281</v>
      </c>
      <c r="D1686" s="25">
        <v>2458</v>
      </c>
      <c r="E1686" s="25">
        <v>60032</v>
      </c>
      <c r="F1686" s="26">
        <v>7272.2</v>
      </c>
      <c r="G1686" s="27">
        <v>12.113873</v>
      </c>
    </row>
    <row r="1687" spans="1:7" hidden="1" x14ac:dyDescent="0.25">
      <c r="A1687" s="24" t="s">
        <v>1726</v>
      </c>
      <c r="B1687" s="24" t="s">
        <v>109</v>
      </c>
      <c r="C1687" s="24" t="s">
        <v>281</v>
      </c>
      <c r="D1687" s="25">
        <v>7204</v>
      </c>
      <c r="E1687" s="25">
        <v>345290</v>
      </c>
      <c r="F1687" s="26">
        <v>33922.9</v>
      </c>
      <c r="G1687" s="27">
        <v>9.8244664000000004</v>
      </c>
    </row>
    <row r="1688" spans="1:7" hidden="1" x14ac:dyDescent="0.25">
      <c r="A1688" s="24" t="s">
        <v>1727</v>
      </c>
      <c r="B1688" s="24" t="s">
        <v>109</v>
      </c>
      <c r="C1688" s="24" t="s">
        <v>281</v>
      </c>
      <c r="D1688" s="25">
        <v>2575</v>
      </c>
      <c r="E1688" s="25">
        <v>65340</v>
      </c>
      <c r="F1688" s="26">
        <v>7913</v>
      </c>
      <c r="G1688" s="27">
        <v>12.110499000000001</v>
      </c>
    </row>
    <row r="1689" spans="1:7" hidden="1" x14ac:dyDescent="0.25">
      <c r="A1689" s="24" t="s">
        <v>1397</v>
      </c>
      <c r="B1689" s="24" t="s">
        <v>109</v>
      </c>
      <c r="C1689" s="24" t="s">
        <v>281</v>
      </c>
      <c r="D1689" s="25">
        <v>4855</v>
      </c>
      <c r="E1689" s="25">
        <v>108803</v>
      </c>
      <c r="F1689" s="26">
        <v>10744.4</v>
      </c>
      <c r="G1689" s="27">
        <v>9.8750953999999993</v>
      </c>
    </row>
    <row r="1690" spans="1:7" hidden="1" x14ac:dyDescent="0.25">
      <c r="A1690" s="24" t="s">
        <v>1728</v>
      </c>
      <c r="B1690" s="24" t="s">
        <v>109</v>
      </c>
      <c r="C1690" s="24" t="s">
        <v>283</v>
      </c>
      <c r="D1690" s="25">
        <v>1176</v>
      </c>
      <c r="E1690" s="25">
        <v>28839</v>
      </c>
      <c r="F1690" s="26">
        <v>3440</v>
      </c>
      <c r="G1690" s="27">
        <v>11.928292000000001</v>
      </c>
    </row>
    <row r="1691" spans="1:7" hidden="1" x14ac:dyDescent="0.25">
      <c r="A1691" s="24" t="s">
        <v>1729</v>
      </c>
      <c r="B1691" s="24" t="s">
        <v>109</v>
      </c>
      <c r="C1691" s="24" t="s">
        <v>283</v>
      </c>
      <c r="D1691" s="25">
        <v>10965</v>
      </c>
      <c r="E1691" s="25">
        <v>316571</v>
      </c>
      <c r="F1691" s="26">
        <v>27752</v>
      </c>
      <c r="G1691" s="27">
        <v>8.7664378999999997</v>
      </c>
    </row>
    <row r="1692" spans="1:7" hidden="1" x14ac:dyDescent="0.25">
      <c r="A1692" s="24" t="s">
        <v>1730</v>
      </c>
      <c r="B1692" s="24" t="s">
        <v>109</v>
      </c>
      <c r="C1692" s="24" t="s">
        <v>283</v>
      </c>
      <c r="D1692" s="25">
        <v>1352</v>
      </c>
      <c r="E1692" s="25">
        <v>26443</v>
      </c>
      <c r="F1692" s="26">
        <v>2606.3000000000002</v>
      </c>
      <c r="G1692" s="27">
        <v>9.8562946999999994</v>
      </c>
    </row>
    <row r="1693" spans="1:7" hidden="1" x14ac:dyDescent="0.25">
      <c r="A1693" s="24" t="s">
        <v>1731</v>
      </c>
      <c r="B1693" s="24" t="s">
        <v>109</v>
      </c>
      <c r="C1693" s="24" t="s">
        <v>283</v>
      </c>
      <c r="D1693" s="25">
        <v>1334</v>
      </c>
      <c r="E1693" s="25">
        <v>26653</v>
      </c>
      <c r="F1693" s="26">
        <v>2375</v>
      </c>
      <c r="G1693" s="27">
        <v>8.9108167999999992</v>
      </c>
    </row>
    <row r="1694" spans="1:7" hidden="1" x14ac:dyDescent="0.25">
      <c r="A1694" s="24" t="s">
        <v>1732</v>
      </c>
      <c r="B1694" s="24" t="s">
        <v>109</v>
      </c>
      <c r="C1694" s="24" t="s">
        <v>283</v>
      </c>
      <c r="D1694" s="25">
        <v>3305</v>
      </c>
      <c r="E1694" s="25">
        <v>97231</v>
      </c>
      <c r="F1694" s="26">
        <v>10040</v>
      </c>
      <c r="G1694" s="27">
        <v>10.325925</v>
      </c>
    </row>
    <row r="1695" spans="1:7" hidden="1" x14ac:dyDescent="0.25">
      <c r="A1695" s="24" t="s">
        <v>1733</v>
      </c>
      <c r="B1695" s="24" t="s">
        <v>109</v>
      </c>
      <c r="C1695" s="24" t="s">
        <v>283</v>
      </c>
      <c r="D1695" s="25">
        <v>954</v>
      </c>
      <c r="E1695" s="25">
        <v>21549</v>
      </c>
      <c r="F1695" s="26">
        <v>2064</v>
      </c>
      <c r="G1695" s="27">
        <v>9.5781706999999994</v>
      </c>
    </row>
    <row r="1696" spans="1:7" hidden="1" x14ac:dyDescent="0.25">
      <c r="A1696" s="24" t="s">
        <v>1734</v>
      </c>
      <c r="B1696" s="24" t="s">
        <v>109</v>
      </c>
      <c r="C1696" s="24" t="s">
        <v>283</v>
      </c>
      <c r="D1696" s="25">
        <v>7363</v>
      </c>
      <c r="E1696" s="25">
        <v>173852</v>
      </c>
      <c r="F1696" s="26">
        <v>15335.7</v>
      </c>
      <c r="G1696" s="27">
        <v>8.8211236999999993</v>
      </c>
    </row>
    <row r="1697" spans="1:7" hidden="1" x14ac:dyDescent="0.25">
      <c r="A1697" s="24" t="s">
        <v>1735</v>
      </c>
      <c r="B1697" s="24" t="s">
        <v>109</v>
      </c>
      <c r="C1697" s="24" t="s">
        <v>283</v>
      </c>
      <c r="D1697" s="25">
        <v>2719</v>
      </c>
      <c r="E1697" s="25">
        <v>84529</v>
      </c>
      <c r="F1697" s="26">
        <v>7978</v>
      </c>
      <c r="G1697" s="27">
        <v>9.4381810000000002</v>
      </c>
    </row>
    <row r="1698" spans="1:7" hidden="1" x14ac:dyDescent="0.25">
      <c r="A1698" s="24" t="s">
        <v>1736</v>
      </c>
      <c r="B1698" s="24" t="s">
        <v>109</v>
      </c>
      <c r="C1698" s="24" t="s">
        <v>283</v>
      </c>
      <c r="D1698" s="25">
        <v>4664</v>
      </c>
      <c r="E1698" s="25">
        <v>65189</v>
      </c>
      <c r="F1698" s="26">
        <v>6481</v>
      </c>
      <c r="G1698" s="27">
        <v>9.9418614000000005</v>
      </c>
    </row>
    <row r="1699" spans="1:7" hidden="1" x14ac:dyDescent="0.25">
      <c r="A1699" s="24" t="s">
        <v>1737</v>
      </c>
      <c r="B1699" s="24" t="s">
        <v>109</v>
      </c>
      <c r="C1699" s="24" t="s">
        <v>283</v>
      </c>
      <c r="D1699" s="25">
        <v>1100</v>
      </c>
      <c r="E1699" s="25">
        <v>54091</v>
      </c>
      <c r="F1699" s="26">
        <v>4918</v>
      </c>
      <c r="G1699" s="27">
        <v>9.0920856000000008</v>
      </c>
    </row>
    <row r="1700" spans="1:7" hidden="1" x14ac:dyDescent="0.25">
      <c r="A1700" s="24" t="s">
        <v>1738</v>
      </c>
      <c r="B1700" s="24" t="s">
        <v>109</v>
      </c>
      <c r="C1700" s="24" t="s">
        <v>281</v>
      </c>
      <c r="D1700" s="25">
        <v>3665</v>
      </c>
      <c r="E1700" s="25">
        <v>76099</v>
      </c>
      <c r="F1700" s="26">
        <v>8215</v>
      </c>
      <c r="G1700" s="27">
        <v>10.795147999999999</v>
      </c>
    </row>
    <row r="1701" spans="1:7" hidden="1" x14ac:dyDescent="0.25">
      <c r="A1701" s="24" t="s">
        <v>1739</v>
      </c>
      <c r="B1701" s="24" t="s">
        <v>109</v>
      </c>
      <c r="C1701" s="24" t="s">
        <v>281</v>
      </c>
      <c r="D1701" s="25">
        <v>3281</v>
      </c>
      <c r="E1701" s="25">
        <v>118736</v>
      </c>
      <c r="F1701" s="26">
        <v>11318</v>
      </c>
      <c r="G1701" s="27">
        <v>9.5320710999999996</v>
      </c>
    </row>
    <row r="1702" spans="1:7" hidden="1" x14ac:dyDescent="0.25">
      <c r="A1702" s="24" t="s">
        <v>1740</v>
      </c>
      <c r="B1702" s="24" t="s">
        <v>109</v>
      </c>
      <c r="C1702" s="24" t="s">
        <v>281</v>
      </c>
      <c r="D1702" s="25">
        <v>3554</v>
      </c>
      <c r="E1702" s="25">
        <v>230750</v>
      </c>
      <c r="F1702" s="26">
        <v>23049.1</v>
      </c>
      <c r="G1702" s="27">
        <v>9.9887756999999997</v>
      </c>
    </row>
    <row r="1703" spans="1:7" hidden="1" x14ac:dyDescent="0.25">
      <c r="A1703" s="24" t="s">
        <v>1741</v>
      </c>
      <c r="B1703" s="24" t="s">
        <v>109</v>
      </c>
      <c r="C1703" s="24" t="s">
        <v>281</v>
      </c>
      <c r="D1703" s="25">
        <v>815</v>
      </c>
      <c r="E1703" s="25">
        <v>23192</v>
      </c>
      <c r="F1703" s="26">
        <v>2823</v>
      </c>
      <c r="G1703" s="27">
        <v>12.172300999999999</v>
      </c>
    </row>
    <row r="1704" spans="1:7" hidden="1" x14ac:dyDescent="0.25">
      <c r="A1704" s="24" t="s">
        <v>1742</v>
      </c>
      <c r="B1704" s="24" t="s">
        <v>109</v>
      </c>
      <c r="C1704" s="24" t="s">
        <v>281</v>
      </c>
      <c r="D1704" s="25">
        <v>2114</v>
      </c>
      <c r="E1704" s="25">
        <v>156840</v>
      </c>
      <c r="F1704" s="26">
        <v>14742.1</v>
      </c>
      <c r="G1704" s="27">
        <v>9.3994517000000002</v>
      </c>
    </row>
    <row r="1705" spans="1:7" hidden="1" x14ac:dyDescent="0.25">
      <c r="A1705" s="24" t="s">
        <v>1295</v>
      </c>
      <c r="B1705" s="24" t="s">
        <v>109</v>
      </c>
      <c r="C1705" s="24" t="s">
        <v>281</v>
      </c>
      <c r="D1705" s="25">
        <v>5159</v>
      </c>
      <c r="E1705" s="25">
        <v>76412</v>
      </c>
      <c r="F1705" s="26">
        <v>11229.1</v>
      </c>
      <c r="G1705" s="27">
        <v>14.695467000000001</v>
      </c>
    </row>
    <row r="1706" spans="1:7" hidden="1" x14ac:dyDescent="0.25">
      <c r="A1706" s="24" t="s">
        <v>1131</v>
      </c>
      <c r="B1706" s="24" t="s">
        <v>109</v>
      </c>
      <c r="C1706" s="24" t="s">
        <v>281</v>
      </c>
      <c r="D1706" s="25">
        <v>3580</v>
      </c>
      <c r="E1706" s="25">
        <v>95129</v>
      </c>
      <c r="F1706" s="26">
        <v>10393</v>
      </c>
      <c r="G1706" s="27">
        <v>10.925165</v>
      </c>
    </row>
    <row r="1707" spans="1:7" hidden="1" x14ac:dyDescent="0.25">
      <c r="A1707" s="24" t="s">
        <v>1446</v>
      </c>
      <c r="B1707" s="24" t="s">
        <v>109</v>
      </c>
      <c r="C1707" s="24" t="s">
        <v>281</v>
      </c>
      <c r="D1707" s="25">
        <v>6469</v>
      </c>
      <c r="E1707" s="25">
        <v>114975</v>
      </c>
      <c r="F1707" s="26">
        <v>12422.7</v>
      </c>
      <c r="G1707" s="27">
        <v>10.804697000000001</v>
      </c>
    </row>
    <row r="1708" spans="1:7" hidden="1" x14ac:dyDescent="0.25">
      <c r="A1708" s="24" t="s">
        <v>1743</v>
      </c>
      <c r="B1708" s="24" t="s">
        <v>109</v>
      </c>
      <c r="C1708" s="24" t="s">
        <v>281</v>
      </c>
      <c r="D1708" s="25">
        <v>3458</v>
      </c>
      <c r="E1708" s="25">
        <v>192402</v>
      </c>
      <c r="F1708" s="26">
        <v>18400</v>
      </c>
      <c r="G1708" s="27">
        <v>9.5633102000000001</v>
      </c>
    </row>
    <row r="1709" spans="1:7" hidden="1" x14ac:dyDescent="0.25">
      <c r="A1709" s="24" t="s">
        <v>723</v>
      </c>
      <c r="B1709" s="24" t="s">
        <v>109</v>
      </c>
      <c r="C1709" s="24" t="s">
        <v>278</v>
      </c>
      <c r="D1709" s="25">
        <v>4963</v>
      </c>
      <c r="E1709" s="25">
        <v>235790</v>
      </c>
      <c r="F1709" s="26">
        <v>14213.5</v>
      </c>
      <c r="G1709" s="27">
        <v>6.0280334</v>
      </c>
    </row>
    <row r="1710" spans="1:7" hidden="1" x14ac:dyDescent="0.25">
      <c r="A1710" s="24" t="s">
        <v>1303</v>
      </c>
      <c r="B1710" s="24" t="s">
        <v>109</v>
      </c>
      <c r="C1710" s="24" t="s">
        <v>278</v>
      </c>
      <c r="D1710" s="25">
        <v>8547</v>
      </c>
      <c r="E1710" s="25">
        <v>145591</v>
      </c>
      <c r="F1710" s="26">
        <v>14693</v>
      </c>
      <c r="G1710" s="27">
        <v>10.09197</v>
      </c>
    </row>
    <row r="1711" spans="1:7" hidden="1" x14ac:dyDescent="0.25">
      <c r="A1711" s="24" t="s">
        <v>1744</v>
      </c>
      <c r="B1711" s="24" t="s">
        <v>109</v>
      </c>
      <c r="C1711" s="24" t="s">
        <v>281</v>
      </c>
      <c r="D1711" s="25">
        <v>6953</v>
      </c>
      <c r="E1711" s="25">
        <v>97048</v>
      </c>
      <c r="F1711" s="26">
        <v>12012</v>
      </c>
      <c r="G1711" s="27">
        <v>12.37738</v>
      </c>
    </row>
    <row r="1712" spans="1:7" hidden="1" x14ac:dyDescent="0.25">
      <c r="A1712" s="24" t="s">
        <v>1452</v>
      </c>
      <c r="B1712" s="24" t="s">
        <v>109</v>
      </c>
      <c r="C1712" s="24" t="s">
        <v>385</v>
      </c>
      <c r="D1712" s="25">
        <v>1343</v>
      </c>
      <c r="E1712" s="25">
        <v>38243</v>
      </c>
      <c r="F1712" s="26">
        <v>3128</v>
      </c>
      <c r="G1712" s="27">
        <v>8.1792745999999994</v>
      </c>
    </row>
    <row r="1713" spans="1:7" hidden="1" x14ac:dyDescent="0.25">
      <c r="A1713" s="24" t="s">
        <v>1745</v>
      </c>
      <c r="B1713" s="24" t="s">
        <v>109</v>
      </c>
      <c r="C1713" s="24" t="s">
        <v>278</v>
      </c>
      <c r="D1713" s="25">
        <v>63337</v>
      </c>
      <c r="E1713" s="25">
        <v>1557326</v>
      </c>
      <c r="F1713" s="26">
        <v>154763</v>
      </c>
      <c r="G1713" s="27">
        <v>9.9377393999999999</v>
      </c>
    </row>
    <row r="1714" spans="1:7" hidden="1" x14ac:dyDescent="0.25">
      <c r="A1714" s="24" t="s">
        <v>1746</v>
      </c>
      <c r="B1714" s="24" t="s">
        <v>109</v>
      </c>
      <c r="C1714" s="24" t="s">
        <v>281</v>
      </c>
      <c r="D1714" s="25">
        <v>6330</v>
      </c>
      <c r="E1714" s="25">
        <v>302790</v>
      </c>
      <c r="F1714" s="26">
        <v>28184.2</v>
      </c>
      <c r="G1714" s="27">
        <v>9.3081674000000003</v>
      </c>
    </row>
    <row r="1715" spans="1:7" hidden="1" x14ac:dyDescent="0.25">
      <c r="A1715" s="24" t="s">
        <v>1153</v>
      </c>
      <c r="B1715" s="24" t="s">
        <v>109</v>
      </c>
      <c r="C1715" s="24" t="s">
        <v>278</v>
      </c>
      <c r="D1715" s="25">
        <v>92931</v>
      </c>
      <c r="E1715" s="25">
        <v>2111402</v>
      </c>
      <c r="F1715" s="26">
        <v>216596.8</v>
      </c>
      <c r="G1715" s="27">
        <v>10.258435</v>
      </c>
    </row>
    <row r="1716" spans="1:7" hidden="1" x14ac:dyDescent="0.25">
      <c r="A1716" s="24" t="s">
        <v>1747</v>
      </c>
      <c r="B1716" s="24" t="s">
        <v>109</v>
      </c>
      <c r="C1716" s="24" t="s">
        <v>281</v>
      </c>
      <c r="D1716" s="25">
        <v>3132</v>
      </c>
      <c r="E1716" s="25">
        <v>87790</v>
      </c>
      <c r="F1716" s="26">
        <v>8807.7000000000007</v>
      </c>
      <c r="G1716" s="27">
        <v>10.032692000000001</v>
      </c>
    </row>
    <row r="1717" spans="1:7" hidden="1" x14ac:dyDescent="0.25">
      <c r="A1717" s="24" t="s">
        <v>1155</v>
      </c>
      <c r="B1717" s="24" t="s">
        <v>109</v>
      </c>
      <c r="C1717" s="24" t="s">
        <v>278</v>
      </c>
      <c r="D1717" s="25">
        <v>11479</v>
      </c>
      <c r="E1717" s="25">
        <v>428606</v>
      </c>
      <c r="F1717" s="26">
        <v>32929.9</v>
      </c>
      <c r="G1717" s="27">
        <v>7.6830236000000003</v>
      </c>
    </row>
    <row r="1718" spans="1:7" hidden="1" x14ac:dyDescent="0.25">
      <c r="A1718" s="24" t="s">
        <v>1748</v>
      </c>
      <c r="B1718" s="24" t="s">
        <v>109</v>
      </c>
      <c r="C1718" s="24" t="s">
        <v>281</v>
      </c>
      <c r="D1718" s="25">
        <v>5475</v>
      </c>
      <c r="E1718" s="25">
        <v>84340</v>
      </c>
      <c r="F1718" s="26">
        <v>8304.2999999999993</v>
      </c>
      <c r="G1718" s="27">
        <v>9.8462177000000004</v>
      </c>
    </row>
    <row r="1719" spans="1:7" hidden="1" x14ac:dyDescent="0.25">
      <c r="A1719" s="24" t="s">
        <v>1168</v>
      </c>
      <c r="B1719" s="24" t="s">
        <v>109</v>
      </c>
      <c r="C1719" s="24" t="s">
        <v>281</v>
      </c>
      <c r="D1719" s="25">
        <v>21086</v>
      </c>
      <c r="E1719" s="25">
        <v>659098</v>
      </c>
      <c r="F1719" s="26">
        <v>64373.3</v>
      </c>
      <c r="G1719" s="27">
        <v>9.7668783999999995</v>
      </c>
    </row>
    <row r="1720" spans="1:7" hidden="1" x14ac:dyDescent="0.25">
      <c r="A1720" s="24" t="s">
        <v>1749</v>
      </c>
      <c r="B1720" s="24" t="s">
        <v>109</v>
      </c>
      <c r="C1720" s="24" t="s">
        <v>281</v>
      </c>
      <c r="D1720" s="25">
        <v>17223</v>
      </c>
      <c r="E1720" s="25">
        <v>660081</v>
      </c>
      <c r="F1720" s="26">
        <v>61519.1</v>
      </c>
      <c r="G1720" s="27">
        <v>9.3199319000000003</v>
      </c>
    </row>
    <row r="1721" spans="1:7" hidden="1" x14ac:dyDescent="0.25">
      <c r="A1721" s="24" t="s">
        <v>1750</v>
      </c>
      <c r="B1721" s="24" t="s">
        <v>109</v>
      </c>
      <c r="C1721" s="24" t="s">
        <v>283</v>
      </c>
      <c r="D1721" s="25">
        <v>158</v>
      </c>
      <c r="E1721" s="25">
        <v>2502</v>
      </c>
      <c r="F1721" s="26">
        <v>235.6</v>
      </c>
      <c r="G1721" s="27">
        <v>9.4164668000000002</v>
      </c>
    </row>
    <row r="1722" spans="1:7" hidden="1" x14ac:dyDescent="0.25">
      <c r="A1722" s="24" t="s">
        <v>1174</v>
      </c>
      <c r="B1722" s="24" t="s">
        <v>109</v>
      </c>
      <c r="C1722" s="24" t="s">
        <v>281</v>
      </c>
      <c r="D1722" s="25">
        <v>1045</v>
      </c>
      <c r="E1722" s="25">
        <v>40602</v>
      </c>
      <c r="F1722" s="26">
        <v>3918</v>
      </c>
      <c r="G1722" s="27">
        <v>9.6497709</v>
      </c>
    </row>
    <row r="1723" spans="1:7" hidden="1" x14ac:dyDescent="0.25">
      <c r="A1723" s="24" t="s">
        <v>1751</v>
      </c>
      <c r="B1723" s="24" t="s">
        <v>109</v>
      </c>
      <c r="C1723" s="24" t="s">
        <v>281</v>
      </c>
      <c r="D1723" s="25">
        <v>1611</v>
      </c>
      <c r="E1723" s="25">
        <v>31931</v>
      </c>
      <c r="F1723" s="26">
        <v>4160</v>
      </c>
      <c r="G1723" s="27">
        <v>13.028091999999999</v>
      </c>
    </row>
    <row r="1724" spans="1:7" hidden="1" x14ac:dyDescent="0.25">
      <c r="A1724" s="24" t="s">
        <v>422</v>
      </c>
      <c r="B1724" s="24" t="s">
        <v>109</v>
      </c>
      <c r="C1724" s="24" t="s">
        <v>351</v>
      </c>
      <c r="D1724" s="25">
        <v>22</v>
      </c>
      <c r="E1724" s="25">
        <v>341228</v>
      </c>
      <c r="F1724" s="26">
        <v>9608.4</v>
      </c>
      <c r="G1724" s="27">
        <v>2.8158299000000002</v>
      </c>
    </row>
    <row r="1725" spans="1:7" hidden="1" x14ac:dyDescent="0.25">
      <c r="A1725" s="24" t="s">
        <v>1752</v>
      </c>
      <c r="B1725" s="24" t="s">
        <v>109</v>
      </c>
      <c r="C1725" s="24" t="s">
        <v>283</v>
      </c>
      <c r="D1725" s="25">
        <v>12974</v>
      </c>
      <c r="E1725" s="25">
        <v>365673</v>
      </c>
      <c r="F1725" s="26">
        <v>28828</v>
      </c>
      <c r="G1725" s="27">
        <v>7.8835461999999996</v>
      </c>
    </row>
    <row r="1726" spans="1:7" hidden="1" x14ac:dyDescent="0.25">
      <c r="A1726" s="24" t="s">
        <v>1753</v>
      </c>
      <c r="B1726" s="24" t="s">
        <v>109</v>
      </c>
      <c r="C1726" s="24" t="s">
        <v>281</v>
      </c>
      <c r="D1726" s="25">
        <v>6782</v>
      </c>
      <c r="E1726" s="25">
        <v>125524</v>
      </c>
      <c r="F1726" s="26">
        <v>16402</v>
      </c>
      <c r="G1726" s="27">
        <v>13.066824</v>
      </c>
    </row>
    <row r="1727" spans="1:7" hidden="1" x14ac:dyDescent="0.25">
      <c r="A1727" s="24" t="s">
        <v>1754</v>
      </c>
      <c r="B1727" s="24" t="s">
        <v>109</v>
      </c>
      <c r="C1727" s="24" t="s">
        <v>281</v>
      </c>
      <c r="D1727" s="25">
        <v>16920</v>
      </c>
      <c r="E1727" s="25">
        <v>287736</v>
      </c>
      <c r="F1727" s="26">
        <v>35842</v>
      </c>
      <c r="G1727" s="27">
        <v>12.456557</v>
      </c>
    </row>
    <row r="1728" spans="1:7" hidden="1" x14ac:dyDescent="0.25">
      <c r="A1728" s="24" t="s">
        <v>1755</v>
      </c>
      <c r="B1728" s="24" t="s">
        <v>109</v>
      </c>
      <c r="C1728" s="24" t="s">
        <v>281</v>
      </c>
      <c r="D1728" s="25">
        <v>3405</v>
      </c>
      <c r="E1728" s="25">
        <v>93671</v>
      </c>
      <c r="F1728" s="26">
        <v>10254</v>
      </c>
      <c r="G1728" s="27">
        <v>10.946825</v>
      </c>
    </row>
    <row r="1729" spans="1:7" hidden="1" x14ac:dyDescent="0.25">
      <c r="A1729" s="24" t="s">
        <v>1756</v>
      </c>
      <c r="B1729" s="24" t="s">
        <v>109</v>
      </c>
      <c r="C1729" s="24" t="s">
        <v>283</v>
      </c>
      <c r="D1729" s="25">
        <v>1920</v>
      </c>
      <c r="E1729" s="25">
        <v>39102</v>
      </c>
      <c r="F1729" s="26">
        <v>4242.5</v>
      </c>
      <c r="G1729" s="27">
        <v>10.849829</v>
      </c>
    </row>
    <row r="1730" spans="1:7" hidden="1" x14ac:dyDescent="0.25">
      <c r="A1730" s="24" t="s">
        <v>1757</v>
      </c>
      <c r="B1730" s="24" t="s">
        <v>112</v>
      </c>
      <c r="C1730" s="24" t="s">
        <v>281</v>
      </c>
      <c r="D1730" s="25">
        <v>46291</v>
      </c>
      <c r="E1730" s="25">
        <v>890133</v>
      </c>
      <c r="F1730" s="26">
        <v>98267</v>
      </c>
      <c r="G1730" s="27">
        <v>11.039586</v>
      </c>
    </row>
    <row r="1731" spans="1:7" hidden="1" x14ac:dyDescent="0.25">
      <c r="A1731" s="24" t="s">
        <v>1758</v>
      </c>
      <c r="B1731" s="24" t="s">
        <v>112</v>
      </c>
      <c r="C1731" s="24" t="s">
        <v>283</v>
      </c>
      <c r="D1731" s="25">
        <v>13207</v>
      </c>
      <c r="E1731" s="25">
        <v>628761</v>
      </c>
      <c r="F1731" s="26">
        <v>48777</v>
      </c>
      <c r="G1731" s="27">
        <v>7.7576375999999998</v>
      </c>
    </row>
    <row r="1732" spans="1:7" hidden="1" x14ac:dyDescent="0.25">
      <c r="A1732" s="24" t="s">
        <v>1759</v>
      </c>
      <c r="B1732" s="24" t="s">
        <v>112</v>
      </c>
      <c r="C1732" s="24" t="s">
        <v>283</v>
      </c>
      <c r="D1732" s="25">
        <v>10403</v>
      </c>
      <c r="E1732" s="25">
        <v>189242</v>
      </c>
      <c r="F1732" s="26">
        <v>23359</v>
      </c>
      <c r="G1732" s="27">
        <v>12.343453999999999</v>
      </c>
    </row>
    <row r="1733" spans="1:7" hidden="1" x14ac:dyDescent="0.25">
      <c r="A1733" s="24" t="s">
        <v>1760</v>
      </c>
      <c r="B1733" s="24" t="s">
        <v>112</v>
      </c>
      <c r="C1733" s="24" t="s">
        <v>283</v>
      </c>
      <c r="D1733" s="25">
        <v>11061</v>
      </c>
      <c r="E1733" s="25">
        <v>215820</v>
      </c>
      <c r="F1733" s="26">
        <v>26511</v>
      </c>
      <c r="G1733" s="27">
        <v>12.283848000000001</v>
      </c>
    </row>
    <row r="1734" spans="1:7" hidden="1" x14ac:dyDescent="0.25">
      <c r="A1734" s="24" t="s">
        <v>1761</v>
      </c>
      <c r="B1734" s="24" t="s">
        <v>112</v>
      </c>
      <c r="C1734" s="24" t="s">
        <v>281</v>
      </c>
      <c r="D1734" s="25">
        <v>32331</v>
      </c>
      <c r="E1734" s="25">
        <v>587225</v>
      </c>
      <c r="F1734" s="26">
        <v>62810</v>
      </c>
      <c r="G1734" s="27">
        <v>10.696071</v>
      </c>
    </row>
    <row r="1735" spans="1:7" hidden="1" x14ac:dyDescent="0.25">
      <c r="A1735" s="24" t="s">
        <v>1762</v>
      </c>
      <c r="B1735" s="24" t="s">
        <v>112</v>
      </c>
      <c r="C1735" s="24" t="s">
        <v>283</v>
      </c>
      <c r="D1735" s="25">
        <v>15563</v>
      </c>
      <c r="E1735" s="25">
        <v>414308</v>
      </c>
      <c r="F1735" s="26">
        <v>36035</v>
      </c>
      <c r="G1735" s="27">
        <v>8.6976355999999999</v>
      </c>
    </row>
    <row r="1736" spans="1:7" hidden="1" x14ac:dyDescent="0.25">
      <c r="A1736" s="24" t="s">
        <v>1763</v>
      </c>
      <c r="B1736" s="24" t="s">
        <v>112</v>
      </c>
      <c r="C1736" s="24" t="s">
        <v>281</v>
      </c>
      <c r="D1736" s="25">
        <v>19790</v>
      </c>
      <c r="E1736" s="25">
        <v>477642</v>
      </c>
      <c r="F1736" s="26">
        <v>44132</v>
      </c>
      <c r="G1736" s="27">
        <v>9.2395560000000003</v>
      </c>
    </row>
    <row r="1737" spans="1:7" hidden="1" x14ac:dyDescent="0.25">
      <c r="A1737" s="24" t="s">
        <v>1764</v>
      </c>
      <c r="B1737" s="24" t="s">
        <v>112</v>
      </c>
      <c r="C1737" s="24" t="s">
        <v>283</v>
      </c>
      <c r="D1737" s="25">
        <v>28980</v>
      </c>
      <c r="E1737" s="25">
        <v>590397</v>
      </c>
      <c r="F1737" s="26">
        <v>62499</v>
      </c>
      <c r="G1737" s="27">
        <v>10.585927999999999</v>
      </c>
    </row>
    <row r="1738" spans="1:7" hidden="1" x14ac:dyDescent="0.25">
      <c r="A1738" s="24" t="s">
        <v>1765</v>
      </c>
      <c r="B1738" s="24" t="s">
        <v>112</v>
      </c>
      <c r="C1738" s="24" t="s">
        <v>283</v>
      </c>
      <c r="D1738" s="25">
        <v>33579</v>
      </c>
      <c r="E1738" s="25">
        <v>853068</v>
      </c>
      <c r="F1738" s="26">
        <v>81840</v>
      </c>
      <c r="G1738" s="27">
        <v>9.5936079999999997</v>
      </c>
    </row>
    <row r="1739" spans="1:7" hidden="1" x14ac:dyDescent="0.25">
      <c r="A1739" s="24" t="s">
        <v>1766</v>
      </c>
      <c r="B1739" s="24" t="s">
        <v>112</v>
      </c>
      <c r="C1739" s="24" t="s">
        <v>283</v>
      </c>
      <c r="D1739" s="25">
        <v>5383</v>
      </c>
      <c r="E1739" s="25">
        <v>206973</v>
      </c>
      <c r="F1739" s="26">
        <v>16479</v>
      </c>
      <c r="G1739" s="27">
        <v>7.9619080999999996</v>
      </c>
    </row>
    <row r="1740" spans="1:7" hidden="1" x14ac:dyDescent="0.25">
      <c r="A1740" s="24" t="s">
        <v>589</v>
      </c>
      <c r="B1740" s="24" t="s">
        <v>112</v>
      </c>
      <c r="C1740" s="24" t="s">
        <v>283</v>
      </c>
      <c r="D1740" s="25">
        <v>169614</v>
      </c>
      <c r="E1740" s="25">
        <v>5336387</v>
      </c>
      <c r="F1740" s="26">
        <v>517598</v>
      </c>
      <c r="G1740" s="27">
        <v>9.6994089999999993</v>
      </c>
    </row>
    <row r="1741" spans="1:7" hidden="1" x14ac:dyDescent="0.25">
      <c r="A1741" s="24" t="s">
        <v>1767</v>
      </c>
      <c r="B1741" s="24" t="s">
        <v>112</v>
      </c>
      <c r="C1741" s="24" t="s">
        <v>283</v>
      </c>
      <c r="D1741" s="25">
        <v>69156</v>
      </c>
      <c r="E1741" s="25">
        <v>1449436</v>
      </c>
      <c r="F1741" s="26">
        <v>157727</v>
      </c>
      <c r="G1741" s="27">
        <v>10.881957</v>
      </c>
    </row>
    <row r="1742" spans="1:7" hidden="1" x14ac:dyDescent="0.25">
      <c r="A1742" s="24" t="s">
        <v>1768</v>
      </c>
      <c r="B1742" s="24" t="s">
        <v>112</v>
      </c>
      <c r="C1742" s="24" t="s">
        <v>283</v>
      </c>
      <c r="D1742" s="25">
        <v>31480</v>
      </c>
      <c r="E1742" s="25">
        <v>1032509</v>
      </c>
      <c r="F1742" s="26">
        <v>96777</v>
      </c>
      <c r="G1742" s="27">
        <v>9.3729934000000004</v>
      </c>
    </row>
    <row r="1743" spans="1:7" hidden="1" x14ac:dyDescent="0.25">
      <c r="A1743" s="24" t="s">
        <v>1769</v>
      </c>
      <c r="B1743" s="24" t="s">
        <v>112</v>
      </c>
      <c r="C1743" s="24" t="s">
        <v>283</v>
      </c>
      <c r="D1743" s="25">
        <v>29859</v>
      </c>
      <c r="E1743" s="25">
        <v>766552</v>
      </c>
      <c r="F1743" s="26">
        <v>75647</v>
      </c>
      <c r="G1743" s="27">
        <v>9.8684759999999994</v>
      </c>
    </row>
    <row r="1744" spans="1:7" hidden="1" x14ac:dyDescent="0.25">
      <c r="A1744" s="24" t="s">
        <v>1770</v>
      </c>
      <c r="B1744" s="24" t="s">
        <v>112</v>
      </c>
      <c r="C1744" s="24" t="s">
        <v>283</v>
      </c>
      <c r="D1744" s="25">
        <v>17745</v>
      </c>
      <c r="E1744" s="25">
        <v>545819</v>
      </c>
      <c r="F1744" s="26">
        <v>52142</v>
      </c>
      <c r="G1744" s="27">
        <v>9.5529837000000004</v>
      </c>
    </row>
    <row r="1745" spans="1:7" hidden="1" x14ac:dyDescent="0.25">
      <c r="A1745" s="24" t="s">
        <v>1771</v>
      </c>
      <c r="B1745" s="24" t="s">
        <v>112</v>
      </c>
      <c r="C1745" s="24" t="s">
        <v>283</v>
      </c>
      <c r="D1745" s="25">
        <v>4711</v>
      </c>
      <c r="E1745" s="25">
        <v>236480</v>
      </c>
      <c r="F1745" s="26">
        <v>20289</v>
      </c>
      <c r="G1745" s="27">
        <v>8.5795838999999994</v>
      </c>
    </row>
    <row r="1746" spans="1:7" hidden="1" x14ac:dyDescent="0.25">
      <c r="A1746" s="24" t="s">
        <v>1772</v>
      </c>
      <c r="B1746" s="24" t="s">
        <v>112</v>
      </c>
      <c r="C1746" s="24" t="s">
        <v>283</v>
      </c>
      <c r="D1746" s="25">
        <v>10583</v>
      </c>
      <c r="E1746" s="25">
        <v>273318</v>
      </c>
      <c r="F1746" s="26">
        <v>27266</v>
      </c>
      <c r="G1746" s="27">
        <v>9.9759255000000007</v>
      </c>
    </row>
    <row r="1747" spans="1:7" hidden="1" x14ac:dyDescent="0.25">
      <c r="A1747" s="24" t="s">
        <v>1773</v>
      </c>
      <c r="B1747" s="24" t="s">
        <v>112</v>
      </c>
      <c r="C1747" s="24" t="s">
        <v>283</v>
      </c>
      <c r="D1747" s="25">
        <v>34796</v>
      </c>
      <c r="E1747" s="25">
        <v>832418</v>
      </c>
      <c r="F1747" s="26">
        <v>81625</v>
      </c>
      <c r="G1747" s="27">
        <v>9.8057707000000001</v>
      </c>
    </row>
    <row r="1748" spans="1:7" hidden="1" x14ac:dyDescent="0.25">
      <c r="A1748" s="24" t="s">
        <v>1774</v>
      </c>
      <c r="B1748" s="24" t="s">
        <v>112</v>
      </c>
      <c r="C1748" s="24" t="s">
        <v>283</v>
      </c>
      <c r="D1748" s="25">
        <v>11862</v>
      </c>
      <c r="E1748" s="25">
        <v>394673</v>
      </c>
      <c r="F1748" s="26">
        <v>37260</v>
      </c>
      <c r="G1748" s="27">
        <v>9.4407268999999996</v>
      </c>
    </row>
    <row r="1749" spans="1:7" hidden="1" x14ac:dyDescent="0.25">
      <c r="A1749" s="24" t="s">
        <v>1775</v>
      </c>
      <c r="B1749" s="24" t="s">
        <v>112</v>
      </c>
      <c r="C1749" s="24" t="s">
        <v>283</v>
      </c>
      <c r="D1749" s="25">
        <v>26412</v>
      </c>
      <c r="E1749" s="25">
        <v>494935</v>
      </c>
      <c r="F1749" s="26">
        <v>52170</v>
      </c>
      <c r="G1749" s="27">
        <v>10.540778</v>
      </c>
    </row>
    <row r="1750" spans="1:7" hidden="1" x14ac:dyDescent="0.25">
      <c r="A1750" s="24" t="s">
        <v>1776</v>
      </c>
      <c r="B1750" s="24" t="s">
        <v>112</v>
      </c>
      <c r="C1750" s="24" t="s">
        <v>283</v>
      </c>
      <c r="D1750" s="25">
        <v>5117</v>
      </c>
      <c r="E1750" s="25">
        <v>239032</v>
      </c>
      <c r="F1750" s="26">
        <v>19456</v>
      </c>
      <c r="G1750" s="27">
        <v>8.1394959999999994</v>
      </c>
    </row>
    <row r="1751" spans="1:7" hidden="1" x14ac:dyDescent="0.25">
      <c r="A1751" s="24" t="s">
        <v>1777</v>
      </c>
      <c r="B1751" s="24" t="s">
        <v>112</v>
      </c>
      <c r="C1751" s="24" t="s">
        <v>283</v>
      </c>
      <c r="D1751" s="25">
        <v>18455</v>
      </c>
      <c r="E1751" s="25">
        <v>431447</v>
      </c>
      <c r="F1751" s="26">
        <v>44867</v>
      </c>
      <c r="G1751" s="27">
        <v>10.399191999999999</v>
      </c>
    </row>
    <row r="1752" spans="1:7" hidden="1" x14ac:dyDescent="0.25">
      <c r="A1752" s="24" t="s">
        <v>1778</v>
      </c>
      <c r="B1752" s="24" t="s">
        <v>112</v>
      </c>
      <c r="C1752" s="24" t="s">
        <v>283</v>
      </c>
      <c r="D1752" s="25">
        <v>18595</v>
      </c>
      <c r="E1752" s="25">
        <v>798116</v>
      </c>
      <c r="F1752" s="26">
        <v>67598</v>
      </c>
      <c r="G1752" s="27">
        <v>8.4696961000000002</v>
      </c>
    </row>
    <row r="1753" spans="1:7" hidden="1" x14ac:dyDescent="0.25">
      <c r="A1753" s="24" t="s">
        <v>1779</v>
      </c>
      <c r="B1753" s="24" t="s">
        <v>112</v>
      </c>
      <c r="C1753" s="24" t="s">
        <v>283</v>
      </c>
      <c r="D1753" s="25">
        <v>38231</v>
      </c>
      <c r="E1753" s="25">
        <v>1147220</v>
      </c>
      <c r="F1753" s="26">
        <v>103507</v>
      </c>
      <c r="G1753" s="27">
        <v>9.0224194000000004</v>
      </c>
    </row>
    <row r="1754" spans="1:7" hidden="1" x14ac:dyDescent="0.25">
      <c r="A1754" s="24" t="s">
        <v>1780</v>
      </c>
      <c r="B1754" s="24" t="s">
        <v>112</v>
      </c>
      <c r="C1754" s="24" t="s">
        <v>283</v>
      </c>
      <c r="D1754" s="25">
        <v>10971</v>
      </c>
      <c r="E1754" s="25">
        <v>201607</v>
      </c>
      <c r="F1754" s="26">
        <v>23313</v>
      </c>
      <c r="G1754" s="27">
        <v>11.563587</v>
      </c>
    </row>
    <row r="1755" spans="1:7" hidden="1" x14ac:dyDescent="0.25">
      <c r="A1755" s="24" t="s">
        <v>1781</v>
      </c>
      <c r="B1755" s="24" t="s">
        <v>112</v>
      </c>
      <c r="C1755" s="24" t="s">
        <v>283</v>
      </c>
      <c r="D1755" s="25">
        <v>4425</v>
      </c>
      <c r="E1755" s="25">
        <v>143579</v>
      </c>
      <c r="F1755" s="26">
        <v>13633</v>
      </c>
      <c r="G1755" s="27">
        <v>9.4951211999999998</v>
      </c>
    </row>
    <row r="1756" spans="1:7" hidden="1" x14ac:dyDescent="0.25">
      <c r="A1756" s="24" t="s">
        <v>1782</v>
      </c>
      <c r="B1756" s="24" t="s">
        <v>112</v>
      </c>
      <c r="C1756" s="24" t="s">
        <v>283</v>
      </c>
      <c r="D1756" s="25">
        <v>36031</v>
      </c>
      <c r="E1756" s="25">
        <v>1681239</v>
      </c>
      <c r="F1756" s="26">
        <v>141447</v>
      </c>
      <c r="G1756" s="27">
        <v>8.4132595000000006</v>
      </c>
    </row>
    <row r="1757" spans="1:7" hidden="1" x14ac:dyDescent="0.25">
      <c r="A1757" s="24" t="s">
        <v>932</v>
      </c>
      <c r="B1757" s="24" t="s">
        <v>112</v>
      </c>
      <c r="C1757" s="24" t="s">
        <v>283</v>
      </c>
      <c r="D1757" s="25">
        <v>2328</v>
      </c>
      <c r="E1757" s="25">
        <v>40967</v>
      </c>
      <c r="F1757" s="26">
        <v>4415</v>
      </c>
      <c r="G1757" s="27">
        <v>10.776967000000001</v>
      </c>
    </row>
    <row r="1758" spans="1:7" hidden="1" x14ac:dyDescent="0.25">
      <c r="A1758" s="24" t="s">
        <v>1783</v>
      </c>
      <c r="B1758" s="24" t="s">
        <v>112</v>
      </c>
      <c r="C1758" s="24" t="s">
        <v>283</v>
      </c>
      <c r="D1758" s="25">
        <v>22101</v>
      </c>
      <c r="E1758" s="25">
        <v>381605</v>
      </c>
      <c r="F1758" s="26">
        <v>45803</v>
      </c>
      <c r="G1758" s="27">
        <v>12.002725</v>
      </c>
    </row>
    <row r="1759" spans="1:7" hidden="1" x14ac:dyDescent="0.25">
      <c r="A1759" s="24" t="s">
        <v>1784</v>
      </c>
      <c r="B1759" s="24" t="s">
        <v>112</v>
      </c>
      <c r="C1759" s="24" t="s">
        <v>283</v>
      </c>
      <c r="D1759" s="25">
        <v>20256</v>
      </c>
      <c r="E1759" s="25">
        <v>459583</v>
      </c>
      <c r="F1759" s="26">
        <v>49491</v>
      </c>
      <c r="G1759" s="27">
        <v>10.768675</v>
      </c>
    </row>
    <row r="1760" spans="1:7" hidden="1" x14ac:dyDescent="0.25">
      <c r="A1760" s="24" t="s">
        <v>1785</v>
      </c>
      <c r="B1760" s="24" t="s">
        <v>112</v>
      </c>
      <c r="C1760" s="24" t="s">
        <v>283</v>
      </c>
      <c r="D1760" s="25">
        <v>64400</v>
      </c>
      <c r="E1760" s="25">
        <v>1576099</v>
      </c>
      <c r="F1760" s="26">
        <v>157603</v>
      </c>
      <c r="G1760" s="27">
        <v>9.9995621999999997</v>
      </c>
    </row>
    <row r="1761" spans="1:7" hidden="1" x14ac:dyDescent="0.25">
      <c r="A1761" s="24" t="s">
        <v>1786</v>
      </c>
      <c r="B1761" s="24" t="s">
        <v>112</v>
      </c>
      <c r="C1761" s="24" t="s">
        <v>283</v>
      </c>
      <c r="D1761" s="25">
        <v>6168</v>
      </c>
      <c r="E1761" s="25">
        <v>331687</v>
      </c>
      <c r="F1761" s="26">
        <v>26392</v>
      </c>
      <c r="G1761" s="27">
        <v>7.9568991000000002</v>
      </c>
    </row>
    <row r="1762" spans="1:7" hidden="1" x14ac:dyDescent="0.25">
      <c r="A1762" s="24" t="s">
        <v>1787</v>
      </c>
      <c r="B1762" s="24" t="s">
        <v>112</v>
      </c>
      <c r="C1762" s="24" t="s">
        <v>283</v>
      </c>
      <c r="D1762" s="25">
        <v>22507</v>
      </c>
      <c r="E1762" s="25">
        <v>414331</v>
      </c>
      <c r="F1762" s="26">
        <v>45257</v>
      </c>
      <c r="G1762" s="27">
        <v>10.922909000000001</v>
      </c>
    </row>
    <row r="1763" spans="1:7" hidden="1" x14ac:dyDescent="0.25">
      <c r="A1763" s="24" t="s">
        <v>1788</v>
      </c>
      <c r="B1763" s="24" t="s">
        <v>112</v>
      </c>
      <c r="C1763" s="24" t="s">
        <v>283</v>
      </c>
      <c r="D1763" s="25">
        <v>414315</v>
      </c>
      <c r="E1763" s="25">
        <v>13308180</v>
      </c>
      <c r="F1763" s="26">
        <v>1221307.5</v>
      </c>
      <c r="G1763" s="27">
        <v>9.1771189</v>
      </c>
    </row>
    <row r="1764" spans="1:7" hidden="1" x14ac:dyDescent="0.25">
      <c r="A1764" s="24" t="s">
        <v>1789</v>
      </c>
      <c r="B1764" s="24" t="s">
        <v>112</v>
      </c>
      <c r="C1764" s="24" t="s">
        <v>283</v>
      </c>
      <c r="D1764" s="25">
        <v>8162</v>
      </c>
      <c r="E1764" s="25">
        <v>182824</v>
      </c>
      <c r="F1764" s="26">
        <v>18680</v>
      </c>
      <c r="G1764" s="27">
        <v>10.217477000000001</v>
      </c>
    </row>
    <row r="1765" spans="1:7" hidden="1" x14ac:dyDescent="0.25">
      <c r="A1765" s="24" t="s">
        <v>1790</v>
      </c>
      <c r="B1765" s="24" t="s">
        <v>112</v>
      </c>
      <c r="C1765" s="24" t="s">
        <v>283</v>
      </c>
      <c r="D1765" s="25">
        <v>14790</v>
      </c>
      <c r="E1765" s="25">
        <v>910177</v>
      </c>
      <c r="F1765" s="26">
        <v>76098</v>
      </c>
      <c r="G1765" s="27">
        <v>8.3607914000000001</v>
      </c>
    </row>
    <row r="1766" spans="1:7" hidden="1" x14ac:dyDescent="0.25">
      <c r="A1766" s="24" t="s">
        <v>1791</v>
      </c>
      <c r="B1766" s="24" t="s">
        <v>112</v>
      </c>
      <c r="C1766" s="24" t="s">
        <v>283</v>
      </c>
      <c r="D1766" s="25">
        <v>3973</v>
      </c>
      <c r="E1766" s="25">
        <v>121843</v>
      </c>
      <c r="F1766" s="26">
        <v>12891</v>
      </c>
      <c r="G1766" s="27">
        <v>10.580009</v>
      </c>
    </row>
    <row r="1767" spans="1:7" hidden="1" x14ac:dyDescent="0.25">
      <c r="A1767" s="24" t="s">
        <v>1792</v>
      </c>
      <c r="B1767" s="24" t="s">
        <v>112</v>
      </c>
      <c r="C1767" s="24" t="s">
        <v>283</v>
      </c>
      <c r="D1767" s="25">
        <v>61687</v>
      </c>
      <c r="E1767" s="25">
        <v>1707593</v>
      </c>
      <c r="F1767" s="26">
        <v>161125</v>
      </c>
      <c r="G1767" s="27">
        <v>9.4357965000000004</v>
      </c>
    </row>
    <row r="1768" spans="1:7" hidden="1" x14ac:dyDescent="0.25">
      <c r="A1768" s="24" t="s">
        <v>1793</v>
      </c>
      <c r="B1768" s="24" t="s">
        <v>112</v>
      </c>
      <c r="C1768" s="24" t="s">
        <v>283</v>
      </c>
      <c r="D1768" s="25">
        <v>1809</v>
      </c>
      <c r="E1768" s="25">
        <v>108301</v>
      </c>
      <c r="F1768" s="26">
        <v>8640</v>
      </c>
      <c r="G1768" s="27">
        <v>7.9777657</v>
      </c>
    </row>
    <row r="1769" spans="1:7" hidden="1" x14ac:dyDescent="0.25">
      <c r="A1769" s="24" t="s">
        <v>1794</v>
      </c>
      <c r="B1769" s="24" t="s">
        <v>112</v>
      </c>
      <c r="C1769" s="24" t="s">
        <v>283</v>
      </c>
      <c r="D1769" s="25">
        <v>21648</v>
      </c>
      <c r="E1769" s="25">
        <v>538662</v>
      </c>
      <c r="F1769" s="26">
        <v>50207</v>
      </c>
      <c r="G1769" s="27">
        <v>9.3206872000000001</v>
      </c>
    </row>
    <row r="1770" spans="1:7" hidden="1" x14ac:dyDescent="0.25">
      <c r="A1770" s="24" t="s">
        <v>1795</v>
      </c>
      <c r="B1770" s="24" t="s">
        <v>112</v>
      </c>
      <c r="C1770" s="24" t="s">
        <v>283</v>
      </c>
      <c r="D1770" s="25">
        <v>16232</v>
      </c>
      <c r="E1770" s="25">
        <v>492388</v>
      </c>
      <c r="F1770" s="26">
        <v>53687</v>
      </c>
      <c r="G1770" s="27">
        <v>10.903392999999999</v>
      </c>
    </row>
    <row r="1771" spans="1:7" hidden="1" x14ac:dyDescent="0.25">
      <c r="A1771" s="24" t="s">
        <v>1796</v>
      </c>
      <c r="B1771" s="24" t="s">
        <v>112</v>
      </c>
      <c r="C1771" s="24" t="s">
        <v>283</v>
      </c>
      <c r="D1771" s="25">
        <v>21289</v>
      </c>
      <c r="E1771" s="25">
        <v>446190</v>
      </c>
      <c r="F1771" s="26">
        <v>44385</v>
      </c>
      <c r="G1771" s="27">
        <v>9.9475560000000005</v>
      </c>
    </row>
    <row r="1772" spans="1:7" hidden="1" x14ac:dyDescent="0.25">
      <c r="A1772" s="24" t="s">
        <v>1797</v>
      </c>
      <c r="B1772" s="24" t="s">
        <v>112</v>
      </c>
      <c r="C1772" s="24" t="s">
        <v>283</v>
      </c>
      <c r="D1772" s="25">
        <v>14395</v>
      </c>
      <c r="E1772" s="25">
        <v>440869</v>
      </c>
      <c r="F1772" s="26">
        <v>44667</v>
      </c>
      <c r="G1772" s="27">
        <v>10.131581000000001</v>
      </c>
    </row>
    <row r="1773" spans="1:7" hidden="1" x14ac:dyDescent="0.25">
      <c r="A1773" s="24" t="s">
        <v>1798</v>
      </c>
      <c r="B1773" s="24" t="s">
        <v>112</v>
      </c>
      <c r="C1773" s="24" t="s">
        <v>283</v>
      </c>
      <c r="D1773" s="25">
        <v>6671</v>
      </c>
      <c r="E1773" s="25">
        <v>188909</v>
      </c>
      <c r="F1773" s="26">
        <v>18822</v>
      </c>
      <c r="G1773" s="27">
        <v>9.9635274000000003</v>
      </c>
    </row>
    <row r="1774" spans="1:7" hidden="1" x14ac:dyDescent="0.25">
      <c r="A1774" s="24" t="s">
        <v>1799</v>
      </c>
      <c r="B1774" s="24" t="s">
        <v>112</v>
      </c>
      <c r="C1774" s="24" t="s">
        <v>283</v>
      </c>
      <c r="D1774" s="25">
        <v>14624</v>
      </c>
      <c r="E1774" s="25">
        <v>296142</v>
      </c>
      <c r="F1774" s="26">
        <v>31716</v>
      </c>
      <c r="G1774" s="27">
        <v>10.709727000000001</v>
      </c>
    </row>
    <row r="1775" spans="1:7" hidden="1" x14ac:dyDescent="0.25">
      <c r="A1775" s="24" t="s">
        <v>1800</v>
      </c>
      <c r="B1775" s="24" t="s">
        <v>112</v>
      </c>
      <c r="C1775" s="24" t="s">
        <v>283</v>
      </c>
      <c r="D1775" s="25">
        <v>10268</v>
      </c>
      <c r="E1775" s="25">
        <v>371315</v>
      </c>
      <c r="F1775" s="26">
        <v>33547</v>
      </c>
      <c r="G1775" s="27">
        <v>9.0346471000000008</v>
      </c>
    </row>
    <row r="1776" spans="1:7" hidden="1" x14ac:dyDescent="0.25">
      <c r="A1776" s="24" t="s">
        <v>1801</v>
      </c>
      <c r="B1776" s="24" t="s">
        <v>112</v>
      </c>
      <c r="C1776" s="24" t="s">
        <v>283</v>
      </c>
      <c r="D1776" s="25">
        <v>2708</v>
      </c>
      <c r="E1776" s="25">
        <v>130185</v>
      </c>
      <c r="F1776" s="26">
        <v>10702</v>
      </c>
      <c r="G1776" s="27">
        <v>8.2206091000000008</v>
      </c>
    </row>
    <row r="1777" spans="1:7" hidden="1" x14ac:dyDescent="0.25">
      <c r="A1777" s="24" t="s">
        <v>1802</v>
      </c>
      <c r="B1777" s="24" t="s">
        <v>112</v>
      </c>
      <c r="C1777" s="24" t="s">
        <v>283</v>
      </c>
      <c r="D1777" s="25">
        <v>2988</v>
      </c>
      <c r="E1777" s="25">
        <v>120359</v>
      </c>
      <c r="F1777" s="26">
        <v>11117</v>
      </c>
      <c r="G1777" s="27">
        <v>9.2365340000000007</v>
      </c>
    </row>
    <row r="1778" spans="1:7" hidden="1" x14ac:dyDescent="0.25">
      <c r="A1778" s="24" t="s">
        <v>1803</v>
      </c>
      <c r="B1778" s="24" t="s">
        <v>112</v>
      </c>
      <c r="C1778" s="24" t="s">
        <v>283</v>
      </c>
      <c r="D1778" s="25">
        <v>8233</v>
      </c>
      <c r="E1778" s="25">
        <v>306409</v>
      </c>
      <c r="F1778" s="26">
        <v>27269</v>
      </c>
      <c r="G1778" s="27">
        <v>8.8995428000000008</v>
      </c>
    </row>
    <row r="1779" spans="1:7" hidden="1" x14ac:dyDescent="0.25">
      <c r="A1779" s="24" t="s">
        <v>1804</v>
      </c>
      <c r="B1779" s="24" t="s">
        <v>112</v>
      </c>
      <c r="C1779" s="24" t="s">
        <v>283</v>
      </c>
      <c r="D1779" s="25">
        <v>9022</v>
      </c>
      <c r="E1779" s="25">
        <v>230544</v>
      </c>
      <c r="F1779" s="26">
        <v>22845</v>
      </c>
      <c r="G1779" s="27">
        <v>9.9091714</v>
      </c>
    </row>
    <row r="1780" spans="1:7" hidden="1" x14ac:dyDescent="0.25">
      <c r="A1780" s="24" t="s">
        <v>1805</v>
      </c>
      <c r="B1780" s="24" t="s">
        <v>112</v>
      </c>
      <c r="C1780" s="24" t="s">
        <v>283</v>
      </c>
      <c r="D1780" s="25">
        <v>2435</v>
      </c>
      <c r="E1780" s="25">
        <v>66844</v>
      </c>
      <c r="F1780" s="26">
        <v>6971</v>
      </c>
      <c r="G1780" s="27">
        <v>10.428758999999999</v>
      </c>
    </row>
    <row r="1781" spans="1:7" hidden="1" x14ac:dyDescent="0.25">
      <c r="A1781" s="24" t="s">
        <v>1806</v>
      </c>
      <c r="B1781" s="24" t="s">
        <v>112</v>
      </c>
      <c r="C1781" s="24" t="s">
        <v>283</v>
      </c>
      <c r="D1781" s="25">
        <v>6413</v>
      </c>
      <c r="E1781" s="25">
        <v>283043</v>
      </c>
      <c r="F1781" s="26">
        <v>24255</v>
      </c>
      <c r="G1781" s="27">
        <v>8.5693693</v>
      </c>
    </row>
    <row r="1782" spans="1:7" hidden="1" x14ac:dyDescent="0.25">
      <c r="A1782" s="24" t="s">
        <v>1807</v>
      </c>
      <c r="B1782" s="24" t="s">
        <v>112</v>
      </c>
      <c r="C1782" s="24" t="s">
        <v>283</v>
      </c>
      <c r="D1782" s="25">
        <v>5930</v>
      </c>
      <c r="E1782" s="25">
        <v>172840</v>
      </c>
      <c r="F1782" s="26">
        <v>17420</v>
      </c>
      <c r="G1782" s="27">
        <v>10.078685</v>
      </c>
    </row>
    <row r="1783" spans="1:7" hidden="1" x14ac:dyDescent="0.25">
      <c r="A1783" s="24" t="s">
        <v>1808</v>
      </c>
      <c r="B1783" s="24" t="s">
        <v>112</v>
      </c>
      <c r="C1783" s="24" t="s">
        <v>283</v>
      </c>
      <c r="D1783" s="25">
        <v>27560</v>
      </c>
      <c r="E1783" s="25">
        <v>616687</v>
      </c>
      <c r="F1783" s="26">
        <v>65070</v>
      </c>
      <c r="G1783" s="27">
        <v>10.551544</v>
      </c>
    </row>
    <row r="1784" spans="1:7" hidden="1" x14ac:dyDescent="0.25">
      <c r="A1784" s="24" t="s">
        <v>1809</v>
      </c>
      <c r="B1784" s="24" t="s">
        <v>112</v>
      </c>
      <c r="C1784" s="24" t="s">
        <v>281</v>
      </c>
      <c r="D1784" s="25">
        <v>94556</v>
      </c>
      <c r="E1784" s="25">
        <v>2502168</v>
      </c>
      <c r="F1784" s="26">
        <v>258005</v>
      </c>
      <c r="G1784" s="27">
        <v>10.311258</v>
      </c>
    </row>
    <row r="1785" spans="1:7" hidden="1" x14ac:dyDescent="0.25">
      <c r="A1785" s="24" t="s">
        <v>941</v>
      </c>
      <c r="B1785" s="24" t="s">
        <v>112</v>
      </c>
      <c r="C1785" s="24" t="s">
        <v>281</v>
      </c>
      <c r="D1785" s="25">
        <v>72</v>
      </c>
      <c r="E1785" s="25">
        <v>748</v>
      </c>
      <c r="F1785" s="26">
        <v>86</v>
      </c>
      <c r="G1785" s="27">
        <v>11.497325999999999</v>
      </c>
    </row>
    <row r="1786" spans="1:7" hidden="1" x14ac:dyDescent="0.25">
      <c r="A1786" s="24" t="s">
        <v>1810</v>
      </c>
      <c r="B1786" s="24" t="s">
        <v>112</v>
      </c>
      <c r="C1786" s="24" t="s">
        <v>281</v>
      </c>
      <c r="D1786" s="25">
        <v>74369</v>
      </c>
      <c r="E1786" s="25">
        <v>1744295</v>
      </c>
      <c r="F1786" s="26">
        <v>178560</v>
      </c>
      <c r="G1786" s="27">
        <v>10.236801</v>
      </c>
    </row>
    <row r="1787" spans="1:7" hidden="1" x14ac:dyDescent="0.25">
      <c r="A1787" s="24" t="s">
        <v>370</v>
      </c>
      <c r="B1787" s="24" t="s">
        <v>112</v>
      </c>
      <c r="C1787" s="24" t="s">
        <v>278</v>
      </c>
      <c r="D1787" s="25">
        <v>8</v>
      </c>
      <c r="E1787" s="25">
        <v>49</v>
      </c>
      <c r="F1787" s="26">
        <v>6.6</v>
      </c>
      <c r="G1787" s="27">
        <v>13.469388</v>
      </c>
    </row>
    <row r="1788" spans="1:7" hidden="1" x14ac:dyDescent="0.25">
      <c r="A1788" s="24" t="s">
        <v>1811</v>
      </c>
      <c r="B1788" s="24" t="s">
        <v>112</v>
      </c>
      <c r="C1788" s="24" t="s">
        <v>281</v>
      </c>
      <c r="D1788" s="25">
        <v>9890</v>
      </c>
      <c r="E1788" s="25">
        <v>162412</v>
      </c>
      <c r="F1788" s="26">
        <v>20806</v>
      </c>
      <c r="G1788" s="27">
        <v>12.81063</v>
      </c>
    </row>
    <row r="1789" spans="1:7" hidden="1" x14ac:dyDescent="0.25">
      <c r="A1789" s="24" t="s">
        <v>1812</v>
      </c>
      <c r="B1789" s="24" t="s">
        <v>112</v>
      </c>
      <c r="C1789" s="24" t="s">
        <v>281</v>
      </c>
      <c r="D1789" s="25">
        <v>32116</v>
      </c>
      <c r="E1789" s="25">
        <v>573730</v>
      </c>
      <c r="F1789" s="26">
        <v>63501</v>
      </c>
      <c r="G1789" s="27">
        <v>11.068098000000001</v>
      </c>
    </row>
    <row r="1790" spans="1:7" hidden="1" x14ac:dyDescent="0.25">
      <c r="A1790" s="24" t="s">
        <v>1344</v>
      </c>
      <c r="B1790" s="24" t="s">
        <v>112</v>
      </c>
      <c r="C1790" s="24" t="s">
        <v>281</v>
      </c>
      <c r="D1790" s="25">
        <v>1017</v>
      </c>
      <c r="E1790" s="25">
        <v>8305</v>
      </c>
      <c r="F1790" s="26">
        <v>1126.0999999999999</v>
      </c>
      <c r="G1790" s="27">
        <v>13.559302000000001</v>
      </c>
    </row>
    <row r="1791" spans="1:7" hidden="1" x14ac:dyDescent="0.25">
      <c r="A1791" s="24" t="s">
        <v>1813</v>
      </c>
      <c r="B1791" s="24" t="s">
        <v>112</v>
      </c>
      <c r="C1791" s="24" t="s">
        <v>281</v>
      </c>
      <c r="D1791" s="25">
        <v>34570</v>
      </c>
      <c r="E1791" s="25">
        <v>783687</v>
      </c>
      <c r="F1791" s="26">
        <v>79158</v>
      </c>
      <c r="G1791" s="27">
        <v>10.100716</v>
      </c>
    </row>
    <row r="1792" spans="1:7" hidden="1" x14ac:dyDescent="0.25">
      <c r="A1792" s="24" t="s">
        <v>947</v>
      </c>
      <c r="B1792" s="24" t="s">
        <v>112</v>
      </c>
      <c r="C1792" s="24" t="s">
        <v>281</v>
      </c>
      <c r="D1792" s="25">
        <v>126</v>
      </c>
      <c r="E1792" s="25">
        <v>1706</v>
      </c>
      <c r="F1792" s="26">
        <v>208</v>
      </c>
      <c r="G1792" s="27">
        <v>12.192263000000001</v>
      </c>
    </row>
    <row r="1793" spans="1:7" hidden="1" x14ac:dyDescent="0.25">
      <c r="A1793" s="24" t="s">
        <v>1814</v>
      </c>
      <c r="B1793" s="24" t="s">
        <v>112</v>
      </c>
      <c r="C1793" s="24" t="s">
        <v>281</v>
      </c>
      <c r="D1793" s="25">
        <v>30500</v>
      </c>
      <c r="E1793" s="25">
        <v>771558</v>
      </c>
      <c r="F1793" s="26">
        <v>70594</v>
      </c>
      <c r="G1793" s="27">
        <v>9.1495390000000008</v>
      </c>
    </row>
    <row r="1794" spans="1:7" hidden="1" x14ac:dyDescent="0.25">
      <c r="A1794" s="24" t="s">
        <v>1815</v>
      </c>
      <c r="B1794" s="24" t="s">
        <v>112</v>
      </c>
      <c r="C1794" s="24" t="s">
        <v>283</v>
      </c>
      <c r="D1794" s="25">
        <v>78102</v>
      </c>
      <c r="E1794" s="25">
        <v>1815148</v>
      </c>
      <c r="F1794" s="26">
        <v>191854</v>
      </c>
      <c r="G1794" s="27">
        <v>10.569606</v>
      </c>
    </row>
    <row r="1795" spans="1:7" hidden="1" x14ac:dyDescent="0.25">
      <c r="A1795" s="24" t="s">
        <v>953</v>
      </c>
      <c r="B1795" s="24" t="s">
        <v>112</v>
      </c>
      <c r="C1795" s="24" t="s">
        <v>278</v>
      </c>
      <c r="D1795" s="25">
        <v>4</v>
      </c>
      <c r="E1795" s="25">
        <v>78</v>
      </c>
      <c r="F1795" s="26">
        <v>5.7</v>
      </c>
      <c r="G1795" s="27">
        <v>7.3076923000000003</v>
      </c>
    </row>
    <row r="1796" spans="1:7" hidden="1" x14ac:dyDescent="0.25">
      <c r="A1796" s="24" t="s">
        <v>1816</v>
      </c>
      <c r="B1796" s="24" t="s">
        <v>112</v>
      </c>
      <c r="C1796" s="24" t="s">
        <v>278</v>
      </c>
      <c r="D1796" s="25">
        <v>47840</v>
      </c>
      <c r="E1796" s="25">
        <v>1971080</v>
      </c>
      <c r="F1796" s="26">
        <v>156105.4</v>
      </c>
      <c r="G1796" s="27">
        <v>7.9197901999999996</v>
      </c>
    </row>
    <row r="1797" spans="1:7" hidden="1" x14ac:dyDescent="0.25">
      <c r="A1797" s="24" t="s">
        <v>1817</v>
      </c>
      <c r="B1797" s="24" t="s">
        <v>112</v>
      </c>
      <c r="C1797" s="24" t="s">
        <v>283</v>
      </c>
      <c r="D1797" s="25">
        <v>201857</v>
      </c>
      <c r="E1797" s="25">
        <v>5220775</v>
      </c>
      <c r="F1797" s="26">
        <v>522324</v>
      </c>
      <c r="G1797" s="27">
        <v>10.004721999999999</v>
      </c>
    </row>
    <row r="1798" spans="1:7" hidden="1" x14ac:dyDescent="0.25">
      <c r="A1798" s="24" t="s">
        <v>1818</v>
      </c>
      <c r="B1798" s="24" t="s">
        <v>112</v>
      </c>
      <c r="C1798" s="24" t="s">
        <v>283</v>
      </c>
      <c r="D1798" s="25">
        <v>11945</v>
      </c>
      <c r="E1798" s="25">
        <v>609482</v>
      </c>
      <c r="F1798" s="26">
        <v>48563</v>
      </c>
      <c r="G1798" s="27">
        <v>7.9679137000000004</v>
      </c>
    </row>
    <row r="1799" spans="1:7" hidden="1" x14ac:dyDescent="0.25">
      <c r="A1799" s="24" t="s">
        <v>1819</v>
      </c>
      <c r="B1799" s="24" t="s">
        <v>112</v>
      </c>
      <c r="C1799" s="24" t="s">
        <v>283</v>
      </c>
      <c r="D1799" s="25">
        <v>21313</v>
      </c>
      <c r="E1799" s="25">
        <v>762371</v>
      </c>
      <c r="F1799" s="26">
        <v>65578</v>
      </c>
      <c r="G1799" s="27">
        <v>8.6018486999999997</v>
      </c>
    </row>
    <row r="1800" spans="1:7" hidden="1" x14ac:dyDescent="0.25">
      <c r="A1800" s="24" t="s">
        <v>1820</v>
      </c>
      <c r="B1800" s="24" t="s">
        <v>112</v>
      </c>
      <c r="C1800" s="24" t="s">
        <v>283</v>
      </c>
      <c r="D1800" s="25">
        <v>8006</v>
      </c>
      <c r="E1800" s="25">
        <v>191330</v>
      </c>
      <c r="F1800" s="26">
        <v>19839</v>
      </c>
      <c r="G1800" s="27">
        <v>10.368995999999999</v>
      </c>
    </row>
    <row r="1801" spans="1:7" hidden="1" x14ac:dyDescent="0.25">
      <c r="A1801" s="24" t="s">
        <v>1821</v>
      </c>
      <c r="B1801" s="24" t="s">
        <v>112</v>
      </c>
      <c r="C1801" s="24" t="s">
        <v>281</v>
      </c>
      <c r="D1801" s="25">
        <v>34140</v>
      </c>
      <c r="E1801" s="25">
        <v>1158831</v>
      </c>
      <c r="F1801" s="26">
        <v>98147</v>
      </c>
      <c r="G1801" s="27">
        <v>8.4694835000000008</v>
      </c>
    </row>
    <row r="1802" spans="1:7" hidden="1" x14ac:dyDescent="0.25">
      <c r="A1802" s="24" t="s">
        <v>1822</v>
      </c>
      <c r="B1802" s="24" t="s">
        <v>112</v>
      </c>
      <c r="C1802" s="24" t="s">
        <v>281</v>
      </c>
      <c r="D1802" s="25">
        <v>219234</v>
      </c>
      <c r="E1802" s="25">
        <v>5759065</v>
      </c>
      <c r="F1802" s="26">
        <v>559146</v>
      </c>
      <c r="G1802" s="27">
        <v>9.7089718999999999</v>
      </c>
    </row>
    <row r="1803" spans="1:7" hidden="1" x14ac:dyDescent="0.25">
      <c r="A1803" s="24" t="s">
        <v>1350</v>
      </c>
      <c r="B1803" s="24" t="s">
        <v>112</v>
      </c>
      <c r="C1803" s="24" t="s">
        <v>281</v>
      </c>
      <c r="D1803" s="25">
        <v>15241</v>
      </c>
      <c r="E1803" s="25">
        <v>353857</v>
      </c>
      <c r="F1803" s="26">
        <v>29339</v>
      </c>
      <c r="G1803" s="27">
        <v>8.2912023999999995</v>
      </c>
    </row>
    <row r="1804" spans="1:7" hidden="1" x14ac:dyDescent="0.25">
      <c r="A1804" s="24" t="s">
        <v>1823</v>
      </c>
      <c r="B1804" s="24" t="s">
        <v>112</v>
      </c>
      <c r="C1804" s="24" t="s">
        <v>283</v>
      </c>
      <c r="D1804" s="25">
        <v>394705</v>
      </c>
      <c r="E1804" s="25">
        <v>11598865</v>
      </c>
      <c r="F1804" s="26">
        <v>1221275</v>
      </c>
      <c r="G1804" s="27">
        <v>10.529263</v>
      </c>
    </row>
    <row r="1805" spans="1:7" hidden="1" x14ac:dyDescent="0.25">
      <c r="A1805" s="24" t="s">
        <v>1824</v>
      </c>
      <c r="B1805" s="24" t="s">
        <v>112</v>
      </c>
      <c r="C1805" s="24" t="s">
        <v>281</v>
      </c>
      <c r="D1805" s="25">
        <v>20624</v>
      </c>
      <c r="E1805" s="25">
        <v>350016</v>
      </c>
      <c r="F1805" s="26">
        <v>41791</v>
      </c>
      <c r="G1805" s="27">
        <v>11.93974</v>
      </c>
    </row>
    <row r="1806" spans="1:7" hidden="1" x14ac:dyDescent="0.25">
      <c r="A1806" s="24" t="s">
        <v>1825</v>
      </c>
      <c r="B1806" s="24" t="s">
        <v>112</v>
      </c>
      <c r="C1806" s="24" t="s">
        <v>281</v>
      </c>
      <c r="D1806" s="25">
        <v>17044</v>
      </c>
      <c r="E1806" s="25">
        <v>291927</v>
      </c>
      <c r="F1806" s="26">
        <v>34689</v>
      </c>
      <c r="G1806" s="27">
        <v>11.882764999999999</v>
      </c>
    </row>
    <row r="1807" spans="1:7" hidden="1" x14ac:dyDescent="0.25">
      <c r="A1807" s="24" t="s">
        <v>1826</v>
      </c>
      <c r="B1807" s="24" t="s">
        <v>112</v>
      </c>
      <c r="C1807" s="24" t="s">
        <v>281</v>
      </c>
      <c r="D1807" s="25">
        <v>23613</v>
      </c>
      <c r="E1807" s="25">
        <v>391646</v>
      </c>
      <c r="F1807" s="26">
        <v>41977</v>
      </c>
      <c r="G1807" s="27">
        <v>10.718097</v>
      </c>
    </row>
    <row r="1808" spans="1:7" hidden="1" x14ac:dyDescent="0.25">
      <c r="A1808" s="24" t="s">
        <v>1827</v>
      </c>
      <c r="B1808" s="24" t="s">
        <v>112</v>
      </c>
      <c r="C1808" s="24" t="s">
        <v>281</v>
      </c>
      <c r="D1808" s="25">
        <v>35319</v>
      </c>
      <c r="E1808" s="25">
        <v>772480</v>
      </c>
      <c r="F1808" s="26">
        <v>82658</v>
      </c>
      <c r="G1808" s="27">
        <v>10.700341999999999</v>
      </c>
    </row>
    <row r="1809" spans="1:7" hidden="1" x14ac:dyDescent="0.25">
      <c r="A1809" s="24" t="s">
        <v>1828</v>
      </c>
      <c r="B1809" s="24" t="s">
        <v>112</v>
      </c>
      <c r="C1809" s="24" t="s">
        <v>283</v>
      </c>
      <c r="D1809" s="25">
        <v>54128</v>
      </c>
      <c r="E1809" s="25">
        <v>1387119</v>
      </c>
      <c r="F1809" s="26">
        <v>142161</v>
      </c>
      <c r="G1809" s="27">
        <v>10.248652</v>
      </c>
    </row>
    <row r="1810" spans="1:7" hidden="1" x14ac:dyDescent="0.25">
      <c r="A1810" s="24" t="s">
        <v>963</v>
      </c>
      <c r="B1810" s="24" t="s">
        <v>112</v>
      </c>
      <c r="C1810" s="24" t="s">
        <v>281</v>
      </c>
      <c r="D1810" s="25">
        <v>190</v>
      </c>
      <c r="E1810" s="25">
        <v>2564</v>
      </c>
      <c r="F1810" s="26">
        <v>294.8</v>
      </c>
      <c r="G1810" s="27">
        <v>11.49766</v>
      </c>
    </row>
    <row r="1811" spans="1:7" hidden="1" x14ac:dyDescent="0.25">
      <c r="A1811" s="24" t="s">
        <v>1829</v>
      </c>
      <c r="B1811" s="24" t="s">
        <v>112</v>
      </c>
      <c r="C1811" s="24" t="s">
        <v>281</v>
      </c>
      <c r="D1811" s="25">
        <v>49995</v>
      </c>
      <c r="E1811" s="25">
        <v>896884</v>
      </c>
      <c r="F1811" s="26">
        <v>103161</v>
      </c>
      <c r="G1811" s="27">
        <v>11.502155999999999</v>
      </c>
    </row>
    <row r="1812" spans="1:7" hidden="1" x14ac:dyDescent="0.25">
      <c r="A1812" s="24" t="s">
        <v>350</v>
      </c>
      <c r="B1812" s="24" t="s">
        <v>112</v>
      </c>
      <c r="C1812" s="24" t="s">
        <v>351</v>
      </c>
      <c r="D1812" s="25">
        <v>24</v>
      </c>
      <c r="E1812" s="25">
        <v>6803554</v>
      </c>
      <c r="F1812" s="26">
        <v>300104</v>
      </c>
      <c r="G1812" s="27">
        <v>4.4109886999999999</v>
      </c>
    </row>
    <row r="1813" spans="1:7" hidden="1" x14ac:dyDescent="0.25">
      <c r="A1813" s="24" t="s">
        <v>1830</v>
      </c>
      <c r="B1813" s="24" t="s">
        <v>112</v>
      </c>
      <c r="C1813" s="24" t="s">
        <v>281</v>
      </c>
      <c r="D1813" s="25">
        <v>19503</v>
      </c>
      <c r="E1813" s="25">
        <v>370341</v>
      </c>
      <c r="F1813" s="26">
        <v>42644</v>
      </c>
      <c r="G1813" s="27">
        <v>11.514792999999999</v>
      </c>
    </row>
    <row r="1814" spans="1:7" hidden="1" x14ac:dyDescent="0.25">
      <c r="A1814" s="24" t="s">
        <v>1831</v>
      </c>
      <c r="B1814" s="24" t="s">
        <v>112</v>
      </c>
      <c r="C1814" s="24" t="s">
        <v>283</v>
      </c>
      <c r="D1814" s="25">
        <v>8940</v>
      </c>
      <c r="E1814" s="25">
        <v>208634</v>
      </c>
      <c r="F1814" s="26">
        <v>20470</v>
      </c>
      <c r="G1814" s="27">
        <v>9.8114401000000004</v>
      </c>
    </row>
    <row r="1815" spans="1:7" hidden="1" x14ac:dyDescent="0.25">
      <c r="A1815" s="24" t="s">
        <v>642</v>
      </c>
      <c r="B1815" s="24" t="s">
        <v>112</v>
      </c>
      <c r="C1815" s="24" t="s">
        <v>281</v>
      </c>
      <c r="D1815" s="25">
        <v>27236</v>
      </c>
      <c r="E1815" s="25">
        <v>518113</v>
      </c>
      <c r="F1815" s="26">
        <v>56621</v>
      </c>
      <c r="G1815" s="27">
        <v>10.928311000000001</v>
      </c>
    </row>
    <row r="1816" spans="1:7" hidden="1" x14ac:dyDescent="0.25">
      <c r="A1816" s="24" t="s">
        <v>643</v>
      </c>
      <c r="B1816" s="24" t="s">
        <v>112</v>
      </c>
      <c r="C1816" s="24" t="s">
        <v>281</v>
      </c>
      <c r="D1816" s="25">
        <v>3188</v>
      </c>
      <c r="E1816" s="25">
        <v>45591</v>
      </c>
      <c r="F1816" s="26">
        <v>5766</v>
      </c>
      <c r="G1816" s="27">
        <v>12.647233</v>
      </c>
    </row>
    <row r="1817" spans="1:7" hidden="1" x14ac:dyDescent="0.25">
      <c r="A1817" s="24" t="s">
        <v>1832</v>
      </c>
      <c r="B1817" s="24" t="s">
        <v>112</v>
      </c>
      <c r="C1817" s="24" t="s">
        <v>283</v>
      </c>
      <c r="D1817" s="25">
        <v>10771</v>
      </c>
      <c r="E1817" s="25">
        <v>284300</v>
      </c>
      <c r="F1817" s="26">
        <v>27249</v>
      </c>
      <c r="G1817" s="27">
        <v>9.5845936999999992</v>
      </c>
    </row>
    <row r="1818" spans="1:7" hidden="1" x14ac:dyDescent="0.25">
      <c r="A1818" s="24" t="s">
        <v>1833</v>
      </c>
      <c r="B1818" s="24" t="s">
        <v>112</v>
      </c>
      <c r="C1818" s="24" t="s">
        <v>281</v>
      </c>
      <c r="D1818" s="25">
        <v>49594</v>
      </c>
      <c r="E1818" s="25">
        <v>978047</v>
      </c>
      <c r="F1818" s="26">
        <v>104600</v>
      </c>
      <c r="G1818" s="27">
        <v>10.694782999999999</v>
      </c>
    </row>
    <row r="1819" spans="1:7" hidden="1" x14ac:dyDescent="0.25">
      <c r="A1819" s="24" t="s">
        <v>1834</v>
      </c>
      <c r="B1819" s="24" t="s">
        <v>112</v>
      </c>
      <c r="C1819" s="24" t="s">
        <v>281</v>
      </c>
      <c r="D1819" s="25">
        <v>115464</v>
      </c>
      <c r="E1819" s="25">
        <v>2161030</v>
      </c>
      <c r="F1819" s="26">
        <v>226202</v>
      </c>
      <c r="G1819" s="27">
        <v>10.467323</v>
      </c>
    </row>
    <row r="1820" spans="1:7" hidden="1" x14ac:dyDescent="0.25">
      <c r="A1820" s="24" t="s">
        <v>1835</v>
      </c>
      <c r="B1820" s="24" t="s">
        <v>112</v>
      </c>
      <c r="C1820" s="24" t="s">
        <v>283</v>
      </c>
      <c r="D1820" s="25">
        <v>20392</v>
      </c>
      <c r="E1820" s="25">
        <v>435893</v>
      </c>
      <c r="F1820" s="26">
        <v>43930</v>
      </c>
      <c r="G1820" s="27">
        <v>10.078161</v>
      </c>
    </row>
    <row r="1821" spans="1:7" hidden="1" x14ac:dyDescent="0.25">
      <c r="A1821" s="24" t="s">
        <v>1836</v>
      </c>
      <c r="B1821" s="24" t="s">
        <v>115</v>
      </c>
      <c r="C1821" s="24" t="s">
        <v>1837</v>
      </c>
      <c r="D1821" s="25">
        <v>58382</v>
      </c>
      <c r="E1821" s="25">
        <v>921284</v>
      </c>
      <c r="F1821" s="26">
        <v>85456</v>
      </c>
      <c r="G1821" s="27">
        <v>9.2757498999999992</v>
      </c>
    </row>
    <row r="1822" spans="1:7" hidden="1" x14ac:dyDescent="0.25">
      <c r="A1822" s="24" t="s">
        <v>1838</v>
      </c>
      <c r="B1822" s="24" t="s">
        <v>115</v>
      </c>
      <c r="C1822" s="24" t="s">
        <v>1837</v>
      </c>
      <c r="D1822" s="25">
        <v>11981</v>
      </c>
      <c r="E1822" s="25">
        <v>1113128</v>
      </c>
      <c r="F1822" s="26">
        <v>64119</v>
      </c>
      <c r="G1822" s="27">
        <v>5.7602539999999998</v>
      </c>
    </row>
    <row r="1823" spans="1:7" hidden="1" x14ac:dyDescent="0.25">
      <c r="A1823" s="24" t="s">
        <v>1839</v>
      </c>
      <c r="B1823" s="24" t="s">
        <v>115</v>
      </c>
      <c r="C1823" s="24" t="s">
        <v>1837</v>
      </c>
      <c r="D1823" s="25">
        <v>1</v>
      </c>
      <c r="E1823" s="25">
        <v>67</v>
      </c>
      <c r="F1823" s="26">
        <v>5</v>
      </c>
      <c r="G1823" s="27">
        <v>7.4626865999999996</v>
      </c>
    </row>
    <row r="1824" spans="1:7" hidden="1" x14ac:dyDescent="0.25">
      <c r="A1824" s="24" t="s">
        <v>1840</v>
      </c>
      <c r="B1824" s="24" t="s">
        <v>115</v>
      </c>
      <c r="C1824" s="24" t="s">
        <v>1837</v>
      </c>
      <c r="D1824" s="25">
        <v>9987</v>
      </c>
      <c r="E1824" s="25">
        <v>155917</v>
      </c>
      <c r="F1824" s="26">
        <v>16388</v>
      </c>
      <c r="G1824" s="27">
        <v>10.510719999999999</v>
      </c>
    </row>
    <row r="1825" spans="1:7" hidden="1" x14ac:dyDescent="0.25">
      <c r="A1825" s="24" t="s">
        <v>1841</v>
      </c>
      <c r="B1825" s="24" t="s">
        <v>115</v>
      </c>
      <c r="C1825" s="24" t="s">
        <v>1837</v>
      </c>
      <c r="D1825" s="25">
        <v>2822</v>
      </c>
      <c r="E1825" s="25">
        <v>178348</v>
      </c>
      <c r="F1825" s="26">
        <v>14665</v>
      </c>
      <c r="G1825" s="27">
        <v>8.2226882000000003</v>
      </c>
    </row>
    <row r="1826" spans="1:7" hidden="1" x14ac:dyDescent="0.25">
      <c r="A1826" s="24" t="s">
        <v>1842</v>
      </c>
      <c r="B1826" s="24" t="s">
        <v>115</v>
      </c>
      <c r="C1826" s="24" t="s">
        <v>1837</v>
      </c>
      <c r="D1826" s="25">
        <v>6738</v>
      </c>
      <c r="E1826" s="25">
        <v>200790</v>
      </c>
      <c r="F1826" s="26">
        <v>10867.4</v>
      </c>
      <c r="G1826" s="27">
        <v>5.4123213000000003</v>
      </c>
    </row>
    <row r="1827" spans="1:7" hidden="1" x14ac:dyDescent="0.25">
      <c r="A1827" s="24" t="s">
        <v>1843</v>
      </c>
      <c r="B1827" s="24" t="s">
        <v>115</v>
      </c>
      <c r="C1827" s="24" t="s">
        <v>1837</v>
      </c>
      <c r="D1827" s="25">
        <v>448855</v>
      </c>
      <c r="E1827" s="25">
        <v>6275633</v>
      </c>
      <c r="F1827" s="26">
        <v>527126.69999999995</v>
      </c>
      <c r="G1827" s="27">
        <v>8.3995782000000005</v>
      </c>
    </row>
    <row r="1828" spans="1:7" hidden="1" x14ac:dyDescent="0.25">
      <c r="A1828" s="24" t="s">
        <v>1844</v>
      </c>
      <c r="B1828" s="24" t="s">
        <v>115</v>
      </c>
      <c r="C1828" s="24" t="s">
        <v>1837</v>
      </c>
      <c r="D1828" s="25">
        <v>15724</v>
      </c>
      <c r="E1828" s="25">
        <v>865758</v>
      </c>
      <c r="F1828" s="26">
        <v>76968</v>
      </c>
      <c r="G1828" s="27">
        <v>8.8902441999999997</v>
      </c>
    </row>
    <row r="1829" spans="1:7" hidden="1" x14ac:dyDescent="0.25">
      <c r="A1829" s="24" t="s">
        <v>1845</v>
      </c>
      <c r="B1829" s="24" t="s">
        <v>115</v>
      </c>
      <c r="C1829" s="24" t="s">
        <v>1837</v>
      </c>
      <c r="D1829" s="25">
        <v>7761</v>
      </c>
      <c r="E1829" s="25">
        <v>188199</v>
      </c>
      <c r="F1829" s="26">
        <v>15560.4</v>
      </c>
      <c r="G1829" s="27">
        <v>8.2680567000000007</v>
      </c>
    </row>
    <row r="1830" spans="1:7" hidden="1" x14ac:dyDescent="0.25">
      <c r="A1830" s="24" t="s">
        <v>1846</v>
      </c>
      <c r="B1830" s="24" t="s">
        <v>115</v>
      </c>
      <c r="C1830" s="24" t="s">
        <v>1837</v>
      </c>
      <c r="D1830" s="25">
        <v>1</v>
      </c>
      <c r="E1830" s="25">
        <v>142131</v>
      </c>
      <c r="F1830" s="26">
        <v>4701</v>
      </c>
      <c r="G1830" s="27">
        <v>3.3075120999999998</v>
      </c>
    </row>
    <row r="1831" spans="1:7" hidden="1" x14ac:dyDescent="0.25">
      <c r="A1831" s="24" t="s">
        <v>1847</v>
      </c>
      <c r="B1831" s="24" t="s">
        <v>115</v>
      </c>
      <c r="C1831" s="24" t="s">
        <v>1837</v>
      </c>
      <c r="D1831" s="25">
        <v>128275</v>
      </c>
      <c r="E1831" s="25">
        <v>2123178</v>
      </c>
      <c r="F1831" s="26">
        <v>205024</v>
      </c>
      <c r="G1831" s="27">
        <v>9.6564677999999997</v>
      </c>
    </row>
    <row r="1832" spans="1:7" hidden="1" x14ac:dyDescent="0.25">
      <c r="A1832" s="24" t="s">
        <v>1848</v>
      </c>
      <c r="B1832" s="24" t="s">
        <v>115</v>
      </c>
      <c r="C1832" s="24" t="s">
        <v>283</v>
      </c>
      <c r="D1832" s="25">
        <v>475744</v>
      </c>
      <c r="E1832" s="25">
        <v>12905561</v>
      </c>
      <c r="F1832" s="26">
        <v>1179480</v>
      </c>
      <c r="G1832" s="27">
        <v>9.1393160000000009</v>
      </c>
    </row>
    <row r="1833" spans="1:7" hidden="1" x14ac:dyDescent="0.25">
      <c r="A1833" s="24" t="s">
        <v>1849</v>
      </c>
      <c r="B1833" s="24" t="s">
        <v>115</v>
      </c>
      <c r="C1833" s="24" t="s">
        <v>1837</v>
      </c>
      <c r="D1833" s="25">
        <v>4519</v>
      </c>
      <c r="E1833" s="25">
        <v>87284</v>
      </c>
      <c r="F1833" s="26">
        <v>5392.6</v>
      </c>
      <c r="G1833" s="27">
        <v>6.1782228000000003</v>
      </c>
    </row>
    <row r="1834" spans="1:7" hidden="1" x14ac:dyDescent="0.25">
      <c r="A1834" s="24" t="s">
        <v>1850</v>
      </c>
      <c r="B1834" s="24" t="s">
        <v>115</v>
      </c>
      <c r="C1834" s="24" t="s">
        <v>1837</v>
      </c>
      <c r="D1834" s="25">
        <v>2</v>
      </c>
      <c r="E1834" s="25">
        <v>42396</v>
      </c>
      <c r="F1834" s="26">
        <v>3432</v>
      </c>
      <c r="G1834" s="27">
        <v>8.0951032999999999</v>
      </c>
    </row>
    <row r="1835" spans="1:7" hidden="1" x14ac:dyDescent="0.25">
      <c r="A1835" s="24" t="s">
        <v>1851</v>
      </c>
      <c r="B1835" s="24" t="s">
        <v>115</v>
      </c>
      <c r="C1835" s="24" t="s">
        <v>281</v>
      </c>
      <c r="D1835" s="25">
        <v>8924</v>
      </c>
      <c r="E1835" s="25">
        <v>245155</v>
      </c>
      <c r="F1835" s="26">
        <v>25730.3</v>
      </c>
      <c r="G1835" s="27">
        <v>10.495523</v>
      </c>
    </row>
    <row r="1836" spans="1:7" hidden="1" x14ac:dyDescent="0.25">
      <c r="A1836" s="24" t="s">
        <v>1852</v>
      </c>
      <c r="B1836" s="24" t="s">
        <v>115</v>
      </c>
      <c r="C1836" s="24" t="s">
        <v>281</v>
      </c>
      <c r="D1836" s="25">
        <v>35452</v>
      </c>
      <c r="E1836" s="25">
        <v>581899</v>
      </c>
      <c r="F1836" s="26">
        <v>58533.3</v>
      </c>
      <c r="G1836" s="27">
        <v>10.059013999999999</v>
      </c>
    </row>
    <row r="1837" spans="1:7" hidden="1" x14ac:dyDescent="0.25">
      <c r="A1837" s="24" t="s">
        <v>1853</v>
      </c>
      <c r="B1837" s="24" t="s">
        <v>115</v>
      </c>
      <c r="C1837" s="24" t="s">
        <v>281</v>
      </c>
      <c r="D1837" s="25">
        <v>11777</v>
      </c>
      <c r="E1837" s="25">
        <v>189532</v>
      </c>
      <c r="F1837" s="26">
        <v>20189.7</v>
      </c>
      <c r="G1837" s="27">
        <v>10.652396</v>
      </c>
    </row>
    <row r="1838" spans="1:7" hidden="1" x14ac:dyDescent="0.25">
      <c r="A1838" s="24" t="s">
        <v>1854</v>
      </c>
      <c r="B1838" s="24" t="s">
        <v>115</v>
      </c>
      <c r="C1838" s="24" t="s">
        <v>281</v>
      </c>
      <c r="D1838" s="25">
        <v>12863</v>
      </c>
      <c r="E1838" s="25">
        <v>237411</v>
      </c>
      <c r="F1838" s="26">
        <v>26798</v>
      </c>
      <c r="G1838" s="27">
        <v>11.287597999999999</v>
      </c>
    </row>
    <row r="1839" spans="1:7" hidden="1" x14ac:dyDescent="0.25">
      <c r="A1839" s="24" t="s">
        <v>1855</v>
      </c>
      <c r="B1839" s="24" t="s">
        <v>115</v>
      </c>
      <c r="C1839" s="24" t="s">
        <v>281</v>
      </c>
      <c r="D1839" s="25">
        <v>93672</v>
      </c>
      <c r="E1839" s="25">
        <v>2023673</v>
      </c>
      <c r="F1839" s="26">
        <v>203325</v>
      </c>
      <c r="G1839" s="27">
        <v>10.047325000000001</v>
      </c>
    </row>
    <row r="1840" spans="1:7" hidden="1" x14ac:dyDescent="0.25">
      <c r="A1840" s="24" t="s">
        <v>1856</v>
      </c>
      <c r="B1840" s="24" t="s">
        <v>115</v>
      </c>
      <c r="C1840" s="24" t="s">
        <v>1837</v>
      </c>
      <c r="D1840" s="25">
        <v>75398</v>
      </c>
      <c r="E1840" s="25">
        <v>1079569</v>
      </c>
      <c r="F1840" s="26">
        <v>105831.2</v>
      </c>
      <c r="G1840" s="27">
        <v>9.8030972999999992</v>
      </c>
    </row>
    <row r="1841" spans="1:7" hidden="1" x14ac:dyDescent="0.25">
      <c r="A1841" s="24" t="s">
        <v>1857</v>
      </c>
      <c r="B1841" s="24" t="s">
        <v>115</v>
      </c>
      <c r="C1841" s="24" t="s">
        <v>281</v>
      </c>
      <c r="D1841" s="25">
        <v>37349</v>
      </c>
      <c r="E1841" s="25">
        <v>581164</v>
      </c>
      <c r="F1841" s="26">
        <v>71272.399999999994</v>
      </c>
      <c r="G1841" s="27">
        <v>12.263733</v>
      </c>
    </row>
    <row r="1842" spans="1:7" hidden="1" x14ac:dyDescent="0.25">
      <c r="A1842" s="24" t="s">
        <v>1858</v>
      </c>
      <c r="B1842" s="24" t="s">
        <v>115</v>
      </c>
      <c r="C1842" s="24" t="s">
        <v>1837</v>
      </c>
      <c r="D1842" s="25">
        <v>8524</v>
      </c>
      <c r="E1842" s="25">
        <v>170564</v>
      </c>
      <c r="F1842" s="26">
        <v>13517</v>
      </c>
      <c r="G1842" s="27">
        <v>7.9248845000000001</v>
      </c>
    </row>
    <row r="1843" spans="1:7" hidden="1" x14ac:dyDescent="0.25">
      <c r="A1843" s="24" t="s">
        <v>1859</v>
      </c>
      <c r="B1843" s="24" t="s">
        <v>115</v>
      </c>
      <c r="C1843" s="24" t="s">
        <v>1837</v>
      </c>
      <c r="D1843" s="25">
        <v>22863</v>
      </c>
      <c r="E1843" s="25">
        <v>847545</v>
      </c>
      <c r="F1843" s="26">
        <v>77813.899999999994</v>
      </c>
      <c r="G1843" s="27">
        <v>9.1810936000000005</v>
      </c>
    </row>
    <row r="1844" spans="1:7" hidden="1" x14ac:dyDescent="0.25">
      <c r="A1844" s="24" t="s">
        <v>1860</v>
      </c>
      <c r="B1844" s="24" t="s">
        <v>115</v>
      </c>
      <c r="C1844" s="24" t="s">
        <v>1837</v>
      </c>
      <c r="D1844" s="25">
        <v>8927</v>
      </c>
      <c r="E1844" s="25">
        <v>102705</v>
      </c>
      <c r="F1844" s="26">
        <v>7508</v>
      </c>
      <c r="G1844" s="27">
        <v>7.3102574999999996</v>
      </c>
    </row>
    <row r="1845" spans="1:7" hidden="1" x14ac:dyDescent="0.25">
      <c r="A1845" s="24" t="s">
        <v>1861</v>
      </c>
      <c r="B1845" s="24" t="s">
        <v>115</v>
      </c>
      <c r="C1845" s="24" t="s">
        <v>283</v>
      </c>
      <c r="D1845" s="25">
        <v>48758</v>
      </c>
      <c r="E1845" s="25">
        <v>1271903</v>
      </c>
      <c r="F1845" s="26">
        <v>121431</v>
      </c>
      <c r="G1845" s="27">
        <v>9.5471903000000005</v>
      </c>
    </row>
    <row r="1846" spans="1:7" hidden="1" x14ac:dyDescent="0.25">
      <c r="A1846" s="24" t="s">
        <v>1862</v>
      </c>
      <c r="B1846" s="24" t="s">
        <v>115</v>
      </c>
      <c r="C1846" s="24" t="s">
        <v>1837</v>
      </c>
      <c r="D1846" s="25">
        <v>118</v>
      </c>
      <c r="E1846" s="25">
        <v>6836535</v>
      </c>
      <c r="F1846" s="26">
        <v>386587.4</v>
      </c>
      <c r="G1846" s="27">
        <v>5.6547270999999997</v>
      </c>
    </row>
    <row r="1847" spans="1:7" hidden="1" x14ac:dyDescent="0.25">
      <c r="A1847" s="24" t="s">
        <v>1863</v>
      </c>
      <c r="B1847" s="24" t="s">
        <v>115</v>
      </c>
      <c r="C1847" s="24" t="s">
        <v>1837</v>
      </c>
      <c r="D1847" s="25">
        <v>1</v>
      </c>
      <c r="E1847" s="25">
        <v>211609</v>
      </c>
      <c r="F1847" s="26">
        <v>7249.9</v>
      </c>
      <c r="G1847" s="27">
        <v>3.4260830000000002</v>
      </c>
    </row>
    <row r="1848" spans="1:7" hidden="1" x14ac:dyDescent="0.25">
      <c r="A1848" s="24" t="s">
        <v>1864</v>
      </c>
      <c r="B1848" s="24" t="s">
        <v>115</v>
      </c>
      <c r="C1848" s="24" t="s">
        <v>281</v>
      </c>
      <c r="D1848" s="25">
        <v>39865</v>
      </c>
      <c r="E1848" s="25">
        <v>532115</v>
      </c>
      <c r="F1848" s="26">
        <v>59861</v>
      </c>
      <c r="G1848" s="27">
        <v>11.249636000000001</v>
      </c>
    </row>
    <row r="1849" spans="1:7" hidden="1" x14ac:dyDescent="0.25">
      <c r="A1849" s="24" t="s">
        <v>1865</v>
      </c>
      <c r="B1849" s="24" t="s">
        <v>115</v>
      </c>
      <c r="C1849" s="24" t="s">
        <v>1837</v>
      </c>
      <c r="D1849" s="25">
        <v>123071</v>
      </c>
      <c r="E1849" s="25">
        <v>6820777</v>
      </c>
      <c r="F1849" s="26">
        <v>536809.9</v>
      </c>
      <c r="G1849" s="27">
        <v>7.8702163000000001</v>
      </c>
    </row>
    <row r="1850" spans="1:7" hidden="1" x14ac:dyDescent="0.25">
      <c r="A1850" s="24" t="s">
        <v>1866</v>
      </c>
      <c r="B1850" s="24" t="s">
        <v>115</v>
      </c>
      <c r="C1850" s="24" t="s">
        <v>281</v>
      </c>
      <c r="D1850" s="25">
        <v>20383</v>
      </c>
      <c r="E1850" s="25">
        <v>335051</v>
      </c>
      <c r="F1850" s="26">
        <v>40225</v>
      </c>
      <c r="G1850" s="27">
        <v>12.005635</v>
      </c>
    </row>
    <row r="1851" spans="1:7" hidden="1" x14ac:dyDescent="0.25">
      <c r="A1851" s="24" t="s">
        <v>1867</v>
      </c>
      <c r="B1851" s="24" t="s">
        <v>115</v>
      </c>
      <c r="C1851" s="24" t="s">
        <v>283</v>
      </c>
      <c r="D1851" s="25">
        <v>5341</v>
      </c>
      <c r="E1851" s="25">
        <v>132474</v>
      </c>
      <c r="F1851" s="26">
        <v>15678</v>
      </c>
      <c r="G1851" s="27">
        <v>11.834775</v>
      </c>
    </row>
    <row r="1852" spans="1:7" hidden="1" x14ac:dyDescent="0.25">
      <c r="A1852" s="24" t="s">
        <v>1868</v>
      </c>
      <c r="B1852" s="24" t="s">
        <v>115</v>
      </c>
      <c r="C1852" s="24" t="s">
        <v>283</v>
      </c>
      <c r="D1852" s="25">
        <v>7111</v>
      </c>
      <c r="E1852" s="25">
        <v>270776</v>
      </c>
      <c r="F1852" s="26">
        <v>21690.7</v>
      </c>
      <c r="G1852" s="27">
        <v>8.0105696000000002</v>
      </c>
    </row>
    <row r="1853" spans="1:7" hidden="1" x14ac:dyDescent="0.25">
      <c r="A1853" s="24" t="s">
        <v>1869</v>
      </c>
      <c r="B1853" s="24" t="s">
        <v>115</v>
      </c>
      <c r="C1853" s="24" t="s">
        <v>283</v>
      </c>
      <c r="D1853" s="25">
        <v>55497</v>
      </c>
      <c r="E1853" s="25">
        <v>1400442</v>
      </c>
      <c r="F1853" s="26">
        <v>133945</v>
      </c>
      <c r="G1853" s="27">
        <v>9.5644804000000008</v>
      </c>
    </row>
    <row r="1854" spans="1:7" hidden="1" x14ac:dyDescent="0.25">
      <c r="A1854" s="24" t="s">
        <v>1870</v>
      </c>
      <c r="B1854" s="24" t="s">
        <v>115</v>
      </c>
      <c r="C1854" s="24" t="s">
        <v>283</v>
      </c>
      <c r="D1854" s="25">
        <v>41647</v>
      </c>
      <c r="E1854" s="25">
        <v>822771</v>
      </c>
      <c r="F1854" s="26">
        <v>100155</v>
      </c>
      <c r="G1854" s="27">
        <v>12.172889</v>
      </c>
    </row>
    <row r="1855" spans="1:7" hidden="1" x14ac:dyDescent="0.25">
      <c r="A1855" s="24" t="s">
        <v>1871</v>
      </c>
      <c r="B1855" s="24" t="s">
        <v>115</v>
      </c>
      <c r="C1855" s="24" t="s">
        <v>283</v>
      </c>
      <c r="D1855" s="25">
        <v>3598</v>
      </c>
      <c r="E1855" s="25">
        <v>90862</v>
      </c>
      <c r="F1855" s="26">
        <v>8801.2999999999993</v>
      </c>
      <c r="G1855" s="27">
        <v>9.6864475999999993</v>
      </c>
    </row>
    <row r="1856" spans="1:7" hidden="1" x14ac:dyDescent="0.25">
      <c r="A1856" s="24" t="s">
        <v>1872</v>
      </c>
      <c r="B1856" s="24" t="s">
        <v>115</v>
      </c>
      <c r="C1856" s="24" t="s">
        <v>283</v>
      </c>
      <c r="D1856" s="25">
        <v>52812</v>
      </c>
      <c r="E1856" s="25">
        <v>1446082</v>
      </c>
      <c r="F1856" s="26">
        <v>143288.5</v>
      </c>
      <c r="G1856" s="27">
        <v>9.9087396000000005</v>
      </c>
    </row>
    <row r="1857" spans="1:7" hidden="1" x14ac:dyDescent="0.25">
      <c r="A1857" s="24" t="s">
        <v>1873</v>
      </c>
      <c r="B1857" s="24" t="s">
        <v>115</v>
      </c>
      <c r="C1857" s="24" t="s">
        <v>283</v>
      </c>
      <c r="D1857" s="25">
        <v>15712</v>
      </c>
      <c r="E1857" s="25">
        <v>325967</v>
      </c>
      <c r="F1857" s="26">
        <v>38816.1</v>
      </c>
      <c r="G1857" s="27">
        <v>11.907985</v>
      </c>
    </row>
    <row r="1858" spans="1:7" hidden="1" x14ac:dyDescent="0.25">
      <c r="A1858" s="24" t="s">
        <v>1874</v>
      </c>
      <c r="B1858" s="24" t="s">
        <v>115</v>
      </c>
      <c r="C1858" s="24" t="s">
        <v>283</v>
      </c>
      <c r="D1858" s="25">
        <v>5652</v>
      </c>
      <c r="E1858" s="25">
        <v>132085</v>
      </c>
      <c r="F1858" s="26">
        <v>11225</v>
      </c>
      <c r="G1858" s="27">
        <v>8.4983155000000004</v>
      </c>
    </row>
    <row r="1859" spans="1:7" hidden="1" x14ac:dyDescent="0.25">
      <c r="A1859" s="24" t="s">
        <v>1875</v>
      </c>
      <c r="B1859" s="24" t="s">
        <v>115</v>
      </c>
      <c r="C1859" s="24" t="s">
        <v>283</v>
      </c>
      <c r="D1859" s="25">
        <v>69929</v>
      </c>
      <c r="E1859" s="25">
        <v>1887188</v>
      </c>
      <c r="F1859" s="26">
        <v>172300</v>
      </c>
      <c r="G1859" s="27">
        <v>9.1299860000000006</v>
      </c>
    </row>
    <row r="1860" spans="1:7" hidden="1" x14ac:dyDescent="0.25">
      <c r="A1860" s="24" t="s">
        <v>1876</v>
      </c>
      <c r="B1860" s="24" t="s">
        <v>115</v>
      </c>
      <c r="C1860" s="24" t="s">
        <v>283</v>
      </c>
      <c r="D1860" s="25">
        <v>25460</v>
      </c>
      <c r="E1860" s="25">
        <v>621464</v>
      </c>
      <c r="F1860" s="26">
        <v>65001.4</v>
      </c>
      <c r="G1860" s="27">
        <v>10.459398999999999</v>
      </c>
    </row>
    <row r="1861" spans="1:7" hidden="1" x14ac:dyDescent="0.25">
      <c r="A1861" s="24" t="s">
        <v>1877</v>
      </c>
      <c r="B1861" s="24" t="s">
        <v>115</v>
      </c>
      <c r="C1861" s="24" t="s">
        <v>283</v>
      </c>
      <c r="D1861" s="25">
        <v>16434</v>
      </c>
      <c r="E1861" s="25">
        <v>506087</v>
      </c>
      <c r="F1861" s="26">
        <v>48863.5</v>
      </c>
      <c r="G1861" s="27">
        <v>9.6551580999999995</v>
      </c>
    </row>
    <row r="1862" spans="1:7" hidden="1" x14ac:dyDescent="0.25">
      <c r="A1862" s="24" t="s">
        <v>1878</v>
      </c>
      <c r="B1862" s="24" t="s">
        <v>115</v>
      </c>
      <c r="C1862" s="24" t="s">
        <v>283</v>
      </c>
      <c r="D1862" s="25">
        <v>4423</v>
      </c>
      <c r="E1862" s="25">
        <v>90220</v>
      </c>
      <c r="F1862" s="26">
        <v>11892</v>
      </c>
      <c r="G1862" s="27">
        <v>13.181113</v>
      </c>
    </row>
    <row r="1863" spans="1:7" hidden="1" x14ac:dyDescent="0.25">
      <c r="A1863" s="24" t="s">
        <v>1879</v>
      </c>
      <c r="B1863" s="24" t="s">
        <v>115</v>
      </c>
      <c r="C1863" s="24" t="s">
        <v>283</v>
      </c>
      <c r="D1863" s="25">
        <v>4308</v>
      </c>
      <c r="E1863" s="25">
        <v>101410</v>
      </c>
      <c r="F1863" s="26">
        <v>10664</v>
      </c>
      <c r="G1863" s="27">
        <v>10.515727999999999</v>
      </c>
    </row>
    <row r="1864" spans="1:7" hidden="1" x14ac:dyDescent="0.25">
      <c r="A1864" s="24" t="s">
        <v>1880</v>
      </c>
      <c r="B1864" s="24" t="s">
        <v>115</v>
      </c>
      <c r="C1864" s="24" t="s">
        <v>283</v>
      </c>
      <c r="D1864" s="25">
        <v>3663</v>
      </c>
      <c r="E1864" s="25">
        <v>170447</v>
      </c>
      <c r="F1864" s="26">
        <v>15739.8</v>
      </c>
      <c r="G1864" s="27">
        <v>9.2344247999999993</v>
      </c>
    </row>
    <row r="1865" spans="1:7" hidden="1" x14ac:dyDescent="0.25">
      <c r="A1865" s="24" t="s">
        <v>1881</v>
      </c>
      <c r="B1865" s="24" t="s">
        <v>115</v>
      </c>
      <c r="C1865" s="24" t="s">
        <v>283</v>
      </c>
      <c r="D1865" s="25">
        <v>5383</v>
      </c>
      <c r="E1865" s="25">
        <v>103836</v>
      </c>
      <c r="F1865" s="26">
        <v>10726.2</v>
      </c>
      <c r="G1865" s="27">
        <v>10.329943</v>
      </c>
    </row>
    <row r="1866" spans="1:7" hidden="1" x14ac:dyDescent="0.25">
      <c r="A1866" s="24" t="s">
        <v>1882</v>
      </c>
      <c r="B1866" s="24" t="s">
        <v>115</v>
      </c>
      <c r="C1866" s="24" t="s">
        <v>283</v>
      </c>
      <c r="D1866" s="25">
        <v>105106</v>
      </c>
      <c r="E1866" s="25">
        <v>2503027</v>
      </c>
      <c r="F1866" s="26">
        <v>242308.7</v>
      </c>
      <c r="G1866" s="27">
        <v>9.6806266999999995</v>
      </c>
    </row>
    <row r="1867" spans="1:7" hidden="1" x14ac:dyDescent="0.25">
      <c r="A1867" s="24" t="s">
        <v>1883</v>
      </c>
      <c r="B1867" s="24" t="s">
        <v>115</v>
      </c>
      <c r="C1867" s="24" t="s">
        <v>283</v>
      </c>
      <c r="D1867" s="25">
        <v>40035</v>
      </c>
      <c r="E1867" s="25">
        <v>1543101</v>
      </c>
      <c r="F1867" s="26">
        <v>101661.9</v>
      </c>
      <c r="G1867" s="27">
        <v>6.5881559000000003</v>
      </c>
    </row>
    <row r="1868" spans="1:7" hidden="1" x14ac:dyDescent="0.25">
      <c r="A1868" s="24" t="s">
        <v>1884</v>
      </c>
      <c r="B1868" s="24" t="s">
        <v>115</v>
      </c>
      <c r="C1868" s="24" t="s">
        <v>283</v>
      </c>
      <c r="D1868" s="25">
        <v>811116</v>
      </c>
      <c r="E1868" s="25">
        <v>21678730</v>
      </c>
      <c r="F1868" s="26">
        <v>2152328</v>
      </c>
      <c r="G1868" s="27">
        <v>9.9282938000000005</v>
      </c>
    </row>
    <row r="1869" spans="1:7" hidden="1" x14ac:dyDescent="0.25">
      <c r="A1869" s="24" t="s">
        <v>1885</v>
      </c>
      <c r="B1869" s="24" t="s">
        <v>115</v>
      </c>
      <c r="C1869" s="24" t="s">
        <v>283</v>
      </c>
      <c r="D1869" s="25">
        <v>24118</v>
      </c>
      <c r="E1869" s="25">
        <v>609867</v>
      </c>
      <c r="F1869" s="26">
        <v>65404</v>
      </c>
      <c r="G1869" s="27">
        <v>10.724304999999999</v>
      </c>
    </row>
    <row r="1870" spans="1:7" hidden="1" x14ac:dyDescent="0.25">
      <c r="A1870" s="24" t="s">
        <v>1886</v>
      </c>
      <c r="B1870" s="24" t="s">
        <v>115</v>
      </c>
      <c r="C1870" s="24" t="s">
        <v>283</v>
      </c>
      <c r="D1870" s="25">
        <v>8549</v>
      </c>
      <c r="E1870" s="25">
        <v>315279</v>
      </c>
      <c r="F1870" s="26">
        <v>29862</v>
      </c>
      <c r="G1870" s="27">
        <v>9.4716108999999999</v>
      </c>
    </row>
    <row r="1871" spans="1:7" hidden="1" x14ac:dyDescent="0.25">
      <c r="A1871" s="24" t="s">
        <v>1887</v>
      </c>
      <c r="B1871" s="24" t="s">
        <v>115</v>
      </c>
      <c r="C1871" s="24" t="s">
        <v>1837</v>
      </c>
      <c r="D1871" s="25">
        <v>10174</v>
      </c>
      <c r="E1871" s="25">
        <v>86308</v>
      </c>
      <c r="F1871" s="26">
        <v>17075</v>
      </c>
      <c r="G1871" s="27">
        <v>19.783798000000001</v>
      </c>
    </row>
    <row r="1872" spans="1:7" hidden="1" x14ac:dyDescent="0.25">
      <c r="A1872" s="24" t="s">
        <v>1888</v>
      </c>
      <c r="B1872" s="24" t="s">
        <v>115</v>
      </c>
      <c r="C1872" s="24" t="s">
        <v>281</v>
      </c>
      <c r="D1872" s="25">
        <v>8751</v>
      </c>
      <c r="E1872" s="25">
        <v>113417</v>
      </c>
      <c r="F1872" s="26">
        <v>11835.2</v>
      </c>
      <c r="G1872" s="27">
        <v>10.43512</v>
      </c>
    </row>
    <row r="1873" spans="1:7" hidden="1" x14ac:dyDescent="0.25">
      <c r="A1873" s="24" t="s">
        <v>1889</v>
      </c>
      <c r="B1873" s="24" t="s">
        <v>115</v>
      </c>
      <c r="C1873" s="24" t="s">
        <v>281</v>
      </c>
      <c r="D1873" s="25">
        <v>16880</v>
      </c>
      <c r="E1873" s="25">
        <v>242281</v>
      </c>
      <c r="F1873" s="26">
        <v>23354</v>
      </c>
      <c r="G1873" s="27">
        <v>9.6392205999999998</v>
      </c>
    </row>
    <row r="1874" spans="1:7" hidden="1" x14ac:dyDescent="0.25">
      <c r="A1874" s="24" t="s">
        <v>1890</v>
      </c>
      <c r="B1874" s="24" t="s">
        <v>115</v>
      </c>
      <c r="C1874" s="24" t="s">
        <v>281</v>
      </c>
      <c r="D1874" s="25">
        <v>14554</v>
      </c>
      <c r="E1874" s="25">
        <v>307053</v>
      </c>
      <c r="F1874" s="26">
        <v>30199.4</v>
      </c>
      <c r="G1874" s="27">
        <v>9.8352401999999994</v>
      </c>
    </row>
    <row r="1875" spans="1:7" hidden="1" x14ac:dyDescent="0.25">
      <c r="A1875" s="24" t="s">
        <v>1891</v>
      </c>
      <c r="B1875" s="24" t="s">
        <v>115</v>
      </c>
      <c r="C1875" s="24" t="s">
        <v>1837</v>
      </c>
      <c r="D1875" s="25">
        <v>5</v>
      </c>
      <c r="E1875" s="25">
        <v>335078</v>
      </c>
      <c r="F1875" s="26">
        <v>11807.6</v>
      </c>
      <c r="G1875" s="27">
        <v>3.5238361999999999</v>
      </c>
    </row>
    <row r="1876" spans="1:7" hidden="1" x14ac:dyDescent="0.25">
      <c r="A1876" s="24" t="s">
        <v>1892</v>
      </c>
      <c r="B1876" s="24" t="s">
        <v>115</v>
      </c>
      <c r="C1876" s="24" t="s">
        <v>1837</v>
      </c>
      <c r="D1876" s="25">
        <v>28935</v>
      </c>
      <c r="E1876" s="25">
        <v>296315</v>
      </c>
      <c r="F1876" s="26">
        <v>33563.699999999997</v>
      </c>
      <c r="G1876" s="27">
        <v>11.327033999999999</v>
      </c>
    </row>
    <row r="1877" spans="1:7" hidden="1" x14ac:dyDescent="0.25">
      <c r="A1877" s="24" t="s">
        <v>1893</v>
      </c>
      <c r="B1877" s="24" t="s">
        <v>115</v>
      </c>
      <c r="C1877" s="24" t="s">
        <v>1837</v>
      </c>
      <c r="D1877" s="25">
        <v>1723</v>
      </c>
      <c r="E1877" s="25">
        <v>257675</v>
      </c>
      <c r="F1877" s="26">
        <v>21384.6</v>
      </c>
      <c r="G1877" s="27">
        <v>8.2990589000000003</v>
      </c>
    </row>
    <row r="1878" spans="1:7" hidden="1" x14ac:dyDescent="0.25">
      <c r="A1878" s="24" t="s">
        <v>1894</v>
      </c>
      <c r="B1878" s="24" t="s">
        <v>115</v>
      </c>
      <c r="C1878" s="24" t="s">
        <v>1837</v>
      </c>
      <c r="D1878" s="25">
        <v>125287</v>
      </c>
      <c r="E1878" s="25">
        <v>13177220</v>
      </c>
      <c r="F1878" s="26">
        <v>911196</v>
      </c>
      <c r="G1878" s="27">
        <v>6.9149335000000001</v>
      </c>
    </row>
    <row r="1879" spans="1:7" hidden="1" x14ac:dyDescent="0.25">
      <c r="A1879" s="24" t="s">
        <v>1895</v>
      </c>
      <c r="B1879" s="24" t="s">
        <v>115</v>
      </c>
      <c r="C1879" s="24" t="s">
        <v>281</v>
      </c>
      <c r="D1879" s="25">
        <v>16188</v>
      </c>
      <c r="E1879" s="25">
        <v>477776</v>
      </c>
      <c r="F1879" s="26">
        <v>39344</v>
      </c>
      <c r="G1879" s="27">
        <v>8.2348213000000001</v>
      </c>
    </row>
    <row r="1880" spans="1:7" hidden="1" x14ac:dyDescent="0.25">
      <c r="A1880" s="24" t="s">
        <v>1896</v>
      </c>
      <c r="B1880" s="24" t="s">
        <v>115</v>
      </c>
      <c r="C1880" s="24" t="s">
        <v>1837</v>
      </c>
      <c r="D1880" s="25">
        <v>8</v>
      </c>
      <c r="E1880" s="25">
        <v>1456048</v>
      </c>
      <c r="F1880" s="26">
        <v>42673.8</v>
      </c>
      <c r="G1880" s="27">
        <v>2.9307962000000001</v>
      </c>
    </row>
    <row r="1881" spans="1:7" hidden="1" x14ac:dyDescent="0.25">
      <c r="A1881" s="24" t="s">
        <v>1897</v>
      </c>
      <c r="B1881" s="24" t="s">
        <v>115</v>
      </c>
      <c r="C1881" s="24" t="s">
        <v>281</v>
      </c>
      <c r="D1881" s="25">
        <v>14448</v>
      </c>
      <c r="E1881" s="25">
        <v>563250</v>
      </c>
      <c r="F1881" s="26">
        <v>48992.9</v>
      </c>
      <c r="G1881" s="27">
        <v>8.6982511999999996</v>
      </c>
    </row>
    <row r="1882" spans="1:7" hidden="1" x14ac:dyDescent="0.25">
      <c r="A1882" s="24" t="s">
        <v>1898</v>
      </c>
      <c r="B1882" s="24" t="s">
        <v>115</v>
      </c>
      <c r="C1882" s="24" t="s">
        <v>281</v>
      </c>
      <c r="D1882" s="25">
        <v>42304</v>
      </c>
      <c r="E1882" s="25">
        <v>729651</v>
      </c>
      <c r="F1882" s="26">
        <v>80325</v>
      </c>
      <c r="G1882" s="27">
        <v>11.008687999999999</v>
      </c>
    </row>
    <row r="1883" spans="1:7" hidden="1" x14ac:dyDescent="0.25">
      <c r="A1883" s="24" t="s">
        <v>1899</v>
      </c>
      <c r="B1883" s="24" t="s">
        <v>115</v>
      </c>
      <c r="C1883" s="24" t="s">
        <v>281</v>
      </c>
      <c r="D1883" s="25">
        <v>222654</v>
      </c>
      <c r="E1883" s="25">
        <v>4978874</v>
      </c>
      <c r="F1883" s="26">
        <v>452731</v>
      </c>
      <c r="G1883" s="27">
        <v>9.0930399000000008</v>
      </c>
    </row>
    <row r="1884" spans="1:7" hidden="1" x14ac:dyDescent="0.25">
      <c r="A1884" s="24" t="s">
        <v>1900</v>
      </c>
      <c r="B1884" s="24" t="s">
        <v>115</v>
      </c>
      <c r="C1884" s="24" t="s">
        <v>1837</v>
      </c>
      <c r="D1884" s="25">
        <v>600253</v>
      </c>
      <c r="E1884" s="25">
        <v>7398029</v>
      </c>
      <c r="F1884" s="26">
        <v>865916.2</v>
      </c>
      <c r="G1884" s="27">
        <v>11.704688000000001</v>
      </c>
    </row>
    <row r="1885" spans="1:7" hidden="1" x14ac:dyDescent="0.25">
      <c r="A1885" s="24" t="s">
        <v>1901</v>
      </c>
      <c r="B1885" s="24" t="s">
        <v>115</v>
      </c>
      <c r="C1885" s="24" t="s">
        <v>1837</v>
      </c>
      <c r="D1885" s="25">
        <v>80099</v>
      </c>
      <c r="E1885" s="25">
        <v>1583736</v>
      </c>
      <c r="F1885" s="26">
        <v>88963.3</v>
      </c>
      <c r="G1885" s="27">
        <v>5.6173061999999998</v>
      </c>
    </row>
    <row r="1886" spans="1:7" hidden="1" x14ac:dyDescent="0.25">
      <c r="A1886" s="24" t="s">
        <v>1902</v>
      </c>
      <c r="B1886" s="24" t="s">
        <v>115</v>
      </c>
      <c r="C1886" s="24" t="s">
        <v>1837</v>
      </c>
      <c r="D1886" s="25">
        <v>55</v>
      </c>
      <c r="E1886" s="25">
        <v>14812916</v>
      </c>
      <c r="F1886" s="26">
        <v>584610.5</v>
      </c>
      <c r="G1886" s="27">
        <v>3.9466266999999999</v>
      </c>
    </row>
    <row r="1887" spans="1:7" hidden="1" x14ac:dyDescent="0.25">
      <c r="A1887" s="24" t="s">
        <v>1903</v>
      </c>
      <c r="B1887" s="24" t="s">
        <v>115</v>
      </c>
      <c r="C1887" s="24" t="s">
        <v>1837</v>
      </c>
      <c r="D1887" s="25">
        <v>4093</v>
      </c>
      <c r="E1887" s="25">
        <v>10782709</v>
      </c>
      <c r="F1887" s="26">
        <v>654263</v>
      </c>
      <c r="G1887" s="27">
        <v>6.0677051999999998</v>
      </c>
    </row>
    <row r="1888" spans="1:7" hidden="1" x14ac:dyDescent="0.25">
      <c r="A1888" s="24" t="s">
        <v>1904</v>
      </c>
      <c r="B1888" s="24" t="s">
        <v>115</v>
      </c>
      <c r="C1888" s="24" t="s">
        <v>1837</v>
      </c>
      <c r="D1888" s="25">
        <v>2580</v>
      </c>
      <c r="E1888" s="25">
        <v>85824</v>
      </c>
      <c r="F1888" s="26">
        <v>7701.9</v>
      </c>
      <c r="G1888" s="27">
        <v>8.9740631999999998</v>
      </c>
    </row>
    <row r="1889" spans="1:7" hidden="1" x14ac:dyDescent="0.25">
      <c r="A1889" s="24" t="s">
        <v>1488</v>
      </c>
      <c r="B1889" s="24" t="s">
        <v>115</v>
      </c>
      <c r="C1889" s="24" t="s">
        <v>278</v>
      </c>
      <c r="D1889" s="25">
        <v>318055</v>
      </c>
      <c r="E1889" s="25">
        <v>6198304</v>
      </c>
      <c r="F1889" s="26">
        <v>647593</v>
      </c>
      <c r="G1889" s="27">
        <v>10.447906</v>
      </c>
    </row>
    <row r="1890" spans="1:7" hidden="1" x14ac:dyDescent="0.25">
      <c r="A1890" s="24" t="s">
        <v>1905</v>
      </c>
      <c r="B1890" s="24" t="s">
        <v>115</v>
      </c>
      <c r="C1890" s="24" t="s">
        <v>1837</v>
      </c>
      <c r="D1890" s="25">
        <v>29</v>
      </c>
      <c r="E1890" s="25">
        <v>2700</v>
      </c>
      <c r="F1890" s="26">
        <v>68.7</v>
      </c>
      <c r="G1890" s="27">
        <v>2.5444444000000002</v>
      </c>
    </row>
    <row r="1891" spans="1:7" hidden="1" x14ac:dyDescent="0.25">
      <c r="A1891" s="24" t="s">
        <v>1906</v>
      </c>
      <c r="B1891" s="24" t="s">
        <v>115</v>
      </c>
      <c r="C1891" s="24" t="s">
        <v>1837</v>
      </c>
      <c r="D1891" s="25">
        <v>555</v>
      </c>
      <c r="E1891" s="25">
        <v>9122</v>
      </c>
      <c r="F1891" s="26">
        <v>920</v>
      </c>
      <c r="G1891" s="27">
        <v>10.085508000000001</v>
      </c>
    </row>
    <row r="1892" spans="1:7" hidden="1" x14ac:dyDescent="0.25">
      <c r="A1892" s="24" t="s">
        <v>1907</v>
      </c>
      <c r="B1892" s="24" t="s">
        <v>115</v>
      </c>
      <c r="C1892" s="24" t="s">
        <v>278</v>
      </c>
      <c r="D1892" s="25">
        <v>446771</v>
      </c>
      <c r="E1892" s="25">
        <v>18058445</v>
      </c>
      <c r="F1892" s="26">
        <v>1386926.6</v>
      </c>
      <c r="G1892" s="27">
        <v>7.6802105999999997</v>
      </c>
    </row>
    <row r="1893" spans="1:7" hidden="1" x14ac:dyDescent="0.25">
      <c r="A1893" s="24" t="s">
        <v>1908</v>
      </c>
      <c r="B1893" s="24" t="s">
        <v>115</v>
      </c>
      <c r="C1893" s="24" t="s">
        <v>1837</v>
      </c>
      <c r="D1893" s="25">
        <v>72708</v>
      </c>
      <c r="E1893" s="25">
        <v>1375478</v>
      </c>
      <c r="F1893" s="26">
        <v>149976.20000000001</v>
      </c>
      <c r="G1893" s="27">
        <v>10.90357</v>
      </c>
    </row>
    <row r="1894" spans="1:7" hidden="1" x14ac:dyDescent="0.25">
      <c r="A1894" s="24" t="s">
        <v>1909</v>
      </c>
      <c r="B1894" s="24" t="s">
        <v>115</v>
      </c>
      <c r="C1894" s="24" t="s">
        <v>1837</v>
      </c>
      <c r="D1894" s="25">
        <v>3684</v>
      </c>
      <c r="E1894" s="25">
        <v>19946</v>
      </c>
      <c r="F1894" s="26">
        <v>2296.9</v>
      </c>
      <c r="G1894" s="27">
        <v>11.515592</v>
      </c>
    </row>
    <row r="1895" spans="1:7" hidden="1" x14ac:dyDescent="0.25">
      <c r="A1895" s="24" t="s">
        <v>1910</v>
      </c>
      <c r="B1895" s="24" t="s">
        <v>115</v>
      </c>
      <c r="C1895" s="24" t="s">
        <v>281</v>
      </c>
      <c r="D1895" s="25">
        <v>9937</v>
      </c>
      <c r="E1895" s="25">
        <v>140593</v>
      </c>
      <c r="F1895" s="26">
        <v>19273</v>
      </c>
      <c r="G1895" s="27">
        <v>13.708364</v>
      </c>
    </row>
    <row r="1896" spans="1:7" hidden="1" x14ac:dyDescent="0.25">
      <c r="A1896" s="24" t="s">
        <v>1911</v>
      </c>
      <c r="B1896" s="24" t="s">
        <v>115</v>
      </c>
      <c r="C1896" s="24" t="s">
        <v>281</v>
      </c>
      <c r="D1896" s="25">
        <v>60868</v>
      </c>
      <c r="E1896" s="25">
        <v>1095118</v>
      </c>
      <c r="F1896" s="26">
        <v>127543</v>
      </c>
      <c r="G1896" s="27">
        <v>11.646507</v>
      </c>
    </row>
    <row r="1897" spans="1:7" hidden="1" x14ac:dyDescent="0.25">
      <c r="A1897" s="24" t="s">
        <v>1912</v>
      </c>
      <c r="B1897" s="24" t="s">
        <v>115</v>
      </c>
      <c r="C1897" s="24" t="s">
        <v>281</v>
      </c>
      <c r="D1897" s="25">
        <v>14513</v>
      </c>
      <c r="E1897" s="25">
        <v>280679</v>
      </c>
      <c r="F1897" s="26">
        <v>31637</v>
      </c>
      <c r="G1897" s="27">
        <v>11.271595</v>
      </c>
    </row>
    <row r="1898" spans="1:7" hidden="1" x14ac:dyDescent="0.25">
      <c r="A1898" s="24" t="s">
        <v>1913</v>
      </c>
      <c r="B1898" s="24" t="s">
        <v>115</v>
      </c>
      <c r="C1898" s="24" t="s">
        <v>281</v>
      </c>
      <c r="D1898" s="25">
        <v>6119</v>
      </c>
      <c r="E1898" s="25">
        <v>122373</v>
      </c>
      <c r="F1898" s="26">
        <v>10570</v>
      </c>
      <c r="G1898" s="27">
        <v>8.6375262999999993</v>
      </c>
    </row>
    <row r="1899" spans="1:7" hidden="1" x14ac:dyDescent="0.25">
      <c r="A1899" s="24" t="s">
        <v>1914</v>
      </c>
      <c r="B1899" s="24" t="s">
        <v>115</v>
      </c>
      <c r="C1899" s="24" t="s">
        <v>1837</v>
      </c>
      <c r="D1899" s="25">
        <v>51460</v>
      </c>
      <c r="E1899" s="25">
        <v>819401</v>
      </c>
      <c r="F1899" s="26">
        <v>85203.6</v>
      </c>
      <c r="G1899" s="27">
        <v>10.398279</v>
      </c>
    </row>
    <row r="1900" spans="1:7" hidden="1" x14ac:dyDescent="0.25">
      <c r="A1900" s="24" t="s">
        <v>1915</v>
      </c>
      <c r="B1900" s="24" t="s">
        <v>115</v>
      </c>
      <c r="C1900" s="24" t="s">
        <v>281</v>
      </c>
      <c r="D1900" s="25">
        <v>50387</v>
      </c>
      <c r="E1900" s="25">
        <v>896369</v>
      </c>
      <c r="F1900" s="26">
        <v>114853</v>
      </c>
      <c r="G1900" s="27">
        <v>12.813138</v>
      </c>
    </row>
    <row r="1901" spans="1:7" hidden="1" x14ac:dyDescent="0.25">
      <c r="A1901" s="24" t="s">
        <v>1916</v>
      </c>
      <c r="B1901" s="24" t="s">
        <v>115</v>
      </c>
      <c r="C1901" s="24" t="s">
        <v>1837</v>
      </c>
      <c r="D1901" s="25">
        <v>407381</v>
      </c>
      <c r="E1901" s="25">
        <v>7568497</v>
      </c>
      <c r="F1901" s="26">
        <v>753554.6</v>
      </c>
      <c r="G1901" s="27">
        <v>9.9564629999999994</v>
      </c>
    </row>
    <row r="1902" spans="1:7" hidden="1" x14ac:dyDescent="0.25">
      <c r="A1902" s="24" t="s">
        <v>1917</v>
      </c>
      <c r="B1902" s="24" t="s">
        <v>115</v>
      </c>
      <c r="C1902" s="24" t="s">
        <v>281</v>
      </c>
      <c r="D1902" s="25">
        <v>5344</v>
      </c>
      <c r="E1902" s="25">
        <v>233814</v>
      </c>
      <c r="F1902" s="26">
        <v>22695</v>
      </c>
      <c r="G1902" s="27">
        <v>9.7064333000000005</v>
      </c>
    </row>
    <row r="1903" spans="1:7" hidden="1" x14ac:dyDescent="0.25">
      <c r="A1903" s="24" t="s">
        <v>1918</v>
      </c>
      <c r="B1903" s="24" t="s">
        <v>115</v>
      </c>
      <c r="C1903" s="24" t="s">
        <v>1837</v>
      </c>
      <c r="D1903" s="25">
        <v>1387</v>
      </c>
      <c r="E1903" s="25">
        <v>18811</v>
      </c>
      <c r="F1903" s="26">
        <v>1569</v>
      </c>
      <c r="G1903" s="27">
        <v>8.3408643999999992</v>
      </c>
    </row>
    <row r="1904" spans="1:7" hidden="1" x14ac:dyDescent="0.25">
      <c r="A1904" s="24" t="s">
        <v>1919</v>
      </c>
      <c r="B1904" s="24" t="s">
        <v>115</v>
      </c>
      <c r="C1904" s="24" t="s">
        <v>281</v>
      </c>
      <c r="D1904" s="25">
        <v>81879</v>
      </c>
      <c r="E1904" s="25">
        <v>2394364</v>
      </c>
      <c r="F1904" s="26">
        <v>197321.5</v>
      </c>
      <c r="G1904" s="27">
        <v>8.2410820000000005</v>
      </c>
    </row>
    <row r="1905" spans="1:7" hidden="1" x14ac:dyDescent="0.25">
      <c r="A1905" s="24" t="s">
        <v>1920</v>
      </c>
      <c r="B1905" s="24" t="s">
        <v>115</v>
      </c>
      <c r="C1905" s="24" t="s">
        <v>281</v>
      </c>
      <c r="D1905" s="25">
        <v>27195</v>
      </c>
      <c r="E1905" s="25">
        <v>506878</v>
      </c>
      <c r="F1905" s="26">
        <v>52433</v>
      </c>
      <c r="G1905" s="27">
        <v>10.344303999999999</v>
      </c>
    </row>
    <row r="1906" spans="1:7" hidden="1" x14ac:dyDescent="0.25">
      <c r="A1906" s="24" t="s">
        <v>1921</v>
      </c>
      <c r="B1906" s="24" t="s">
        <v>115</v>
      </c>
      <c r="C1906" s="24" t="s">
        <v>281</v>
      </c>
      <c r="D1906" s="25">
        <v>18007</v>
      </c>
      <c r="E1906" s="25">
        <v>211812</v>
      </c>
      <c r="F1906" s="26">
        <v>23467.5</v>
      </c>
      <c r="G1906" s="27">
        <v>11.079401000000001</v>
      </c>
    </row>
    <row r="1907" spans="1:7" hidden="1" x14ac:dyDescent="0.25">
      <c r="A1907" s="24" t="s">
        <v>1922</v>
      </c>
      <c r="B1907" s="24" t="s">
        <v>115</v>
      </c>
      <c r="C1907" s="24" t="s">
        <v>281</v>
      </c>
      <c r="D1907" s="25">
        <v>21317</v>
      </c>
      <c r="E1907" s="25">
        <v>405932</v>
      </c>
      <c r="F1907" s="26">
        <v>36433</v>
      </c>
      <c r="G1907" s="27">
        <v>8.9751484999999995</v>
      </c>
    </row>
    <row r="1908" spans="1:7" hidden="1" x14ac:dyDescent="0.25">
      <c r="A1908" s="24" t="s">
        <v>1923</v>
      </c>
      <c r="B1908" s="24" t="s">
        <v>115</v>
      </c>
      <c r="C1908" s="24" t="s">
        <v>1837</v>
      </c>
      <c r="D1908" s="25">
        <v>43</v>
      </c>
      <c r="E1908" s="25">
        <v>35</v>
      </c>
      <c r="F1908" s="26">
        <v>3</v>
      </c>
      <c r="G1908" s="27">
        <v>8.5714286000000008</v>
      </c>
    </row>
    <row r="1909" spans="1:7" hidden="1" x14ac:dyDescent="0.25">
      <c r="A1909" s="24" t="s">
        <v>1924</v>
      </c>
      <c r="B1909" s="24" t="s">
        <v>115</v>
      </c>
      <c r="C1909" s="24" t="s">
        <v>1837</v>
      </c>
      <c r="D1909" s="25">
        <v>4318</v>
      </c>
      <c r="E1909" s="25">
        <v>180340</v>
      </c>
      <c r="F1909" s="26">
        <v>17072.8</v>
      </c>
      <c r="G1909" s="27">
        <v>9.4670068000000001</v>
      </c>
    </row>
    <row r="1910" spans="1:7" hidden="1" x14ac:dyDescent="0.25">
      <c r="A1910" s="24" t="s">
        <v>1925</v>
      </c>
      <c r="B1910" s="24" t="s">
        <v>115</v>
      </c>
      <c r="C1910" s="24" t="s">
        <v>281</v>
      </c>
      <c r="D1910" s="25">
        <v>21416</v>
      </c>
      <c r="E1910" s="25">
        <v>390791</v>
      </c>
      <c r="F1910" s="26">
        <v>41353.4</v>
      </c>
      <c r="G1910" s="27">
        <v>10.581973</v>
      </c>
    </row>
    <row r="1911" spans="1:7" hidden="1" x14ac:dyDescent="0.25">
      <c r="A1911" s="24" t="s">
        <v>1926</v>
      </c>
      <c r="B1911" s="24" t="s">
        <v>115</v>
      </c>
      <c r="C1911" s="24" t="s">
        <v>1837</v>
      </c>
      <c r="D1911" s="25">
        <v>37823</v>
      </c>
      <c r="E1911" s="25">
        <v>5187611</v>
      </c>
      <c r="F1911" s="26">
        <v>444359.5</v>
      </c>
      <c r="G1911" s="27">
        <v>8.5657829999999997</v>
      </c>
    </row>
    <row r="1912" spans="1:7" hidden="1" x14ac:dyDescent="0.25">
      <c r="A1912" s="24" t="s">
        <v>1927</v>
      </c>
      <c r="B1912" s="24" t="s">
        <v>115</v>
      </c>
      <c r="C1912" s="24" t="s">
        <v>1837</v>
      </c>
      <c r="D1912" s="25">
        <v>28374</v>
      </c>
      <c r="E1912" s="25">
        <v>647028</v>
      </c>
      <c r="F1912" s="26">
        <v>38023.599999999999</v>
      </c>
      <c r="G1912" s="27">
        <v>5.8766544999999999</v>
      </c>
    </row>
    <row r="1913" spans="1:7" hidden="1" x14ac:dyDescent="0.25">
      <c r="A1913" s="24" t="s">
        <v>1928</v>
      </c>
      <c r="B1913" s="24" t="s">
        <v>115</v>
      </c>
      <c r="C1913" s="24" t="s">
        <v>1837</v>
      </c>
      <c r="D1913" s="25">
        <v>14575</v>
      </c>
      <c r="E1913" s="25">
        <v>192574</v>
      </c>
      <c r="F1913" s="26">
        <v>17208</v>
      </c>
      <c r="G1913" s="27">
        <v>8.9357857000000003</v>
      </c>
    </row>
    <row r="1914" spans="1:7" hidden="1" x14ac:dyDescent="0.25">
      <c r="A1914" s="24" t="s">
        <v>1929</v>
      </c>
      <c r="B1914" s="24" t="s">
        <v>115</v>
      </c>
      <c r="C1914" s="24" t="s">
        <v>281</v>
      </c>
      <c r="D1914" s="25">
        <v>15793</v>
      </c>
      <c r="E1914" s="25">
        <v>731044</v>
      </c>
      <c r="F1914" s="26">
        <v>51638</v>
      </c>
      <c r="G1914" s="27">
        <v>7.0635966999999997</v>
      </c>
    </row>
    <row r="1915" spans="1:7" hidden="1" x14ac:dyDescent="0.25">
      <c r="A1915" s="24" t="s">
        <v>1930</v>
      </c>
      <c r="B1915" s="24" t="s">
        <v>115</v>
      </c>
      <c r="C1915" s="24" t="s">
        <v>281</v>
      </c>
      <c r="D1915" s="25">
        <v>22687</v>
      </c>
      <c r="E1915" s="25">
        <v>400016</v>
      </c>
      <c r="F1915" s="26">
        <v>47277</v>
      </c>
      <c r="G1915" s="27">
        <v>11.818777000000001</v>
      </c>
    </row>
    <row r="1916" spans="1:7" hidden="1" x14ac:dyDescent="0.25">
      <c r="A1916" s="24" t="s">
        <v>1931</v>
      </c>
      <c r="B1916" s="24" t="s">
        <v>115</v>
      </c>
      <c r="C1916" s="24" t="s">
        <v>1837</v>
      </c>
      <c r="D1916" s="25">
        <v>250845</v>
      </c>
      <c r="E1916" s="25">
        <v>3763024</v>
      </c>
      <c r="F1916" s="26">
        <v>450210.2</v>
      </c>
      <c r="G1916" s="27">
        <v>11.964053</v>
      </c>
    </row>
    <row r="1917" spans="1:7" hidden="1" x14ac:dyDescent="0.25">
      <c r="A1917" s="24" t="s">
        <v>1932</v>
      </c>
      <c r="B1917" s="24" t="s">
        <v>115</v>
      </c>
      <c r="C1917" s="24" t="s">
        <v>281</v>
      </c>
      <c r="D1917" s="25">
        <v>19905</v>
      </c>
      <c r="E1917" s="25">
        <v>1039770</v>
      </c>
      <c r="F1917" s="26">
        <v>86122</v>
      </c>
      <c r="G1917" s="27">
        <v>8.2827932999999998</v>
      </c>
    </row>
    <row r="1918" spans="1:7" hidden="1" x14ac:dyDescent="0.25">
      <c r="A1918" s="24" t="s">
        <v>1933</v>
      </c>
      <c r="B1918" s="24" t="s">
        <v>115</v>
      </c>
      <c r="C1918" s="24" t="s">
        <v>283</v>
      </c>
      <c r="D1918" s="25">
        <v>22681</v>
      </c>
      <c r="E1918" s="25">
        <v>466665</v>
      </c>
      <c r="F1918" s="26">
        <v>38749</v>
      </c>
      <c r="G1918" s="27">
        <v>8.3033868000000002</v>
      </c>
    </row>
    <row r="1919" spans="1:7" hidden="1" x14ac:dyDescent="0.25">
      <c r="A1919" s="24" t="s">
        <v>1934</v>
      </c>
      <c r="B1919" s="24" t="s">
        <v>115</v>
      </c>
      <c r="C1919" s="24" t="s">
        <v>1837</v>
      </c>
      <c r="D1919" s="25">
        <v>40</v>
      </c>
      <c r="E1919" s="25">
        <v>37747</v>
      </c>
      <c r="F1919" s="26">
        <v>1858</v>
      </c>
      <c r="G1919" s="27">
        <v>4.9222454999999998</v>
      </c>
    </row>
    <row r="1920" spans="1:7" hidden="1" x14ac:dyDescent="0.25">
      <c r="A1920" s="24" t="s">
        <v>1935</v>
      </c>
      <c r="B1920" s="24" t="s">
        <v>115</v>
      </c>
      <c r="C1920" s="24" t="s">
        <v>281</v>
      </c>
      <c r="D1920" s="25">
        <v>12482</v>
      </c>
      <c r="E1920" s="25">
        <v>199600</v>
      </c>
      <c r="F1920" s="26">
        <v>25561</v>
      </c>
      <c r="G1920" s="27">
        <v>12.806112000000001</v>
      </c>
    </row>
    <row r="1921" spans="1:7" hidden="1" x14ac:dyDescent="0.25">
      <c r="A1921" s="24" t="s">
        <v>1936</v>
      </c>
      <c r="B1921" s="24" t="s">
        <v>115</v>
      </c>
      <c r="C1921" s="24" t="s">
        <v>281</v>
      </c>
      <c r="D1921" s="25">
        <v>11172</v>
      </c>
      <c r="E1921" s="25">
        <v>277089</v>
      </c>
      <c r="F1921" s="26">
        <v>31735</v>
      </c>
      <c r="G1921" s="27">
        <v>11.452999</v>
      </c>
    </row>
    <row r="1922" spans="1:7" hidden="1" x14ac:dyDescent="0.25">
      <c r="A1922" s="24" t="s">
        <v>1492</v>
      </c>
      <c r="B1922" s="24" t="s">
        <v>115</v>
      </c>
      <c r="C1922" s="24" t="s">
        <v>281</v>
      </c>
      <c r="D1922" s="25">
        <v>4683</v>
      </c>
      <c r="E1922" s="25">
        <v>427450</v>
      </c>
      <c r="F1922" s="26">
        <v>31878</v>
      </c>
      <c r="G1922" s="27">
        <v>7.4577144000000004</v>
      </c>
    </row>
    <row r="1923" spans="1:7" hidden="1" x14ac:dyDescent="0.25">
      <c r="A1923" s="24" t="s">
        <v>1937</v>
      </c>
      <c r="B1923" s="24" t="s">
        <v>115</v>
      </c>
      <c r="C1923" s="24" t="s">
        <v>1837</v>
      </c>
      <c r="D1923" s="25">
        <v>4449</v>
      </c>
      <c r="E1923" s="25">
        <v>557247</v>
      </c>
      <c r="F1923" s="26">
        <v>48630</v>
      </c>
      <c r="G1923" s="27">
        <v>8.7268302999999996</v>
      </c>
    </row>
    <row r="1924" spans="1:7" hidden="1" x14ac:dyDescent="0.25">
      <c r="A1924" s="24" t="s">
        <v>1938</v>
      </c>
      <c r="B1924" s="24" t="s">
        <v>115</v>
      </c>
      <c r="C1924" s="24" t="s">
        <v>1837</v>
      </c>
      <c r="D1924" s="25">
        <v>4032</v>
      </c>
      <c r="E1924" s="25">
        <v>22514</v>
      </c>
      <c r="F1924" s="26">
        <v>1850.4</v>
      </c>
      <c r="G1924" s="27">
        <v>8.2188859999999995</v>
      </c>
    </row>
    <row r="1925" spans="1:7" hidden="1" x14ac:dyDescent="0.25">
      <c r="A1925" s="24" t="s">
        <v>1939</v>
      </c>
      <c r="B1925" s="24" t="s">
        <v>115</v>
      </c>
      <c r="C1925" s="24" t="s">
        <v>281</v>
      </c>
      <c r="D1925" s="25">
        <v>9181</v>
      </c>
      <c r="E1925" s="25">
        <v>192259</v>
      </c>
      <c r="F1925" s="26">
        <v>21566</v>
      </c>
      <c r="G1925" s="27">
        <v>11.21716</v>
      </c>
    </row>
    <row r="1926" spans="1:7" hidden="1" x14ac:dyDescent="0.25">
      <c r="A1926" s="24" t="s">
        <v>1940</v>
      </c>
      <c r="B1926" s="24" t="s">
        <v>115</v>
      </c>
      <c r="C1926" s="24" t="s">
        <v>281</v>
      </c>
      <c r="D1926" s="25">
        <v>22458</v>
      </c>
      <c r="E1926" s="25">
        <v>664562</v>
      </c>
      <c r="F1926" s="26">
        <v>69942</v>
      </c>
      <c r="G1926" s="27">
        <v>10.524526</v>
      </c>
    </row>
    <row r="1927" spans="1:7" hidden="1" x14ac:dyDescent="0.25">
      <c r="A1927" s="24" t="s">
        <v>1941</v>
      </c>
      <c r="B1927" s="24" t="s">
        <v>115</v>
      </c>
      <c r="C1927" s="24" t="s">
        <v>1837</v>
      </c>
      <c r="D1927" s="25">
        <v>25709</v>
      </c>
      <c r="E1927" s="25">
        <v>5895997</v>
      </c>
      <c r="F1927" s="26">
        <v>408300.3</v>
      </c>
      <c r="G1927" s="27">
        <v>6.9250425</v>
      </c>
    </row>
    <row r="1928" spans="1:7" hidden="1" x14ac:dyDescent="0.25">
      <c r="A1928" s="24" t="s">
        <v>1942</v>
      </c>
      <c r="B1928" s="24" t="s">
        <v>115</v>
      </c>
      <c r="C1928" s="24" t="s">
        <v>281</v>
      </c>
      <c r="D1928" s="25">
        <v>113763</v>
      </c>
      <c r="E1928" s="25">
        <v>2305654</v>
      </c>
      <c r="F1928" s="26">
        <v>204945.2</v>
      </c>
      <c r="G1928" s="27">
        <v>8.8888099</v>
      </c>
    </row>
    <row r="1929" spans="1:7" hidden="1" x14ac:dyDescent="0.25">
      <c r="A1929" s="24" t="s">
        <v>1943</v>
      </c>
      <c r="B1929" s="24" t="s">
        <v>115</v>
      </c>
      <c r="C1929" s="24" t="s">
        <v>1837</v>
      </c>
      <c r="D1929" s="25">
        <v>23</v>
      </c>
      <c r="E1929" s="25">
        <v>4350</v>
      </c>
      <c r="F1929" s="26">
        <v>546.5</v>
      </c>
      <c r="G1929" s="27">
        <v>12.563218000000001</v>
      </c>
    </row>
    <row r="1930" spans="1:7" hidden="1" x14ac:dyDescent="0.25">
      <c r="A1930" s="24" t="s">
        <v>1944</v>
      </c>
      <c r="B1930" s="24" t="s">
        <v>115</v>
      </c>
      <c r="C1930" s="24" t="s">
        <v>281</v>
      </c>
      <c r="D1930" s="25">
        <v>32676</v>
      </c>
      <c r="E1930" s="25">
        <v>1179543</v>
      </c>
      <c r="F1930" s="26">
        <v>105874</v>
      </c>
      <c r="G1930" s="27">
        <v>8.9758490999999996</v>
      </c>
    </row>
    <row r="1931" spans="1:7" hidden="1" x14ac:dyDescent="0.25">
      <c r="A1931" s="24" t="s">
        <v>1945</v>
      </c>
      <c r="B1931" s="24" t="s">
        <v>115</v>
      </c>
      <c r="C1931" s="24" t="s">
        <v>1837</v>
      </c>
      <c r="D1931" s="25">
        <v>1084</v>
      </c>
      <c r="E1931" s="25">
        <v>111168</v>
      </c>
      <c r="F1931" s="26">
        <v>7355.3</v>
      </c>
      <c r="G1931" s="27">
        <v>6.6163824</v>
      </c>
    </row>
    <row r="1932" spans="1:7" hidden="1" x14ac:dyDescent="0.25">
      <c r="A1932" s="24" t="s">
        <v>1946</v>
      </c>
      <c r="B1932" s="24" t="s">
        <v>115</v>
      </c>
      <c r="C1932" s="24" t="s">
        <v>281</v>
      </c>
      <c r="D1932" s="25">
        <v>29956</v>
      </c>
      <c r="E1932" s="25">
        <v>680985</v>
      </c>
      <c r="F1932" s="26">
        <v>72739.100000000006</v>
      </c>
      <c r="G1932" s="27">
        <v>10.681454</v>
      </c>
    </row>
    <row r="1933" spans="1:7" hidden="1" x14ac:dyDescent="0.25">
      <c r="A1933" s="24" t="s">
        <v>1947</v>
      </c>
      <c r="B1933" s="24" t="s">
        <v>115</v>
      </c>
      <c r="C1933" s="24" t="s">
        <v>1837</v>
      </c>
      <c r="D1933" s="25">
        <v>8197</v>
      </c>
      <c r="E1933" s="25">
        <v>1259971</v>
      </c>
      <c r="F1933" s="26">
        <v>94009.7</v>
      </c>
      <c r="G1933" s="27">
        <v>7.4612590000000001</v>
      </c>
    </row>
    <row r="1934" spans="1:7" hidden="1" x14ac:dyDescent="0.25">
      <c r="A1934" s="24" t="s">
        <v>1948</v>
      </c>
      <c r="B1934" s="24" t="s">
        <v>115</v>
      </c>
      <c r="C1934" s="24" t="s">
        <v>281</v>
      </c>
      <c r="D1934" s="25">
        <v>16243</v>
      </c>
      <c r="E1934" s="25">
        <v>531553</v>
      </c>
      <c r="F1934" s="26">
        <v>40710</v>
      </c>
      <c r="G1934" s="27">
        <v>7.6586907000000002</v>
      </c>
    </row>
    <row r="1935" spans="1:7" hidden="1" x14ac:dyDescent="0.25">
      <c r="A1935" s="24" t="s">
        <v>1949</v>
      </c>
      <c r="B1935" s="24" t="s">
        <v>115</v>
      </c>
      <c r="C1935" s="24" t="s">
        <v>281</v>
      </c>
      <c r="D1935" s="25">
        <v>19532</v>
      </c>
      <c r="E1935" s="25">
        <v>340480</v>
      </c>
      <c r="F1935" s="26">
        <v>34819.4</v>
      </c>
      <c r="G1935" s="27">
        <v>10.226563000000001</v>
      </c>
    </row>
    <row r="1936" spans="1:7" hidden="1" x14ac:dyDescent="0.25">
      <c r="A1936" s="24" t="s">
        <v>1950</v>
      </c>
      <c r="B1936" s="24" t="s">
        <v>115</v>
      </c>
      <c r="C1936" s="24" t="s">
        <v>1837</v>
      </c>
      <c r="D1936" s="25">
        <v>262294</v>
      </c>
      <c r="E1936" s="25">
        <v>8382684</v>
      </c>
      <c r="F1936" s="26">
        <v>750499.4</v>
      </c>
      <c r="G1936" s="27">
        <v>8.9529726000000007</v>
      </c>
    </row>
    <row r="1937" spans="1:7" hidden="1" x14ac:dyDescent="0.25">
      <c r="A1937" s="24" t="s">
        <v>1951</v>
      </c>
      <c r="B1937" s="24" t="s">
        <v>115</v>
      </c>
      <c r="C1937" s="24" t="s">
        <v>1837</v>
      </c>
      <c r="D1937" s="25">
        <v>470</v>
      </c>
      <c r="E1937" s="25">
        <v>208837</v>
      </c>
      <c r="F1937" s="26">
        <v>16121.7</v>
      </c>
      <c r="G1937" s="27">
        <v>7.7197526999999999</v>
      </c>
    </row>
    <row r="1938" spans="1:7" hidden="1" x14ac:dyDescent="0.25">
      <c r="A1938" s="24" t="s">
        <v>1952</v>
      </c>
      <c r="B1938" s="24" t="s">
        <v>115</v>
      </c>
      <c r="C1938" s="24" t="s">
        <v>1837</v>
      </c>
      <c r="D1938" s="25">
        <v>457</v>
      </c>
      <c r="E1938" s="25">
        <v>6986</v>
      </c>
      <c r="F1938" s="26">
        <v>733.4</v>
      </c>
      <c r="G1938" s="27">
        <v>10.498139</v>
      </c>
    </row>
    <row r="1939" spans="1:7" hidden="1" x14ac:dyDescent="0.25">
      <c r="A1939" s="24" t="s">
        <v>1953</v>
      </c>
      <c r="B1939" s="24" t="s">
        <v>115</v>
      </c>
      <c r="C1939" s="24" t="s">
        <v>281</v>
      </c>
      <c r="D1939" s="25">
        <v>7083</v>
      </c>
      <c r="E1939" s="25">
        <v>323273</v>
      </c>
      <c r="F1939" s="26">
        <v>33879</v>
      </c>
      <c r="G1939" s="27">
        <v>10.479996999999999</v>
      </c>
    </row>
    <row r="1940" spans="1:7" hidden="1" x14ac:dyDescent="0.25">
      <c r="A1940" s="24" t="s">
        <v>1954</v>
      </c>
      <c r="B1940" s="24" t="s">
        <v>115</v>
      </c>
      <c r="C1940" s="24" t="s">
        <v>281</v>
      </c>
      <c r="D1940" s="25">
        <v>41870</v>
      </c>
      <c r="E1940" s="25">
        <v>1237743</v>
      </c>
      <c r="F1940" s="26">
        <v>99022.2</v>
      </c>
      <c r="G1940" s="27">
        <v>8.0002230000000001</v>
      </c>
    </row>
    <row r="1941" spans="1:7" hidden="1" x14ac:dyDescent="0.25">
      <c r="A1941" s="24" t="s">
        <v>1955</v>
      </c>
      <c r="B1941" s="24" t="s">
        <v>115</v>
      </c>
      <c r="C1941" s="24" t="s">
        <v>1837</v>
      </c>
      <c r="D1941" s="25">
        <v>1397</v>
      </c>
      <c r="E1941" s="25">
        <v>41474</v>
      </c>
      <c r="F1941" s="26">
        <v>4319.2</v>
      </c>
      <c r="G1941" s="27">
        <v>10.414235</v>
      </c>
    </row>
    <row r="1942" spans="1:7" hidden="1" x14ac:dyDescent="0.25">
      <c r="A1942" s="24" t="s">
        <v>1956</v>
      </c>
      <c r="B1942" s="24" t="s">
        <v>115</v>
      </c>
      <c r="C1942" s="24" t="s">
        <v>1837</v>
      </c>
      <c r="D1942" s="25">
        <v>11762</v>
      </c>
      <c r="E1942" s="25">
        <v>408004</v>
      </c>
      <c r="F1942" s="26">
        <v>31914</v>
      </c>
      <c r="G1942" s="27">
        <v>7.8219820999999996</v>
      </c>
    </row>
    <row r="1943" spans="1:7" hidden="1" x14ac:dyDescent="0.25">
      <c r="A1943" s="24" t="s">
        <v>983</v>
      </c>
      <c r="B1943" s="24" t="s">
        <v>115</v>
      </c>
      <c r="C1943" s="24" t="s">
        <v>281</v>
      </c>
      <c r="D1943" s="25">
        <v>10621</v>
      </c>
      <c r="E1943" s="25">
        <v>166928</v>
      </c>
      <c r="F1943" s="26">
        <v>16979.5</v>
      </c>
      <c r="G1943" s="27">
        <v>10.171751</v>
      </c>
    </row>
    <row r="1944" spans="1:7" hidden="1" x14ac:dyDescent="0.25">
      <c r="A1944" s="24" t="s">
        <v>1957</v>
      </c>
      <c r="B1944" s="24" t="s">
        <v>115</v>
      </c>
      <c r="C1944" s="24" t="s">
        <v>281</v>
      </c>
      <c r="D1944" s="25">
        <v>333809</v>
      </c>
      <c r="E1944" s="25">
        <v>5686980</v>
      </c>
      <c r="F1944" s="26">
        <v>563408.30000000005</v>
      </c>
      <c r="G1944" s="27">
        <v>9.9069857999999993</v>
      </c>
    </row>
    <row r="1945" spans="1:7" hidden="1" x14ac:dyDescent="0.25">
      <c r="A1945" s="24" t="s">
        <v>1958</v>
      </c>
      <c r="B1945" s="24" t="s">
        <v>115</v>
      </c>
      <c r="C1945" s="24" t="s">
        <v>1837</v>
      </c>
      <c r="D1945" s="25">
        <v>4423</v>
      </c>
      <c r="E1945" s="25">
        <v>53141</v>
      </c>
      <c r="F1945" s="26">
        <v>6403.5</v>
      </c>
      <c r="G1945" s="27">
        <v>12.050018</v>
      </c>
    </row>
    <row r="1946" spans="1:7" hidden="1" x14ac:dyDescent="0.25">
      <c r="A1946" s="24" t="s">
        <v>1959</v>
      </c>
      <c r="B1946" s="24" t="s">
        <v>115</v>
      </c>
      <c r="C1946" s="24" t="s">
        <v>1837</v>
      </c>
      <c r="D1946" s="25">
        <v>8431</v>
      </c>
      <c r="E1946" s="25">
        <v>193721</v>
      </c>
      <c r="F1946" s="26">
        <v>8108.7</v>
      </c>
      <c r="G1946" s="27">
        <v>4.1857620000000004</v>
      </c>
    </row>
    <row r="1947" spans="1:7" hidden="1" x14ac:dyDescent="0.25">
      <c r="A1947" s="24" t="s">
        <v>1960</v>
      </c>
      <c r="B1947" s="24" t="s">
        <v>115</v>
      </c>
      <c r="C1947" s="24" t="s">
        <v>1837</v>
      </c>
      <c r="D1947" s="25">
        <v>91</v>
      </c>
      <c r="E1947" s="25">
        <v>603</v>
      </c>
      <c r="F1947" s="26">
        <v>24.9</v>
      </c>
      <c r="G1947" s="27">
        <v>4.1293531999999997</v>
      </c>
    </row>
    <row r="1948" spans="1:7" hidden="1" x14ac:dyDescent="0.25">
      <c r="A1948" s="24" t="s">
        <v>1961</v>
      </c>
      <c r="B1948" s="24" t="s">
        <v>115</v>
      </c>
      <c r="C1948" s="24" t="s">
        <v>1837</v>
      </c>
      <c r="D1948" s="25">
        <v>6740</v>
      </c>
      <c r="E1948" s="25">
        <v>115929</v>
      </c>
      <c r="F1948" s="26">
        <v>6834.9</v>
      </c>
      <c r="G1948" s="27">
        <v>5.8957638000000001</v>
      </c>
    </row>
    <row r="1949" spans="1:7" hidden="1" x14ac:dyDescent="0.25">
      <c r="A1949" s="24" t="s">
        <v>1962</v>
      </c>
      <c r="B1949" s="24" t="s">
        <v>115</v>
      </c>
      <c r="C1949" s="24" t="s">
        <v>1837</v>
      </c>
      <c r="D1949" s="25">
        <v>2656</v>
      </c>
      <c r="E1949" s="25">
        <v>196011</v>
      </c>
      <c r="F1949" s="26">
        <v>16257</v>
      </c>
      <c r="G1949" s="27">
        <v>8.2939223000000002</v>
      </c>
    </row>
    <row r="1950" spans="1:7" hidden="1" x14ac:dyDescent="0.25">
      <c r="A1950" s="24" t="s">
        <v>1963</v>
      </c>
      <c r="B1950" s="24" t="s">
        <v>115</v>
      </c>
      <c r="C1950" s="24" t="s">
        <v>1837</v>
      </c>
      <c r="D1950" s="25">
        <v>1365067</v>
      </c>
      <c r="E1950" s="25">
        <v>42932929</v>
      </c>
      <c r="F1950" s="26">
        <v>3884972.1</v>
      </c>
      <c r="G1950" s="27">
        <v>9.0489332999999998</v>
      </c>
    </row>
    <row r="1951" spans="1:7" hidden="1" x14ac:dyDescent="0.25">
      <c r="A1951" s="24" t="s">
        <v>1497</v>
      </c>
      <c r="B1951" s="24" t="s">
        <v>115</v>
      </c>
      <c r="C1951" s="24" t="s">
        <v>281</v>
      </c>
      <c r="D1951" s="25">
        <v>13091</v>
      </c>
      <c r="E1951" s="25">
        <v>344757</v>
      </c>
      <c r="F1951" s="26">
        <v>38777.800000000003</v>
      </c>
      <c r="G1951" s="27">
        <v>11.247864</v>
      </c>
    </row>
    <row r="1952" spans="1:7" hidden="1" x14ac:dyDescent="0.25">
      <c r="A1952" s="24" t="s">
        <v>1964</v>
      </c>
      <c r="B1952" s="24" t="s">
        <v>115</v>
      </c>
      <c r="C1952" s="24" t="s">
        <v>281</v>
      </c>
      <c r="D1952" s="25">
        <v>7728</v>
      </c>
      <c r="E1952" s="25">
        <v>488765</v>
      </c>
      <c r="F1952" s="26">
        <v>40690</v>
      </c>
      <c r="G1952" s="27">
        <v>8.3250641999999999</v>
      </c>
    </row>
    <row r="1953" spans="1:7" hidden="1" x14ac:dyDescent="0.25">
      <c r="A1953" s="24" t="s">
        <v>1965</v>
      </c>
      <c r="B1953" s="24" t="s">
        <v>115</v>
      </c>
      <c r="C1953" s="24" t="s">
        <v>281</v>
      </c>
      <c r="D1953" s="25">
        <v>22107</v>
      </c>
      <c r="E1953" s="25">
        <v>607406</v>
      </c>
      <c r="F1953" s="26">
        <v>56454.400000000001</v>
      </c>
      <c r="G1953" s="27">
        <v>9.2943435000000001</v>
      </c>
    </row>
    <row r="1954" spans="1:7" hidden="1" x14ac:dyDescent="0.25">
      <c r="A1954" s="24" t="s">
        <v>1966</v>
      </c>
      <c r="B1954" s="24" t="s">
        <v>115</v>
      </c>
      <c r="C1954" s="24" t="s">
        <v>281</v>
      </c>
      <c r="D1954" s="25">
        <v>74224</v>
      </c>
      <c r="E1954" s="25">
        <v>1269315</v>
      </c>
      <c r="F1954" s="26">
        <v>155655</v>
      </c>
      <c r="G1954" s="27">
        <v>12.262912999999999</v>
      </c>
    </row>
    <row r="1955" spans="1:7" hidden="1" x14ac:dyDescent="0.25">
      <c r="A1955" s="24" t="s">
        <v>1967</v>
      </c>
      <c r="B1955" s="24" t="s">
        <v>115</v>
      </c>
      <c r="C1955" s="24" t="s">
        <v>281</v>
      </c>
      <c r="D1955" s="25">
        <v>27077</v>
      </c>
      <c r="E1955" s="25">
        <v>649550</v>
      </c>
      <c r="F1955" s="26">
        <v>72260.899999999994</v>
      </c>
      <c r="G1955" s="27">
        <v>11.124763</v>
      </c>
    </row>
    <row r="1956" spans="1:7" hidden="1" x14ac:dyDescent="0.25">
      <c r="A1956" s="24" t="s">
        <v>1968</v>
      </c>
      <c r="B1956" s="24" t="s">
        <v>115</v>
      </c>
      <c r="C1956" s="24" t="s">
        <v>281</v>
      </c>
      <c r="D1956" s="25">
        <v>11413</v>
      </c>
      <c r="E1956" s="25">
        <v>266000</v>
      </c>
      <c r="F1956" s="26">
        <v>26109</v>
      </c>
      <c r="G1956" s="27">
        <v>9.8154135</v>
      </c>
    </row>
    <row r="1957" spans="1:7" hidden="1" x14ac:dyDescent="0.25">
      <c r="A1957" s="24" t="s">
        <v>1969</v>
      </c>
      <c r="B1957" s="24" t="s">
        <v>115</v>
      </c>
      <c r="C1957" s="24" t="s">
        <v>1837</v>
      </c>
      <c r="D1957" s="25">
        <v>1464</v>
      </c>
      <c r="E1957" s="25">
        <v>17270</v>
      </c>
      <c r="F1957" s="26">
        <v>1984.7</v>
      </c>
      <c r="G1957" s="27">
        <v>11.492183000000001</v>
      </c>
    </row>
    <row r="1958" spans="1:7" hidden="1" x14ac:dyDescent="0.25">
      <c r="A1958" s="24" t="s">
        <v>408</v>
      </c>
      <c r="B1958" s="24" t="s">
        <v>115</v>
      </c>
      <c r="C1958" s="24" t="s">
        <v>392</v>
      </c>
      <c r="D1958" s="25">
        <v>7647</v>
      </c>
      <c r="E1958" s="25">
        <v>93477</v>
      </c>
      <c r="F1958" s="26">
        <v>9482.4</v>
      </c>
      <c r="G1958" s="27">
        <v>10.1441</v>
      </c>
    </row>
    <row r="1959" spans="1:7" hidden="1" x14ac:dyDescent="0.25">
      <c r="A1959" s="24" t="s">
        <v>1970</v>
      </c>
      <c r="B1959" s="24" t="s">
        <v>115</v>
      </c>
      <c r="C1959" s="24" t="s">
        <v>1837</v>
      </c>
      <c r="D1959" s="25">
        <v>34202</v>
      </c>
      <c r="E1959" s="25">
        <v>2511357</v>
      </c>
      <c r="F1959" s="26">
        <v>183562.8</v>
      </c>
      <c r="G1959" s="27">
        <v>7.3093073000000004</v>
      </c>
    </row>
    <row r="1960" spans="1:7" hidden="1" x14ac:dyDescent="0.25">
      <c r="A1960" s="24" t="s">
        <v>1971</v>
      </c>
      <c r="B1960" s="24" t="s">
        <v>115</v>
      </c>
      <c r="C1960" s="24" t="s">
        <v>281</v>
      </c>
      <c r="D1960" s="25">
        <v>56525</v>
      </c>
      <c r="E1960" s="25">
        <v>1486257</v>
      </c>
      <c r="F1960" s="26">
        <v>127269</v>
      </c>
      <c r="G1960" s="27">
        <v>8.5630547000000004</v>
      </c>
    </row>
    <row r="1961" spans="1:7" hidden="1" x14ac:dyDescent="0.25">
      <c r="A1961" s="24" t="s">
        <v>1972</v>
      </c>
      <c r="B1961" s="24" t="s">
        <v>115</v>
      </c>
      <c r="C1961" s="24" t="s">
        <v>281</v>
      </c>
      <c r="D1961" s="25">
        <v>1</v>
      </c>
      <c r="E1961" s="25">
        <v>13508</v>
      </c>
      <c r="F1961" s="26">
        <v>496</v>
      </c>
      <c r="G1961" s="27">
        <v>3.6718980999999999</v>
      </c>
    </row>
    <row r="1962" spans="1:7" hidden="1" x14ac:dyDescent="0.25">
      <c r="A1962" s="24" t="s">
        <v>381</v>
      </c>
      <c r="B1962" s="24" t="s">
        <v>115</v>
      </c>
      <c r="C1962" s="24" t="s">
        <v>281</v>
      </c>
      <c r="D1962" s="25">
        <v>983</v>
      </c>
      <c r="E1962" s="25">
        <v>20426</v>
      </c>
      <c r="F1962" s="26">
        <v>2176</v>
      </c>
      <c r="G1962" s="27">
        <v>10.653089</v>
      </c>
    </row>
    <row r="1963" spans="1:7" hidden="1" x14ac:dyDescent="0.25">
      <c r="A1963" s="24" t="s">
        <v>1623</v>
      </c>
      <c r="B1963" s="24" t="s">
        <v>115</v>
      </c>
      <c r="C1963" s="24" t="s">
        <v>281</v>
      </c>
      <c r="D1963" s="25">
        <v>3307</v>
      </c>
      <c r="E1963" s="25">
        <v>76609</v>
      </c>
      <c r="F1963" s="26">
        <v>7921.2</v>
      </c>
      <c r="G1963" s="27">
        <v>10.339777</v>
      </c>
    </row>
    <row r="1964" spans="1:7" hidden="1" x14ac:dyDescent="0.25">
      <c r="A1964" s="24" t="s">
        <v>1973</v>
      </c>
      <c r="B1964" s="24" t="s">
        <v>115</v>
      </c>
      <c r="C1964" s="24" t="s">
        <v>281</v>
      </c>
      <c r="D1964" s="25">
        <v>9861</v>
      </c>
      <c r="E1964" s="25">
        <v>277086</v>
      </c>
      <c r="F1964" s="26">
        <v>25025</v>
      </c>
      <c r="G1964" s="27">
        <v>9.0314920000000001</v>
      </c>
    </row>
    <row r="1965" spans="1:7" hidden="1" x14ac:dyDescent="0.25">
      <c r="A1965" s="24" t="s">
        <v>502</v>
      </c>
      <c r="B1965" s="24" t="s">
        <v>115</v>
      </c>
      <c r="C1965" s="24" t="s">
        <v>281</v>
      </c>
      <c r="D1965" s="25">
        <v>26</v>
      </c>
      <c r="E1965" s="25">
        <v>338</v>
      </c>
      <c r="F1965" s="26">
        <v>59.2</v>
      </c>
      <c r="G1965" s="27">
        <v>17.514793000000001</v>
      </c>
    </row>
    <row r="1966" spans="1:7" hidden="1" x14ac:dyDescent="0.25">
      <c r="A1966" s="24" t="s">
        <v>382</v>
      </c>
      <c r="B1966" s="24" t="s">
        <v>115</v>
      </c>
      <c r="C1966" s="24" t="s">
        <v>278</v>
      </c>
      <c r="D1966" s="25">
        <v>185249</v>
      </c>
      <c r="E1966" s="25">
        <v>7034954</v>
      </c>
      <c r="F1966" s="26">
        <v>537510.30000000005</v>
      </c>
      <c r="G1966" s="27">
        <v>7.6405659999999997</v>
      </c>
    </row>
    <row r="1967" spans="1:7" hidden="1" x14ac:dyDescent="0.25">
      <c r="A1967" s="24" t="s">
        <v>1501</v>
      </c>
      <c r="B1967" s="24" t="s">
        <v>115</v>
      </c>
      <c r="C1967" s="24" t="s">
        <v>278</v>
      </c>
      <c r="D1967" s="25">
        <v>269340</v>
      </c>
      <c r="E1967" s="25">
        <v>13853432</v>
      </c>
      <c r="F1967" s="26">
        <v>921452.2</v>
      </c>
      <c r="G1967" s="27">
        <v>6.6514363000000003</v>
      </c>
    </row>
    <row r="1968" spans="1:7" hidden="1" x14ac:dyDescent="0.25">
      <c r="A1968" s="24" t="s">
        <v>1974</v>
      </c>
      <c r="B1968" s="24" t="s">
        <v>115</v>
      </c>
      <c r="C1968" s="24" t="s">
        <v>1837</v>
      </c>
      <c r="D1968" s="25">
        <v>48638</v>
      </c>
      <c r="E1968" s="25">
        <v>771378</v>
      </c>
      <c r="F1968" s="26">
        <v>76813.5</v>
      </c>
      <c r="G1968" s="27">
        <v>9.9579584000000008</v>
      </c>
    </row>
    <row r="1969" spans="1:7" hidden="1" x14ac:dyDescent="0.25">
      <c r="A1969" s="24" t="s">
        <v>1975</v>
      </c>
      <c r="B1969" s="24" t="s">
        <v>115</v>
      </c>
      <c r="C1969" s="24" t="s">
        <v>1837</v>
      </c>
      <c r="D1969" s="25">
        <v>62976</v>
      </c>
      <c r="E1969" s="25">
        <v>10900404</v>
      </c>
      <c r="F1969" s="26">
        <v>774436.7</v>
      </c>
      <c r="G1969" s="27">
        <v>7.1046604999999996</v>
      </c>
    </row>
    <row r="1970" spans="1:7" hidden="1" x14ac:dyDescent="0.25">
      <c r="A1970" s="24" t="s">
        <v>1976</v>
      </c>
      <c r="B1970" s="24" t="s">
        <v>115</v>
      </c>
      <c r="C1970" s="24" t="s">
        <v>1837</v>
      </c>
      <c r="D1970" s="25">
        <v>316376</v>
      </c>
      <c r="E1970" s="25">
        <v>4765408</v>
      </c>
      <c r="F1970" s="26">
        <v>491635.9</v>
      </c>
      <c r="G1970" s="27">
        <v>10.316763999999999</v>
      </c>
    </row>
    <row r="1971" spans="1:7" hidden="1" x14ac:dyDescent="0.25">
      <c r="A1971" s="24" t="s">
        <v>1977</v>
      </c>
      <c r="B1971" s="24" t="s">
        <v>115</v>
      </c>
      <c r="C1971" s="24" t="s">
        <v>1837</v>
      </c>
      <c r="D1971" s="25">
        <v>35082</v>
      </c>
      <c r="E1971" s="25">
        <v>1262612</v>
      </c>
      <c r="F1971" s="26">
        <v>104682</v>
      </c>
      <c r="G1971" s="27">
        <v>8.2909080999999993</v>
      </c>
    </row>
    <row r="1972" spans="1:7" hidden="1" x14ac:dyDescent="0.25">
      <c r="A1972" s="24" t="s">
        <v>411</v>
      </c>
      <c r="B1972" s="24" t="s">
        <v>115</v>
      </c>
      <c r="C1972" s="24" t="s">
        <v>392</v>
      </c>
      <c r="D1972" s="25">
        <v>1</v>
      </c>
      <c r="E1972" s="25">
        <v>160</v>
      </c>
      <c r="F1972" s="26">
        <v>12.5</v>
      </c>
      <c r="G1972" s="27">
        <v>7.8125</v>
      </c>
    </row>
    <row r="1973" spans="1:7" hidden="1" x14ac:dyDescent="0.25">
      <c r="A1973" s="24" t="s">
        <v>414</v>
      </c>
      <c r="B1973" s="24" t="s">
        <v>115</v>
      </c>
      <c r="C1973" s="24" t="s">
        <v>392</v>
      </c>
      <c r="D1973" s="25">
        <v>27</v>
      </c>
      <c r="E1973" s="25">
        <v>755</v>
      </c>
      <c r="F1973" s="26">
        <v>39</v>
      </c>
      <c r="G1973" s="27">
        <v>5.1655629000000003</v>
      </c>
    </row>
    <row r="1974" spans="1:7" hidden="1" x14ac:dyDescent="0.25">
      <c r="A1974" s="24" t="s">
        <v>415</v>
      </c>
      <c r="B1974" s="24" t="s">
        <v>115</v>
      </c>
      <c r="C1974" s="24" t="s">
        <v>392</v>
      </c>
      <c r="D1974" s="25">
        <v>28</v>
      </c>
      <c r="E1974" s="25">
        <v>12</v>
      </c>
      <c r="F1974" s="26">
        <v>3.9</v>
      </c>
      <c r="G1974" s="27">
        <v>32.5</v>
      </c>
    </row>
    <row r="1975" spans="1:7" hidden="1" x14ac:dyDescent="0.25">
      <c r="A1975" s="24" t="s">
        <v>1978</v>
      </c>
      <c r="B1975" s="24" t="s">
        <v>115</v>
      </c>
      <c r="C1975" s="24" t="s">
        <v>281</v>
      </c>
      <c r="D1975" s="25">
        <v>8051</v>
      </c>
      <c r="E1975" s="25">
        <v>148867</v>
      </c>
      <c r="F1975" s="26">
        <v>19315</v>
      </c>
      <c r="G1975" s="27">
        <v>12.974669</v>
      </c>
    </row>
    <row r="1976" spans="1:7" hidden="1" x14ac:dyDescent="0.25">
      <c r="A1976" s="24" t="s">
        <v>1979</v>
      </c>
      <c r="B1976" s="24" t="s">
        <v>115</v>
      </c>
      <c r="C1976" s="24" t="s">
        <v>1837</v>
      </c>
      <c r="D1976" s="25">
        <v>1616756</v>
      </c>
      <c r="E1976" s="25">
        <v>37847022</v>
      </c>
      <c r="F1976" s="26">
        <v>3803923</v>
      </c>
      <c r="G1976" s="27">
        <v>10.050786</v>
      </c>
    </row>
    <row r="1977" spans="1:7" hidden="1" x14ac:dyDescent="0.25">
      <c r="A1977" s="24" t="s">
        <v>1980</v>
      </c>
      <c r="B1977" s="24" t="s">
        <v>115</v>
      </c>
      <c r="C1977" s="24" t="s">
        <v>1837</v>
      </c>
      <c r="D1977" s="25">
        <v>50344</v>
      </c>
      <c r="E1977" s="25">
        <v>1852699</v>
      </c>
      <c r="F1977" s="26">
        <v>151586.4</v>
      </c>
      <c r="G1977" s="27">
        <v>8.1819226999999994</v>
      </c>
    </row>
    <row r="1978" spans="1:7" hidden="1" x14ac:dyDescent="0.25">
      <c r="A1978" s="24" t="s">
        <v>1981</v>
      </c>
      <c r="B1978" s="24" t="s">
        <v>115</v>
      </c>
      <c r="C1978" s="24" t="s">
        <v>281</v>
      </c>
      <c r="D1978" s="25">
        <v>17573</v>
      </c>
      <c r="E1978" s="25">
        <v>279578</v>
      </c>
      <c r="F1978" s="26">
        <v>41087</v>
      </c>
      <c r="G1978" s="27">
        <v>14.696078</v>
      </c>
    </row>
    <row r="1979" spans="1:7" hidden="1" x14ac:dyDescent="0.25">
      <c r="A1979" s="24" t="s">
        <v>1982</v>
      </c>
      <c r="B1979" s="24" t="s">
        <v>115</v>
      </c>
      <c r="C1979" s="24" t="s">
        <v>1837</v>
      </c>
      <c r="D1979" s="25">
        <v>124</v>
      </c>
      <c r="E1979" s="25">
        <v>1019359</v>
      </c>
      <c r="F1979" s="26">
        <v>39292.400000000001</v>
      </c>
      <c r="G1979" s="27">
        <v>3.8546184000000001</v>
      </c>
    </row>
    <row r="1980" spans="1:7" hidden="1" x14ac:dyDescent="0.25">
      <c r="A1980" s="24" t="s">
        <v>1983</v>
      </c>
      <c r="B1980" s="24" t="s">
        <v>115</v>
      </c>
      <c r="C1980" s="24" t="s">
        <v>1837</v>
      </c>
      <c r="D1980" s="25">
        <v>10</v>
      </c>
      <c r="E1980" s="25">
        <v>52180</v>
      </c>
      <c r="F1980" s="26">
        <v>1387.7</v>
      </c>
      <c r="G1980" s="27">
        <v>2.6594481000000001</v>
      </c>
    </row>
    <row r="1981" spans="1:7" hidden="1" x14ac:dyDescent="0.25">
      <c r="A1981" s="24" t="s">
        <v>416</v>
      </c>
      <c r="B1981" s="24" t="s">
        <v>115</v>
      </c>
      <c r="C1981" s="24" t="s">
        <v>392</v>
      </c>
      <c r="D1981" s="25">
        <v>2</v>
      </c>
      <c r="E1981" s="25">
        <v>720</v>
      </c>
      <c r="F1981" s="26">
        <v>46</v>
      </c>
      <c r="G1981" s="27">
        <v>6.3888889000000004</v>
      </c>
    </row>
    <row r="1982" spans="1:7" hidden="1" x14ac:dyDescent="0.25">
      <c r="A1982" s="24" t="s">
        <v>1984</v>
      </c>
      <c r="B1982" s="24" t="s">
        <v>115</v>
      </c>
      <c r="C1982" s="24" t="s">
        <v>1837</v>
      </c>
      <c r="D1982" s="25">
        <v>470</v>
      </c>
      <c r="E1982" s="25">
        <v>6944407</v>
      </c>
      <c r="F1982" s="26">
        <v>507048</v>
      </c>
      <c r="G1982" s="27">
        <v>7.3015306000000004</v>
      </c>
    </row>
    <row r="1983" spans="1:7" hidden="1" x14ac:dyDescent="0.25">
      <c r="A1983" s="24" t="s">
        <v>1985</v>
      </c>
      <c r="B1983" s="24" t="s">
        <v>115</v>
      </c>
      <c r="C1983" s="24" t="s">
        <v>1837</v>
      </c>
      <c r="D1983" s="25">
        <v>563</v>
      </c>
      <c r="E1983" s="25">
        <v>1689211</v>
      </c>
      <c r="F1983" s="26">
        <v>96686.7</v>
      </c>
      <c r="G1983" s="27">
        <v>5.7237787000000004</v>
      </c>
    </row>
    <row r="1984" spans="1:7" hidden="1" x14ac:dyDescent="0.25">
      <c r="A1984" s="24" t="s">
        <v>1986</v>
      </c>
      <c r="B1984" s="24" t="s">
        <v>115</v>
      </c>
      <c r="C1984" s="24" t="s">
        <v>1837</v>
      </c>
      <c r="D1984" s="25">
        <v>31138</v>
      </c>
      <c r="E1984" s="25">
        <v>623336</v>
      </c>
      <c r="F1984" s="26">
        <v>31118.1</v>
      </c>
      <c r="G1984" s="27">
        <v>4.9921872</v>
      </c>
    </row>
    <row r="1985" spans="1:7" hidden="1" x14ac:dyDescent="0.25">
      <c r="A1985" s="24" t="s">
        <v>1987</v>
      </c>
      <c r="B1985" s="24" t="s">
        <v>115</v>
      </c>
      <c r="C1985" s="24" t="s">
        <v>1837</v>
      </c>
      <c r="D1985" s="25">
        <v>5</v>
      </c>
      <c r="E1985" s="25">
        <v>437139</v>
      </c>
      <c r="F1985" s="26">
        <v>18521.8</v>
      </c>
      <c r="G1985" s="27">
        <v>4.2370504999999996</v>
      </c>
    </row>
    <row r="1986" spans="1:7" hidden="1" x14ac:dyDescent="0.25">
      <c r="A1986" s="24" t="s">
        <v>505</v>
      </c>
      <c r="B1986" s="24" t="s">
        <v>115</v>
      </c>
      <c r="C1986" s="24" t="s">
        <v>281</v>
      </c>
      <c r="D1986" s="25">
        <v>317</v>
      </c>
      <c r="E1986" s="25">
        <v>24165</v>
      </c>
      <c r="F1986" s="26">
        <v>2675.4</v>
      </c>
      <c r="G1986" s="27">
        <v>11.071384</v>
      </c>
    </row>
    <row r="1987" spans="1:7" hidden="1" x14ac:dyDescent="0.25">
      <c r="A1987" s="24" t="s">
        <v>505</v>
      </c>
      <c r="B1987" s="24" t="s">
        <v>115</v>
      </c>
      <c r="C1987" s="24" t="s">
        <v>281</v>
      </c>
      <c r="D1987" s="25">
        <v>106834</v>
      </c>
      <c r="E1987" s="25">
        <v>2719138</v>
      </c>
      <c r="F1987" s="26">
        <v>219913.5</v>
      </c>
      <c r="G1987" s="27">
        <v>8.0876181999999996</v>
      </c>
    </row>
    <row r="1988" spans="1:7" hidden="1" x14ac:dyDescent="0.25">
      <c r="A1988" s="24" t="s">
        <v>1988</v>
      </c>
      <c r="B1988" s="24" t="s">
        <v>115</v>
      </c>
      <c r="C1988" s="24" t="s">
        <v>1837</v>
      </c>
      <c r="D1988" s="25">
        <v>70705</v>
      </c>
      <c r="E1988" s="25">
        <v>1351522</v>
      </c>
      <c r="F1988" s="26">
        <v>124558.2</v>
      </c>
      <c r="G1988" s="27">
        <v>9.2161430000000006</v>
      </c>
    </row>
    <row r="1989" spans="1:7" hidden="1" x14ac:dyDescent="0.25">
      <c r="A1989" s="24" t="s">
        <v>1989</v>
      </c>
      <c r="B1989" s="24" t="s">
        <v>115</v>
      </c>
      <c r="C1989" s="24" t="s">
        <v>281</v>
      </c>
      <c r="D1989" s="25">
        <v>68269</v>
      </c>
      <c r="E1989" s="25">
        <v>1170782</v>
      </c>
      <c r="F1989" s="26">
        <v>137756.1</v>
      </c>
      <c r="G1989" s="27">
        <v>11.766161</v>
      </c>
    </row>
    <row r="1990" spans="1:7" hidden="1" x14ac:dyDescent="0.25">
      <c r="A1990" s="24" t="s">
        <v>1990</v>
      </c>
      <c r="B1990" s="24" t="s">
        <v>115</v>
      </c>
      <c r="C1990" s="24" t="s">
        <v>1837</v>
      </c>
      <c r="D1990" s="25">
        <v>225411</v>
      </c>
      <c r="E1990" s="25">
        <v>5754560</v>
      </c>
      <c r="F1990" s="26">
        <v>514438.7</v>
      </c>
      <c r="G1990" s="27">
        <v>8.9396705000000001</v>
      </c>
    </row>
    <row r="1991" spans="1:7" hidden="1" x14ac:dyDescent="0.25">
      <c r="A1991" s="24" t="s">
        <v>1991</v>
      </c>
      <c r="B1991" s="24" t="s">
        <v>115</v>
      </c>
      <c r="C1991" s="24" t="s">
        <v>281</v>
      </c>
      <c r="D1991" s="25">
        <v>82813</v>
      </c>
      <c r="E1991" s="25">
        <v>2075632</v>
      </c>
      <c r="F1991" s="26">
        <v>170836.2</v>
      </c>
      <c r="G1991" s="27">
        <v>8.2305630000000001</v>
      </c>
    </row>
    <row r="1992" spans="1:7" hidden="1" x14ac:dyDescent="0.25">
      <c r="A1992" s="24" t="s">
        <v>1992</v>
      </c>
      <c r="B1992" s="24" t="s">
        <v>115</v>
      </c>
      <c r="C1992" s="24" t="s">
        <v>281</v>
      </c>
      <c r="D1992" s="25">
        <v>45988</v>
      </c>
      <c r="E1992" s="25">
        <v>816700</v>
      </c>
      <c r="F1992" s="26">
        <v>83800</v>
      </c>
      <c r="G1992" s="27">
        <v>10.260806000000001</v>
      </c>
    </row>
    <row r="1993" spans="1:7" hidden="1" x14ac:dyDescent="0.25">
      <c r="A1993" s="24" t="s">
        <v>1993</v>
      </c>
      <c r="B1993" s="24" t="s">
        <v>115</v>
      </c>
      <c r="C1993" s="24" t="s">
        <v>1837</v>
      </c>
      <c r="D1993" s="25">
        <v>10498</v>
      </c>
      <c r="E1993" s="25">
        <v>196367</v>
      </c>
      <c r="F1993" s="26">
        <v>17245.7</v>
      </c>
      <c r="G1993" s="27">
        <v>8.7823820000000001</v>
      </c>
    </row>
    <row r="1994" spans="1:7" hidden="1" x14ac:dyDescent="0.25">
      <c r="A1994" s="24" t="s">
        <v>1994</v>
      </c>
      <c r="B1994" s="24" t="s">
        <v>115</v>
      </c>
      <c r="C1994" s="24" t="s">
        <v>1837</v>
      </c>
      <c r="D1994" s="25">
        <v>20048</v>
      </c>
      <c r="E1994" s="25">
        <v>282298</v>
      </c>
      <c r="F1994" s="26">
        <v>32150.3</v>
      </c>
      <c r="G1994" s="27">
        <v>11.388781</v>
      </c>
    </row>
    <row r="1995" spans="1:7" hidden="1" x14ac:dyDescent="0.25">
      <c r="A1995" s="24" t="s">
        <v>1995</v>
      </c>
      <c r="B1995" s="24" t="s">
        <v>115</v>
      </c>
      <c r="C1995" s="24" t="s">
        <v>1837</v>
      </c>
      <c r="D1995" s="25">
        <v>10689</v>
      </c>
      <c r="E1995" s="25">
        <v>344135</v>
      </c>
      <c r="F1995" s="26">
        <v>14964</v>
      </c>
      <c r="G1995" s="27">
        <v>4.3482934999999996</v>
      </c>
    </row>
    <row r="1996" spans="1:7" hidden="1" x14ac:dyDescent="0.25">
      <c r="A1996" s="24" t="s">
        <v>1996</v>
      </c>
      <c r="B1996" s="24" t="s">
        <v>115</v>
      </c>
      <c r="C1996" s="24" t="s">
        <v>281</v>
      </c>
      <c r="D1996" s="25">
        <v>22702</v>
      </c>
      <c r="E1996" s="25">
        <v>446530</v>
      </c>
      <c r="F1996" s="26">
        <v>45562.6</v>
      </c>
      <c r="G1996" s="27">
        <v>10.203704</v>
      </c>
    </row>
    <row r="1997" spans="1:7" hidden="1" x14ac:dyDescent="0.25">
      <c r="A1997" s="24" t="s">
        <v>1997</v>
      </c>
      <c r="B1997" s="24" t="s">
        <v>115</v>
      </c>
      <c r="C1997" s="24" t="s">
        <v>1837</v>
      </c>
      <c r="D1997" s="25">
        <v>6943</v>
      </c>
      <c r="E1997" s="25">
        <v>98607</v>
      </c>
      <c r="F1997" s="26">
        <v>3863.6</v>
      </c>
      <c r="G1997" s="27">
        <v>3.9181802999999999</v>
      </c>
    </row>
    <row r="1998" spans="1:7" hidden="1" x14ac:dyDescent="0.25">
      <c r="A1998" s="24" t="s">
        <v>1998</v>
      </c>
      <c r="B1998" s="24" t="s">
        <v>115</v>
      </c>
      <c r="C1998" s="24" t="s">
        <v>1837</v>
      </c>
      <c r="D1998" s="25">
        <v>22</v>
      </c>
      <c r="E1998" s="25">
        <v>23</v>
      </c>
      <c r="F1998" s="26">
        <v>1</v>
      </c>
      <c r="G1998" s="27">
        <v>4.3478260999999998</v>
      </c>
    </row>
    <row r="1999" spans="1:7" hidden="1" x14ac:dyDescent="0.25">
      <c r="A1999" s="24" t="s">
        <v>1999</v>
      </c>
      <c r="B1999" s="24" t="s">
        <v>115</v>
      </c>
      <c r="C1999" s="24" t="s">
        <v>283</v>
      </c>
      <c r="D1999" s="25">
        <v>14786</v>
      </c>
      <c r="E1999" s="25">
        <v>397053</v>
      </c>
      <c r="F1999" s="26">
        <v>32564</v>
      </c>
      <c r="G1999" s="27">
        <v>8.2014239999999994</v>
      </c>
    </row>
    <row r="2000" spans="1:7" hidden="1" x14ac:dyDescent="0.25">
      <c r="A2000" s="24" t="s">
        <v>2000</v>
      </c>
      <c r="B2000" s="24" t="s">
        <v>115</v>
      </c>
      <c r="C2000" s="24" t="s">
        <v>281</v>
      </c>
      <c r="D2000" s="25">
        <v>6261</v>
      </c>
      <c r="E2000" s="25">
        <v>221901</v>
      </c>
      <c r="F2000" s="26">
        <v>21235</v>
      </c>
      <c r="G2000" s="27">
        <v>9.5695827999999992</v>
      </c>
    </row>
    <row r="2001" spans="1:7" hidden="1" x14ac:dyDescent="0.25">
      <c r="A2001" s="24" t="s">
        <v>2001</v>
      </c>
      <c r="B2001" s="24" t="s">
        <v>115</v>
      </c>
      <c r="C2001" s="24" t="s">
        <v>281</v>
      </c>
      <c r="D2001" s="25">
        <v>22187</v>
      </c>
      <c r="E2001" s="25">
        <v>742359</v>
      </c>
      <c r="F2001" s="26">
        <v>59776</v>
      </c>
      <c r="G2001" s="27">
        <v>8.0521688000000005</v>
      </c>
    </row>
    <row r="2002" spans="1:7" hidden="1" x14ac:dyDescent="0.25">
      <c r="A2002" s="24" t="s">
        <v>2002</v>
      </c>
      <c r="B2002" s="24" t="s">
        <v>115</v>
      </c>
      <c r="C2002" s="24" t="s">
        <v>1837</v>
      </c>
      <c r="D2002" s="25">
        <v>4866</v>
      </c>
      <c r="E2002" s="25">
        <v>68479</v>
      </c>
      <c r="F2002" s="26">
        <v>5462.1</v>
      </c>
      <c r="G2002" s="27">
        <v>7.9763139000000001</v>
      </c>
    </row>
    <row r="2003" spans="1:7" hidden="1" x14ac:dyDescent="0.25">
      <c r="A2003" s="24" t="s">
        <v>2003</v>
      </c>
      <c r="B2003" s="24" t="s">
        <v>115</v>
      </c>
      <c r="C2003" s="24" t="s">
        <v>281</v>
      </c>
      <c r="D2003" s="25">
        <v>35773</v>
      </c>
      <c r="E2003" s="25">
        <v>606512</v>
      </c>
      <c r="F2003" s="26">
        <v>66178</v>
      </c>
      <c r="G2003" s="27">
        <v>10.911243000000001</v>
      </c>
    </row>
    <row r="2004" spans="1:7" hidden="1" x14ac:dyDescent="0.25">
      <c r="A2004" s="24" t="s">
        <v>2004</v>
      </c>
      <c r="B2004" s="24" t="s">
        <v>115</v>
      </c>
      <c r="C2004" s="24" t="s">
        <v>1837</v>
      </c>
      <c r="D2004" s="25">
        <v>32901</v>
      </c>
      <c r="E2004" s="25">
        <v>484484</v>
      </c>
      <c r="F2004" s="26">
        <v>55275</v>
      </c>
      <c r="G2004" s="27">
        <v>11.409045000000001</v>
      </c>
    </row>
    <row r="2005" spans="1:7" hidden="1" x14ac:dyDescent="0.25">
      <c r="A2005" s="24" t="s">
        <v>2005</v>
      </c>
      <c r="B2005" s="24" t="s">
        <v>115</v>
      </c>
      <c r="C2005" s="24" t="s">
        <v>1837</v>
      </c>
      <c r="D2005" s="25">
        <v>20104</v>
      </c>
      <c r="E2005" s="25">
        <v>224092</v>
      </c>
      <c r="F2005" s="26">
        <v>31551.200000000001</v>
      </c>
      <c r="G2005" s="27">
        <v>14.079573999999999</v>
      </c>
    </row>
    <row r="2006" spans="1:7" hidden="1" x14ac:dyDescent="0.25">
      <c r="A2006" s="24" t="s">
        <v>2006</v>
      </c>
      <c r="B2006" s="24" t="s">
        <v>117</v>
      </c>
      <c r="C2006" s="24" t="s">
        <v>281</v>
      </c>
      <c r="D2006" s="25">
        <v>2033</v>
      </c>
      <c r="E2006" s="25">
        <v>12654</v>
      </c>
      <c r="F2006" s="26">
        <v>1865.5</v>
      </c>
      <c r="G2006" s="27">
        <v>14.742374</v>
      </c>
    </row>
    <row r="2007" spans="1:7" hidden="1" x14ac:dyDescent="0.25">
      <c r="A2007" s="24" t="s">
        <v>2007</v>
      </c>
      <c r="B2007" s="24" t="s">
        <v>117</v>
      </c>
      <c r="C2007" s="24" t="s">
        <v>283</v>
      </c>
      <c r="D2007" s="25">
        <v>7861</v>
      </c>
      <c r="E2007" s="25">
        <v>159167</v>
      </c>
      <c r="F2007" s="26">
        <v>14419</v>
      </c>
      <c r="G2007" s="27">
        <v>9.0590385999999992</v>
      </c>
    </row>
    <row r="2008" spans="1:7" hidden="1" x14ac:dyDescent="0.25">
      <c r="A2008" s="24" t="s">
        <v>2008</v>
      </c>
      <c r="B2008" s="24" t="s">
        <v>117</v>
      </c>
      <c r="C2008" s="24" t="s">
        <v>283</v>
      </c>
      <c r="D2008" s="25">
        <v>16899</v>
      </c>
      <c r="E2008" s="25">
        <v>288409</v>
      </c>
      <c r="F2008" s="26">
        <v>26976</v>
      </c>
      <c r="G2008" s="27">
        <v>9.3533836000000008</v>
      </c>
    </row>
    <row r="2009" spans="1:7" hidden="1" x14ac:dyDescent="0.25">
      <c r="A2009" s="24" t="s">
        <v>2009</v>
      </c>
      <c r="B2009" s="24" t="s">
        <v>117</v>
      </c>
      <c r="C2009" s="24" t="s">
        <v>283</v>
      </c>
      <c r="D2009" s="25">
        <v>20064</v>
      </c>
      <c r="E2009" s="25">
        <v>413445</v>
      </c>
      <c r="F2009" s="26">
        <v>35214.800000000003</v>
      </c>
      <c r="G2009" s="27">
        <v>8.5174085999999996</v>
      </c>
    </row>
    <row r="2010" spans="1:7" hidden="1" x14ac:dyDescent="0.25">
      <c r="A2010" s="24" t="s">
        <v>2010</v>
      </c>
      <c r="B2010" s="24" t="s">
        <v>117</v>
      </c>
      <c r="C2010" s="24" t="s">
        <v>283</v>
      </c>
      <c r="D2010" s="25">
        <v>17942</v>
      </c>
      <c r="E2010" s="25">
        <v>408122</v>
      </c>
      <c r="F2010" s="26">
        <v>33946</v>
      </c>
      <c r="G2010" s="27">
        <v>8.3176109</v>
      </c>
    </row>
    <row r="2011" spans="1:7" hidden="1" x14ac:dyDescent="0.25">
      <c r="A2011" s="24" t="s">
        <v>2011</v>
      </c>
      <c r="B2011" s="24" t="s">
        <v>117</v>
      </c>
      <c r="C2011" s="24" t="s">
        <v>283</v>
      </c>
      <c r="D2011" s="25">
        <v>11531</v>
      </c>
      <c r="E2011" s="25">
        <v>260973</v>
      </c>
      <c r="F2011" s="26">
        <v>25373.8</v>
      </c>
      <c r="G2011" s="27">
        <v>9.7227683000000003</v>
      </c>
    </row>
    <row r="2012" spans="1:7" hidden="1" x14ac:dyDescent="0.25">
      <c r="A2012" s="24" t="s">
        <v>2012</v>
      </c>
      <c r="B2012" s="24" t="s">
        <v>117</v>
      </c>
      <c r="C2012" s="24" t="s">
        <v>283</v>
      </c>
      <c r="D2012" s="25">
        <v>29779</v>
      </c>
      <c r="E2012" s="25">
        <v>634689</v>
      </c>
      <c r="F2012" s="26">
        <v>58803.9</v>
      </c>
      <c r="G2012" s="27">
        <v>9.2649944000000009</v>
      </c>
    </row>
    <row r="2013" spans="1:7" hidden="1" x14ac:dyDescent="0.25">
      <c r="A2013" s="24" t="s">
        <v>2013</v>
      </c>
      <c r="B2013" s="24" t="s">
        <v>117</v>
      </c>
      <c r="C2013" s="24" t="s">
        <v>283</v>
      </c>
      <c r="D2013" s="25">
        <v>7310</v>
      </c>
      <c r="E2013" s="25">
        <v>121662</v>
      </c>
      <c r="F2013" s="26">
        <v>12273.6</v>
      </c>
      <c r="G2013" s="27">
        <v>10.088277</v>
      </c>
    </row>
    <row r="2014" spans="1:7" hidden="1" x14ac:dyDescent="0.25">
      <c r="A2014" s="24" t="s">
        <v>393</v>
      </c>
      <c r="B2014" s="24" t="s">
        <v>117</v>
      </c>
      <c r="C2014" s="24" t="s">
        <v>281</v>
      </c>
      <c r="D2014" s="25">
        <v>17832</v>
      </c>
      <c r="E2014" s="25">
        <v>457063</v>
      </c>
      <c r="F2014" s="26">
        <v>32018.9</v>
      </c>
      <c r="G2014" s="27">
        <v>7.0053580999999996</v>
      </c>
    </row>
    <row r="2015" spans="1:7" hidden="1" x14ac:dyDescent="0.25">
      <c r="A2015" s="24" t="s">
        <v>482</v>
      </c>
      <c r="B2015" s="24" t="s">
        <v>117</v>
      </c>
      <c r="C2015" s="24" t="s">
        <v>281</v>
      </c>
      <c r="D2015" s="25">
        <v>1270</v>
      </c>
      <c r="E2015" s="25">
        <v>16716</v>
      </c>
      <c r="F2015" s="26">
        <v>2340</v>
      </c>
      <c r="G2015" s="27">
        <v>13.998564</v>
      </c>
    </row>
    <row r="2016" spans="1:7" hidden="1" x14ac:dyDescent="0.25">
      <c r="A2016" s="24" t="s">
        <v>398</v>
      </c>
      <c r="B2016" s="24" t="s">
        <v>117</v>
      </c>
      <c r="C2016" s="24" t="s">
        <v>281</v>
      </c>
      <c r="D2016" s="25">
        <v>12029</v>
      </c>
      <c r="E2016" s="25">
        <v>206062</v>
      </c>
      <c r="F2016" s="26">
        <v>20239.3</v>
      </c>
      <c r="G2016" s="27">
        <v>9.8219467999999992</v>
      </c>
    </row>
    <row r="2017" spans="1:7" hidden="1" x14ac:dyDescent="0.25">
      <c r="A2017" s="24" t="s">
        <v>2014</v>
      </c>
      <c r="B2017" s="24" t="s">
        <v>117</v>
      </c>
      <c r="C2017" s="24" t="s">
        <v>283</v>
      </c>
      <c r="D2017" s="25">
        <v>12032</v>
      </c>
      <c r="E2017" s="25">
        <v>168214</v>
      </c>
      <c r="F2017" s="26">
        <v>15983</v>
      </c>
      <c r="G2017" s="27">
        <v>9.5015873000000006</v>
      </c>
    </row>
    <row r="2018" spans="1:7" hidden="1" x14ac:dyDescent="0.25">
      <c r="A2018" s="24" t="s">
        <v>2015</v>
      </c>
      <c r="B2018" s="24" t="s">
        <v>117</v>
      </c>
      <c r="C2018" s="24" t="s">
        <v>283</v>
      </c>
      <c r="D2018" s="25">
        <v>6586</v>
      </c>
      <c r="E2018" s="25">
        <v>116997</v>
      </c>
      <c r="F2018" s="26">
        <v>10587</v>
      </c>
      <c r="G2018" s="27">
        <v>9.0489499999999996</v>
      </c>
    </row>
    <row r="2019" spans="1:7" hidden="1" x14ac:dyDescent="0.25">
      <c r="A2019" s="24" t="s">
        <v>2016</v>
      </c>
      <c r="B2019" s="24" t="s">
        <v>117</v>
      </c>
      <c r="C2019" s="24" t="s">
        <v>283</v>
      </c>
      <c r="D2019" s="25">
        <v>2818</v>
      </c>
      <c r="E2019" s="25">
        <v>90342</v>
      </c>
      <c r="F2019" s="26">
        <v>6441</v>
      </c>
      <c r="G2019" s="27">
        <v>7.1295742999999998</v>
      </c>
    </row>
    <row r="2020" spans="1:7" hidden="1" x14ac:dyDescent="0.25">
      <c r="A2020" s="24" t="s">
        <v>2017</v>
      </c>
      <c r="B2020" s="24" t="s">
        <v>117</v>
      </c>
      <c r="C2020" s="24" t="s">
        <v>283</v>
      </c>
      <c r="D2020" s="25">
        <v>9528</v>
      </c>
      <c r="E2020" s="25">
        <v>148585</v>
      </c>
      <c r="F2020" s="26">
        <v>13350</v>
      </c>
      <c r="G2020" s="27">
        <v>8.9847561999999996</v>
      </c>
    </row>
    <row r="2021" spans="1:7" hidden="1" x14ac:dyDescent="0.25">
      <c r="A2021" s="24" t="s">
        <v>2018</v>
      </c>
      <c r="B2021" s="24" t="s">
        <v>117</v>
      </c>
      <c r="C2021" s="24" t="s">
        <v>283</v>
      </c>
      <c r="D2021" s="25">
        <v>20070</v>
      </c>
      <c r="E2021" s="25">
        <v>355615</v>
      </c>
      <c r="F2021" s="26">
        <v>32001.1</v>
      </c>
      <c r="G2021" s="27">
        <v>8.9988048999999997</v>
      </c>
    </row>
    <row r="2022" spans="1:7" hidden="1" x14ac:dyDescent="0.25">
      <c r="A2022" s="24" t="s">
        <v>491</v>
      </c>
      <c r="B2022" s="24" t="s">
        <v>117</v>
      </c>
      <c r="C2022" s="24" t="s">
        <v>281</v>
      </c>
      <c r="D2022" s="25">
        <v>17039</v>
      </c>
      <c r="E2022" s="25">
        <v>552927</v>
      </c>
      <c r="F2022" s="26">
        <v>42907.1</v>
      </c>
      <c r="G2022" s="27">
        <v>7.7599935999999996</v>
      </c>
    </row>
    <row r="2023" spans="1:7" hidden="1" x14ac:dyDescent="0.25">
      <c r="A2023" s="24" t="s">
        <v>1506</v>
      </c>
      <c r="B2023" s="24" t="s">
        <v>117</v>
      </c>
      <c r="C2023" s="24" t="s">
        <v>281</v>
      </c>
      <c r="D2023" s="25">
        <v>385</v>
      </c>
      <c r="E2023" s="25">
        <v>11230</v>
      </c>
      <c r="F2023" s="26">
        <v>766.1</v>
      </c>
      <c r="G2023" s="27">
        <v>6.8219056</v>
      </c>
    </row>
    <row r="2024" spans="1:7" hidden="1" x14ac:dyDescent="0.25">
      <c r="A2024" s="24" t="s">
        <v>404</v>
      </c>
      <c r="B2024" s="24" t="s">
        <v>117</v>
      </c>
      <c r="C2024" s="24" t="s">
        <v>174</v>
      </c>
      <c r="D2024" s="25">
        <v>1897</v>
      </c>
      <c r="E2024" s="25">
        <v>167506</v>
      </c>
      <c r="F2024" s="26">
        <v>10412</v>
      </c>
      <c r="G2024" s="27">
        <v>6.2158967000000001</v>
      </c>
    </row>
    <row r="2025" spans="1:7" hidden="1" x14ac:dyDescent="0.25">
      <c r="A2025" s="24" t="s">
        <v>457</v>
      </c>
      <c r="B2025" s="24" t="s">
        <v>117</v>
      </c>
      <c r="C2025" s="24" t="s">
        <v>278</v>
      </c>
      <c r="D2025" s="25">
        <v>892849</v>
      </c>
      <c r="E2025" s="25">
        <v>24132846</v>
      </c>
      <c r="F2025" s="26">
        <v>2070271</v>
      </c>
      <c r="G2025" s="27">
        <v>8.5786441999999994</v>
      </c>
    </row>
    <row r="2026" spans="1:7" hidden="1" x14ac:dyDescent="0.25">
      <c r="A2026" s="24" t="s">
        <v>2019</v>
      </c>
      <c r="B2026" s="24" t="s">
        <v>117</v>
      </c>
      <c r="C2026" s="24" t="s">
        <v>283</v>
      </c>
      <c r="D2026" s="25">
        <v>6230</v>
      </c>
      <c r="E2026" s="25">
        <v>117727</v>
      </c>
      <c r="F2026" s="26">
        <v>12267</v>
      </c>
      <c r="G2026" s="27">
        <v>10.41987</v>
      </c>
    </row>
    <row r="2027" spans="1:7" hidden="1" x14ac:dyDescent="0.25">
      <c r="A2027" s="24" t="s">
        <v>2020</v>
      </c>
      <c r="B2027" s="24" t="s">
        <v>117</v>
      </c>
      <c r="C2027" s="24" t="s">
        <v>283</v>
      </c>
      <c r="D2027" s="25">
        <v>36538</v>
      </c>
      <c r="E2027" s="25">
        <v>778397</v>
      </c>
      <c r="F2027" s="26">
        <v>69584</v>
      </c>
      <c r="G2027" s="27">
        <v>8.9393972000000002</v>
      </c>
    </row>
    <row r="2028" spans="1:7" hidden="1" x14ac:dyDescent="0.25">
      <c r="A2028" s="24" t="s">
        <v>754</v>
      </c>
      <c r="B2028" s="24" t="s">
        <v>117</v>
      </c>
      <c r="C2028" s="24" t="s">
        <v>281</v>
      </c>
      <c r="D2028" s="25">
        <v>707</v>
      </c>
      <c r="E2028" s="25">
        <v>32777</v>
      </c>
      <c r="F2028" s="26">
        <v>1885</v>
      </c>
      <c r="G2028" s="27">
        <v>5.7509838999999996</v>
      </c>
    </row>
    <row r="2029" spans="1:7" hidden="1" x14ac:dyDescent="0.25">
      <c r="A2029" s="24" t="s">
        <v>408</v>
      </c>
      <c r="B2029" s="24" t="s">
        <v>117</v>
      </c>
      <c r="C2029" s="24" t="s">
        <v>392</v>
      </c>
      <c r="D2029" s="25">
        <v>2</v>
      </c>
      <c r="E2029" s="25">
        <v>1617</v>
      </c>
      <c r="F2029" s="26">
        <v>104.9</v>
      </c>
      <c r="G2029" s="27">
        <v>6.4873222000000004</v>
      </c>
    </row>
    <row r="2030" spans="1:7" hidden="1" x14ac:dyDescent="0.25">
      <c r="A2030" s="24" t="s">
        <v>2021</v>
      </c>
      <c r="B2030" s="24" t="s">
        <v>117</v>
      </c>
      <c r="C2030" s="24" t="s">
        <v>283</v>
      </c>
      <c r="D2030" s="25">
        <v>12140</v>
      </c>
      <c r="E2030" s="25">
        <v>244755</v>
      </c>
      <c r="F2030" s="26">
        <v>22240</v>
      </c>
      <c r="G2030" s="27">
        <v>9.0866377000000007</v>
      </c>
    </row>
    <row r="2031" spans="1:7" hidden="1" x14ac:dyDescent="0.25">
      <c r="A2031" s="24" t="s">
        <v>2022</v>
      </c>
      <c r="B2031" s="24" t="s">
        <v>117</v>
      </c>
      <c r="C2031" s="24" t="s">
        <v>385</v>
      </c>
      <c r="D2031" s="25">
        <v>3716</v>
      </c>
      <c r="E2031" s="25">
        <v>55797</v>
      </c>
      <c r="F2031" s="26">
        <v>5859.6</v>
      </c>
      <c r="G2031" s="27">
        <v>10.50164</v>
      </c>
    </row>
    <row r="2032" spans="1:7" hidden="1" x14ac:dyDescent="0.25">
      <c r="A2032" s="24" t="s">
        <v>421</v>
      </c>
      <c r="B2032" s="24" t="s">
        <v>117</v>
      </c>
      <c r="C2032" s="24" t="s">
        <v>392</v>
      </c>
      <c r="D2032" s="25">
        <v>572</v>
      </c>
      <c r="E2032" s="25">
        <v>5199</v>
      </c>
      <c r="F2032" s="26">
        <v>514.20000000000005</v>
      </c>
      <c r="G2032" s="27">
        <v>9.8903634999999994</v>
      </c>
    </row>
    <row r="2033" spans="1:7" hidden="1" x14ac:dyDescent="0.25">
      <c r="A2033" s="24" t="s">
        <v>422</v>
      </c>
      <c r="B2033" s="24" t="s">
        <v>117</v>
      </c>
      <c r="C2033" s="24" t="s">
        <v>351</v>
      </c>
      <c r="D2033" s="25">
        <v>9</v>
      </c>
      <c r="E2033" s="25">
        <v>55394</v>
      </c>
      <c r="F2033" s="26">
        <v>1553.2</v>
      </c>
      <c r="G2033" s="27">
        <v>2.8039138000000001</v>
      </c>
    </row>
    <row r="2034" spans="1:7" hidden="1" x14ac:dyDescent="0.25">
      <c r="A2034" s="24" t="s">
        <v>1510</v>
      </c>
      <c r="B2034" s="24" t="s">
        <v>117</v>
      </c>
      <c r="C2034" s="24" t="s">
        <v>281</v>
      </c>
      <c r="D2034" s="25">
        <v>708</v>
      </c>
      <c r="E2034" s="25">
        <v>32443</v>
      </c>
      <c r="F2034" s="26">
        <v>2749</v>
      </c>
      <c r="G2034" s="27">
        <v>8.4733224000000007</v>
      </c>
    </row>
    <row r="2035" spans="1:7" hidden="1" x14ac:dyDescent="0.25">
      <c r="A2035" s="24" t="s">
        <v>1020</v>
      </c>
      <c r="B2035" s="24" t="s">
        <v>123</v>
      </c>
      <c r="C2035" s="24" t="s">
        <v>281</v>
      </c>
      <c r="D2035" s="25">
        <v>35309</v>
      </c>
      <c r="E2035" s="25">
        <v>670179</v>
      </c>
      <c r="F2035" s="26">
        <v>68221.399999999994</v>
      </c>
      <c r="G2035" s="27">
        <v>10.179579</v>
      </c>
    </row>
    <row r="2036" spans="1:7" hidden="1" x14ac:dyDescent="0.25">
      <c r="A2036" s="24" t="s">
        <v>2023</v>
      </c>
      <c r="B2036" s="24" t="s">
        <v>123</v>
      </c>
      <c r="C2036" s="24" t="s">
        <v>278</v>
      </c>
      <c r="D2036" s="25">
        <v>529821</v>
      </c>
      <c r="E2036" s="25">
        <v>14868091</v>
      </c>
      <c r="F2036" s="26">
        <v>1365810</v>
      </c>
      <c r="G2036" s="27">
        <v>9.1861826999999998</v>
      </c>
    </row>
    <row r="2037" spans="1:7" hidden="1" x14ac:dyDescent="0.25">
      <c r="A2037" s="24" t="s">
        <v>2024</v>
      </c>
      <c r="B2037" s="24" t="s">
        <v>123</v>
      </c>
      <c r="C2037" s="24" t="s">
        <v>281</v>
      </c>
      <c r="D2037" s="25">
        <v>12723</v>
      </c>
      <c r="E2037" s="25">
        <v>173401</v>
      </c>
      <c r="F2037" s="26">
        <v>21170</v>
      </c>
      <c r="G2037" s="27">
        <v>12.208695000000001</v>
      </c>
    </row>
    <row r="2038" spans="1:7" hidden="1" x14ac:dyDescent="0.25">
      <c r="A2038" s="24" t="s">
        <v>2025</v>
      </c>
      <c r="B2038" s="24" t="s">
        <v>123</v>
      </c>
      <c r="C2038" s="24" t="s">
        <v>283</v>
      </c>
      <c r="D2038" s="25">
        <v>16314</v>
      </c>
      <c r="E2038" s="25">
        <v>481990</v>
      </c>
      <c r="F2038" s="26">
        <v>49447</v>
      </c>
      <c r="G2038" s="27">
        <v>10.258927</v>
      </c>
    </row>
    <row r="2039" spans="1:7" hidden="1" x14ac:dyDescent="0.25">
      <c r="A2039" s="24" t="s">
        <v>2026</v>
      </c>
      <c r="B2039" s="24" t="s">
        <v>123</v>
      </c>
      <c r="C2039" s="24" t="s">
        <v>281</v>
      </c>
      <c r="D2039" s="25">
        <v>36702</v>
      </c>
      <c r="E2039" s="25">
        <v>724543</v>
      </c>
      <c r="F2039" s="26">
        <v>78615</v>
      </c>
      <c r="G2039" s="27">
        <v>10.850288000000001</v>
      </c>
    </row>
    <row r="2040" spans="1:7" hidden="1" x14ac:dyDescent="0.25">
      <c r="A2040" s="24" t="s">
        <v>2027</v>
      </c>
      <c r="B2040" s="24" t="s">
        <v>123</v>
      </c>
      <c r="C2040" s="24" t="s">
        <v>283</v>
      </c>
      <c r="D2040" s="25">
        <v>42082</v>
      </c>
      <c r="E2040" s="25">
        <v>929373</v>
      </c>
      <c r="F2040" s="26">
        <v>99250</v>
      </c>
      <c r="G2040" s="27">
        <v>10.679243</v>
      </c>
    </row>
    <row r="2041" spans="1:7" hidden="1" x14ac:dyDescent="0.25">
      <c r="A2041" s="24" t="s">
        <v>2028</v>
      </c>
      <c r="B2041" s="24" t="s">
        <v>123</v>
      </c>
      <c r="C2041" s="24" t="s">
        <v>283</v>
      </c>
      <c r="D2041" s="25">
        <v>5437</v>
      </c>
      <c r="E2041" s="25">
        <v>128191</v>
      </c>
      <c r="F2041" s="26">
        <v>14504</v>
      </c>
      <c r="G2041" s="27">
        <v>11.314367000000001</v>
      </c>
    </row>
    <row r="2042" spans="1:7" hidden="1" x14ac:dyDescent="0.25">
      <c r="A2042" s="24" t="s">
        <v>2029</v>
      </c>
      <c r="B2042" s="24" t="s">
        <v>123</v>
      </c>
      <c r="C2042" s="24" t="s">
        <v>283</v>
      </c>
      <c r="D2042" s="25">
        <v>21101</v>
      </c>
      <c r="E2042" s="25">
        <v>707196</v>
      </c>
      <c r="F2042" s="26">
        <v>61697</v>
      </c>
      <c r="G2042" s="27">
        <v>8.7241725999999993</v>
      </c>
    </row>
    <row r="2043" spans="1:7" hidden="1" x14ac:dyDescent="0.25">
      <c r="A2043" s="24" t="s">
        <v>2030</v>
      </c>
      <c r="B2043" s="24" t="s">
        <v>123</v>
      </c>
      <c r="C2043" s="24" t="s">
        <v>283</v>
      </c>
      <c r="D2043" s="25">
        <v>16075</v>
      </c>
      <c r="E2043" s="25">
        <v>405621</v>
      </c>
      <c r="F2043" s="26">
        <v>37600</v>
      </c>
      <c r="G2043" s="27">
        <v>9.2697369999999992</v>
      </c>
    </row>
    <row r="2044" spans="1:7" hidden="1" x14ac:dyDescent="0.25">
      <c r="A2044" s="24" t="s">
        <v>2031</v>
      </c>
      <c r="B2044" s="24" t="s">
        <v>123</v>
      </c>
      <c r="C2044" s="24" t="s">
        <v>283</v>
      </c>
      <c r="D2044" s="25">
        <v>7665</v>
      </c>
      <c r="E2044" s="25">
        <v>152871</v>
      </c>
      <c r="F2044" s="26">
        <v>17506</v>
      </c>
      <c r="G2044" s="27">
        <v>11.451485</v>
      </c>
    </row>
    <row r="2045" spans="1:7" hidden="1" x14ac:dyDescent="0.25">
      <c r="A2045" s="24" t="s">
        <v>2032</v>
      </c>
      <c r="B2045" s="24" t="s">
        <v>123</v>
      </c>
      <c r="C2045" s="24" t="s">
        <v>283</v>
      </c>
      <c r="D2045" s="25">
        <v>7415</v>
      </c>
      <c r="E2045" s="25">
        <v>167567</v>
      </c>
      <c r="F2045" s="26">
        <v>18936</v>
      </c>
      <c r="G2045" s="27">
        <v>11.300554</v>
      </c>
    </row>
    <row r="2046" spans="1:7" hidden="1" x14ac:dyDescent="0.25">
      <c r="A2046" s="24" t="s">
        <v>2033</v>
      </c>
      <c r="B2046" s="24" t="s">
        <v>123</v>
      </c>
      <c r="C2046" s="24" t="s">
        <v>283</v>
      </c>
      <c r="D2046" s="25">
        <v>13113</v>
      </c>
      <c r="E2046" s="25">
        <v>353048</v>
      </c>
      <c r="F2046" s="26">
        <v>38549.1</v>
      </c>
      <c r="G2046" s="27">
        <v>10.918939999999999</v>
      </c>
    </row>
    <row r="2047" spans="1:7" hidden="1" x14ac:dyDescent="0.25">
      <c r="A2047" s="24" t="s">
        <v>2034</v>
      </c>
      <c r="B2047" s="24" t="s">
        <v>123</v>
      </c>
      <c r="C2047" s="24" t="s">
        <v>281</v>
      </c>
      <c r="D2047" s="25">
        <v>11055</v>
      </c>
      <c r="E2047" s="25">
        <v>187340</v>
      </c>
      <c r="F2047" s="26">
        <v>20494</v>
      </c>
      <c r="G2047" s="27">
        <v>10.939468</v>
      </c>
    </row>
    <row r="2048" spans="1:7" hidden="1" x14ac:dyDescent="0.25">
      <c r="A2048" s="24" t="s">
        <v>2035</v>
      </c>
      <c r="B2048" s="24" t="s">
        <v>123</v>
      </c>
      <c r="C2048" s="24" t="s">
        <v>281</v>
      </c>
      <c r="D2048" s="25">
        <v>6693</v>
      </c>
      <c r="E2048" s="25">
        <v>77770</v>
      </c>
      <c r="F2048" s="26">
        <v>11158.3</v>
      </c>
      <c r="G2048" s="27">
        <v>14.34782</v>
      </c>
    </row>
    <row r="2049" spans="1:7" hidden="1" x14ac:dyDescent="0.25">
      <c r="A2049" s="24" t="s">
        <v>953</v>
      </c>
      <c r="B2049" s="24" t="s">
        <v>123</v>
      </c>
      <c r="C2049" s="24" t="s">
        <v>278</v>
      </c>
      <c r="D2049" s="25">
        <v>28121</v>
      </c>
      <c r="E2049" s="25">
        <v>702246</v>
      </c>
      <c r="F2049" s="26">
        <v>69924.7</v>
      </c>
      <c r="G2049" s="27">
        <v>9.9572941999999998</v>
      </c>
    </row>
    <row r="2050" spans="1:7" hidden="1" x14ac:dyDescent="0.25">
      <c r="A2050" s="24" t="s">
        <v>1349</v>
      </c>
      <c r="B2050" s="24" t="s">
        <v>123</v>
      </c>
      <c r="C2050" s="24" t="s">
        <v>281</v>
      </c>
      <c r="D2050" s="25">
        <v>31201</v>
      </c>
      <c r="E2050" s="25">
        <v>595807</v>
      </c>
      <c r="F2050" s="26">
        <v>63092.9</v>
      </c>
      <c r="G2050" s="27">
        <v>10.589486000000001</v>
      </c>
    </row>
    <row r="2051" spans="1:7" hidden="1" x14ac:dyDescent="0.25">
      <c r="A2051" s="24" t="s">
        <v>2036</v>
      </c>
      <c r="B2051" s="24" t="s">
        <v>123</v>
      </c>
      <c r="C2051" s="24" t="s">
        <v>281</v>
      </c>
      <c r="D2051" s="25">
        <v>18993</v>
      </c>
      <c r="E2051" s="25">
        <v>256839</v>
      </c>
      <c r="F2051" s="26">
        <v>33101</v>
      </c>
      <c r="G2051" s="27">
        <v>12.887840000000001</v>
      </c>
    </row>
    <row r="2052" spans="1:7" hidden="1" x14ac:dyDescent="0.25">
      <c r="A2052" s="24" t="s">
        <v>2037</v>
      </c>
      <c r="B2052" s="24" t="s">
        <v>123</v>
      </c>
      <c r="C2052" s="24" t="s">
        <v>281</v>
      </c>
      <c r="D2052" s="25">
        <v>167469</v>
      </c>
      <c r="E2052" s="25">
        <v>4545135</v>
      </c>
      <c r="F2052" s="26">
        <v>452138</v>
      </c>
      <c r="G2052" s="27">
        <v>9.9477352999999997</v>
      </c>
    </row>
    <row r="2053" spans="1:7" hidden="1" x14ac:dyDescent="0.25">
      <c r="A2053" s="24" t="s">
        <v>1826</v>
      </c>
      <c r="B2053" s="24" t="s">
        <v>123</v>
      </c>
      <c r="C2053" s="24" t="s">
        <v>281</v>
      </c>
      <c r="D2053" s="25">
        <v>8155</v>
      </c>
      <c r="E2053" s="25">
        <v>130451</v>
      </c>
      <c r="F2053" s="26">
        <v>13744</v>
      </c>
      <c r="G2053" s="27">
        <v>10.535757</v>
      </c>
    </row>
    <row r="2054" spans="1:7" hidden="1" x14ac:dyDescent="0.25">
      <c r="A2054" s="24" t="s">
        <v>2038</v>
      </c>
      <c r="B2054" s="24" t="s">
        <v>123</v>
      </c>
      <c r="C2054" s="24" t="s">
        <v>281</v>
      </c>
      <c r="D2054" s="25">
        <v>11638</v>
      </c>
      <c r="E2054" s="25">
        <v>326948</v>
      </c>
      <c r="F2054" s="26">
        <v>33417</v>
      </c>
      <c r="G2054" s="27">
        <v>10.220891</v>
      </c>
    </row>
    <row r="2055" spans="1:7" hidden="1" x14ac:dyDescent="0.25">
      <c r="A2055" s="24" t="s">
        <v>2039</v>
      </c>
      <c r="B2055" s="24" t="s">
        <v>123</v>
      </c>
      <c r="C2055" s="24" t="s">
        <v>281</v>
      </c>
      <c r="D2055" s="25">
        <v>161567</v>
      </c>
      <c r="E2055" s="25">
        <v>3711175</v>
      </c>
      <c r="F2055" s="26">
        <v>368141</v>
      </c>
      <c r="G2055" s="27">
        <v>9.9197962999999998</v>
      </c>
    </row>
    <row r="2056" spans="1:7" hidden="1" x14ac:dyDescent="0.25">
      <c r="A2056" s="24" t="s">
        <v>2040</v>
      </c>
      <c r="B2056" s="24" t="s">
        <v>123</v>
      </c>
      <c r="C2056" s="24" t="s">
        <v>281</v>
      </c>
      <c r="D2056" s="25">
        <v>93405</v>
      </c>
      <c r="E2056" s="25">
        <v>2334271</v>
      </c>
      <c r="F2056" s="26">
        <v>224002.8</v>
      </c>
      <c r="G2056" s="27">
        <v>9.5962636999999997</v>
      </c>
    </row>
    <row r="2057" spans="1:7" hidden="1" x14ac:dyDescent="0.25">
      <c r="A2057" s="24" t="s">
        <v>408</v>
      </c>
      <c r="B2057" s="24" t="s">
        <v>123</v>
      </c>
      <c r="C2057" s="24" t="s">
        <v>392</v>
      </c>
      <c r="D2057" s="25">
        <v>65</v>
      </c>
      <c r="E2057" s="25">
        <v>331</v>
      </c>
      <c r="F2057" s="26">
        <v>22.4</v>
      </c>
      <c r="G2057" s="27">
        <v>6.7673715999999997</v>
      </c>
    </row>
    <row r="2058" spans="1:7" hidden="1" x14ac:dyDescent="0.25">
      <c r="A2058" s="24" t="s">
        <v>2041</v>
      </c>
      <c r="B2058" s="24" t="s">
        <v>123</v>
      </c>
      <c r="C2058" s="24" t="s">
        <v>281</v>
      </c>
      <c r="D2058" s="25">
        <v>56072</v>
      </c>
      <c r="E2058" s="25">
        <v>884128</v>
      </c>
      <c r="F2058" s="26">
        <v>107745</v>
      </c>
      <c r="G2058" s="27">
        <v>12.186584</v>
      </c>
    </row>
    <row r="2059" spans="1:7" hidden="1" x14ac:dyDescent="0.25">
      <c r="A2059" s="24" t="s">
        <v>2042</v>
      </c>
      <c r="B2059" s="24" t="s">
        <v>123</v>
      </c>
      <c r="C2059" s="24" t="s">
        <v>283</v>
      </c>
      <c r="D2059" s="25">
        <v>6629</v>
      </c>
      <c r="E2059" s="25">
        <v>203552</v>
      </c>
      <c r="F2059" s="26">
        <v>20505.5</v>
      </c>
      <c r="G2059" s="27">
        <v>10.073839</v>
      </c>
    </row>
    <row r="2060" spans="1:7" hidden="1" x14ac:dyDescent="0.25">
      <c r="A2060" s="24" t="s">
        <v>2043</v>
      </c>
      <c r="B2060" s="24" t="s">
        <v>123</v>
      </c>
      <c r="C2060" s="24" t="s">
        <v>283</v>
      </c>
      <c r="D2060" s="25">
        <v>5390</v>
      </c>
      <c r="E2060" s="25">
        <v>102138</v>
      </c>
      <c r="F2060" s="26">
        <v>11582</v>
      </c>
      <c r="G2060" s="27">
        <v>11.339560000000001</v>
      </c>
    </row>
    <row r="2061" spans="1:7" hidden="1" x14ac:dyDescent="0.25">
      <c r="A2061" s="24" t="s">
        <v>2044</v>
      </c>
      <c r="B2061" s="24" t="s">
        <v>123</v>
      </c>
      <c r="C2061" s="24" t="s">
        <v>283</v>
      </c>
      <c r="D2061" s="25">
        <v>7672</v>
      </c>
      <c r="E2061" s="25">
        <v>161906</v>
      </c>
      <c r="F2061" s="26">
        <v>16594</v>
      </c>
      <c r="G2061" s="27">
        <v>10.249157</v>
      </c>
    </row>
    <row r="2062" spans="1:7" hidden="1" x14ac:dyDescent="0.25">
      <c r="A2062" s="24" t="s">
        <v>1373</v>
      </c>
      <c r="B2062" s="24" t="s">
        <v>123</v>
      </c>
      <c r="C2062" s="24" t="s">
        <v>278</v>
      </c>
      <c r="D2062" s="25">
        <v>2454141</v>
      </c>
      <c r="E2062" s="25">
        <v>76497814</v>
      </c>
      <c r="F2062" s="26">
        <v>6841523.5999999996</v>
      </c>
      <c r="G2062" s="27">
        <v>8.9434237000000003</v>
      </c>
    </row>
    <row r="2063" spans="1:7" hidden="1" x14ac:dyDescent="0.25">
      <c r="A2063" s="24" t="s">
        <v>2045</v>
      </c>
      <c r="B2063" s="24" t="s">
        <v>123</v>
      </c>
      <c r="C2063" s="24" t="s">
        <v>174</v>
      </c>
      <c r="D2063" s="25">
        <v>6427</v>
      </c>
      <c r="E2063" s="25">
        <v>340892</v>
      </c>
      <c r="F2063" s="26">
        <v>32524.1</v>
      </c>
      <c r="G2063" s="27">
        <v>9.5408810000000006</v>
      </c>
    </row>
    <row r="2064" spans="1:7" hidden="1" x14ac:dyDescent="0.25">
      <c r="A2064" s="24" t="s">
        <v>2046</v>
      </c>
      <c r="B2064" s="24" t="s">
        <v>120</v>
      </c>
      <c r="C2064" s="24" t="s">
        <v>283</v>
      </c>
      <c r="D2064" s="25">
        <v>20834</v>
      </c>
      <c r="E2064" s="25">
        <v>331960</v>
      </c>
      <c r="F2064" s="26">
        <v>47016.800000000003</v>
      </c>
      <c r="G2064" s="27">
        <v>14.163392999999999</v>
      </c>
    </row>
    <row r="2065" spans="1:7" hidden="1" x14ac:dyDescent="0.25">
      <c r="A2065" s="24" t="s">
        <v>2047</v>
      </c>
      <c r="B2065" s="24" t="s">
        <v>120</v>
      </c>
      <c r="C2065" s="24" t="s">
        <v>278</v>
      </c>
      <c r="D2065" s="25">
        <v>263896</v>
      </c>
      <c r="E2065" s="25">
        <v>4146861</v>
      </c>
      <c r="F2065" s="26">
        <v>589913</v>
      </c>
      <c r="G2065" s="27">
        <v>14.225531</v>
      </c>
    </row>
    <row r="2066" spans="1:7" hidden="1" x14ac:dyDescent="0.25">
      <c r="A2066" s="24" t="s">
        <v>400</v>
      </c>
      <c r="B2066" s="24" t="s">
        <v>120</v>
      </c>
      <c r="C2066" s="24" t="s">
        <v>392</v>
      </c>
      <c r="D2066" s="25">
        <v>6</v>
      </c>
      <c r="E2066" s="25">
        <v>4671</v>
      </c>
      <c r="F2066" s="26">
        <v>821</v>
      </c>
      <c r="G2066" s="27">
        <v>17.576536000000001</v>
      </c>
    </row>
    <row r="2067" spans="1:7" hidden="1" x14ac:dyDescent="0.25">
      <c r="A2067" s="24" t="s">
        <v>408</v>
      </c>
      <c r="B2067" s="24" t="s">
        <v>120</v>
      </c>
      <c r="C2067" s="24" t="s">
        <v>392</v>
      </c>
      <c r="D2067" s="25">
        <v>1263</v>
      </c>
      <c r="E2067" s="25">
        <v>7036</v>
      </c>
      <c r="F2067" s="26">
        <v>1193.2</v>
      </c>
      <c r="G2067" s="27">
        <v>16.958499</v>
      </c>
    </row>
    <row r="2068" spans="1:7" hidden="1" x14ac:dyDescent="0.25">
      <c r="A2068" s="24" t="s">
        <v>412</v>
      </c>
      <c r="B2068" s="24" t="s">
        <v>120</v>
      </c>
      <c r="C2068" s="24" t="s">
        <v>392</v>
      </c>
      <c r="D2068" s="25">
        <v>94</v>
      </c>
      <c r="E2068" s="25">
        <v>538</v>
      </c>
      <c r="F2068" s="26">
        <v>149.9</v>
      </c>
      <c r="G2068" s="27">
        <v>27.862454</v>
      </c>
    </row>
    <row r="2069" spans="1:7" hidden="1" x14ac:dyDescent="0.25">
      <c r="A2069" s="24" t="s">
        <v>413</v>
      </c>
      <c r="B2069" s="24" t="s">
        <v>120</v>
      </c>
      <c r="C2069" s="24" t="s">
        <v>392</v>
      </c>
      <c r="D2069" s="25">
        <v>296</v>
      </c>
      <c r="E2069" s="25">
        <v>1941</v>
      </c>
      <c r="F2069" s="26">
        <v>333.2</v>
      </c>
      <c r="G2069" s="27">
        <v>17.166409000000002</v>
      </c>
    </row>
    <row r="2070" spans="1:7" hidden="1" x14ac:dyDescent="0.25">
      <c r="A2070" s="24" t="s">
        <v>415</v>
      </c>
      <c r="B2070" s="24" t="s">
        <v>120</v>
      </c>
      <c r="C2070" s="24" t="s">
        <v>392</v>
      </c>
      <c r="D2070" s="25">
        <v>7</v>
      </c>
      <c r="E2070" s="25">
        <v>4</v>
      </c>
      <c r="F2070" s="26">
        <v>2.2000000000000002</v>
      </c>
      <c r="G2070" s="27">
        <v>55</v>
      </c>
    </row>
    <row r="2071" spans="1:7" hidden="1" x14ac:dyDescent="0.25">
      <c r="A2071" s="24" t="s">
        <v>2048</v>
      </c>
      <c r="B2071" s="24" t="s">
        <v>120</v>
      </c>
      <c r="C2071" s="24" t="s">
        <v>283</v>
      </c>
      <c r="D2071" s="25">
        <v>4162</v>
      </c>
      <c r="E2071" s="25">
        <v>76209</v>
      </c>
      <c r="F2071" s="26">
        <v>11550</v>
      </c>
      <c r="G2071" s="27">
        <v>15.15569</v>
      </c>
    </row>
    <row r="2072" spans="1:7" hidden="1" x14ac:dyDescent="0.25">
      <c r="A2072" s="24" t="s">
        <v>2049</v>
      </c>
      <c r="B2072" s="24" t="s">
        <v>120</v>
      </c>
      <c r="C2072" s="24" t="s">
        <v>281</v>
      </c>
      <c r="D2072" s="25">
        <v>39070</v>
      </c>
      <c r="E2072" s="25">
        <v>443818</v>
      </c>
      <c r="F2072" s="26">
        <v>72621.399999999994</v>
      </c>
      <c r="G2072" s="27">
        <v>16.362877999999998</v>
      </c>
    </row>
    <row r="2073" spans="1:7" hidden="1" x14ac:dyDescent="0.25">
      <c r="A2073" s="24" t="s">
        <v>2050</v>
      </c>
      <c r="B2073" s="24" t="s">
        <v>120</v>
      </c>
      <c r="C2073" s="24" t="s">
        <v>283</v>
      </c>
      <c r="D2073" s="25">
        <v>3745</v>
      </c>
      <c r="E2073" s="25">
        <v>46999</v>
      </c>
      <c r="F2073" s="26">
        <v>7491</v>
      </c>
      <c r="G2073" s="27">
        <v>15.938637</v>
      </c>
    </row>
    <row r="2074" spans="1:7" hidden="1" x14ac:dyDescent="0.25">
      <c r="A2074" s="24" t="s">
        <v>2051</v>
      </c>
      <c r="B2074" s="24" t="s">
        <v>120</v>
      </c>
      <c r="C2074" s="24" t="s">
        <v>283</v>
      </c>
      <c r="D2074" s="25">
        <v>5719</v>
      </c>
      <c r="E2074" s="25">
        <v>57571</v>
      </c>
      <c r="F2074" s="26">
        <v>9193</v>
      </c>
      <c r="G2074" s="27">
        <v>15.968109</v>
      </c>
    </row>
    <row r="2075" spans="1:7" hidden="1" x14ac:dyDescent="0.25">
      <c r="A2075" s="24" t="s">
        <v>2052</v>
      </c>
      <c r="B2075" s="24" t="s">
        <v>120</v>
      </c>
      <c r="C2075" s="24" t="s">
        <v>283</v>
      </c>
      <c r="D2075" s="25">
        <v>4107</v>
      </c>
      <c r="E2075" s="25">
        <v>44052</v>
      </c>
      <c r="F2075" s="26">
        <v>6940</v>
      </c>
      <c r="G2075" s="27">
        <v>15.754109</v>
      </c>
    </row>
    <row r="2076" spans="1:7" hidden="1" x14ac:dyDescent="0.25">
      <c r="A2076" s="24" t="s">
        <v>2053</v>
      </c>
      <c r="B2076" s="24" t="s">
        <v>120</v>
      </c>
      <c r="C2076" s="24" t="s">
        <v>283</v>
      </c>
      <c r="D2076" s="25">
        <v>1855</v>
      </c>
      <c r="E2076" s="25">
        <v>27600</v>
      </c>
      <c r="F2076" s="26">
        <v>3713</v>
      </c>
      <c r="G2076" s="27">
        <v>13.452899</v>
      </c>
    </row>
    <row r="2077" spans="1:7" hidden="1" x14ac:dyDescent="0.25">
      <c r="A2077" s="24" t="s">
        <v>2054</v>
      </c>
      <c r="B2077" s="24" t="s">
        <v>120</v>
      </c>
      <c r="C2077" s="24" t="s">
        <v>283</v>
      </c>
      <c r="D2077" s="25">
        <v>3678</v>
      </c>
      <c r="E2077" s="25">
        <v>53000</v>
      </c>
      <c r="F2077" s="26">
        <v>7075</v>
      </c>
      <c r="G2077" s="27">
        <v>13.349057</v>
      </c>
    </row>
    <row r="2078" spans="1:7" hidden="1" x14ac:dyDescent="0.25">
      <c r="A2078" s="24" t="s">
        <v>2055</v>
      </c>
      <c r="B2078" s="24" t="s">
        <v>120</v>
      </c>
      <c r="C2078" s="24" t="s">
        <v>281</v>
      </c>
      <c r="D2078" s="25">
        <v>11028</v>
      </c>
      <c r="E2078" s="25">
        <v>68821</v>
      </c>
      <c r="F2078" s="26">
        <v>14373</v>
      </c>
      <c r="G2078" s="27">
        <v>20.884613999999999</v>
      </c>
    </row>
    <row r="2079" spans="1:7" hidden="1" x14ac:dyDescent="0.25">
      <c r="A2079" s="24" t="s">
        <v>742</v>
      </c>
      <c r="B2079" s="24" t="s">
        <v>126</v>
      </c>
      <c r="C2079" s="24" t="s">
        <v>278</v>
      </c>
      <c r="D2079" s="25">
        <v>250848</v>
      </c>
      <c r="E2079" s="25">
        <v>5817350</v>
      </c>
      <c r="F2079" s="26">
        <v>549203.69999999995</v>
      </c>
      <c r="G2079" s="27">
        <v>9.4407882999999995</v>
      </c>
    </row>
    <row r="2080" spans="1:7" hidden="1" x14ac:dyDescent="0.25">
      <c r="A2080" s="24" t="s">
        <v>2056</v>
      </c>
      <c r="B2080" s="24" t="s">
        <v>126</v>
      </c>
      <c r="C2080" s="24" t="s">
        <v>281</v>
      </c>
      <c r="D2080" s="25">
        <v>14260</v>
      </c>
      <c r="E2080" s="25">
        <v>548599</v>
      </c>
      <c r="F2080" s="26">
        <v>40465</v>
      </c>
      <c r="G2080" s="27">
        <v>7.3760615999999999</v>
      </c>
    </row>
    <row r="2081" spans="1:7" hidden="1" x14ac:dyDescent="0.25">
      <c r="A2081" s="24" t="s">
        <v>2057</v>
      </c>
      <c r="B2081" s="24" t="s">
        <v>126</v>
      </c>
      <c r="C2081" s="24" t="s">
        <v>281</v>
      </c>
      <c r="D2081" s="25">
        <v>9214</v>
      </c>
      <c r="E2081" s="25">
        <v>529634</v>
      </c>
      <c r="F2081" s="26">
        <v>33846</v>
      </c>
      <c r="G2081" s="27">
        <v>6.3904508</v>
      </c>
    </row>
    <row r="2082" spans="1:7" hidden="1" x14ac:dyDescent="0.25">
      <c r="A2082" s="24" t="s">
        <v>1629</v>
      </c>
      <c r="B2082" s="24" t="s">
        <v>126</v>
      </c>
      <c r="C2082" s="24" t="s">
        <v>351</v>
      </c>
      <c r="D2082" s="25">
        <v>10</v>
      </c>
      <c r="E2082" s="25">
        <v>4528661</v>
      </c>
      <c r="F2082" s="26">
        <v>58688.4</v>
      </c>
      <c r="G2082" s="27">
        <v>1.2959327</v>
      </c>
    </row>
    <row r="2083" spans="1:7" hidden="1" x14ac:dyDescent="0.25">
      <c r="A2083" s="24" t="s">
        <v>2058</v>
      </c>
      <c r="B2083" s="24" t="s">
        <v>126</v>
      </c>
      <c r="C2083" s="24" t="s">
        <v>283</v>
      </c>
      <c r="D2083" s="25">
        <v>3306</v>
      </c>
      <c r="E2083" s="25">
        <v>78433</v>
      </c>
      <c r="F2083" s="26">
        <v>6121</v>
      </c>
      <c r="G2083" s="27">
        <v>7.8041131000000004</v>
      </c>
    </row>
    <row r="2084" spans="1:7" hidden="1" x14ac:dyDescent="0.25">
      <c r="A2084" s="24" t="s">
        <v>2059</v>
      </c>
      <c r="B2084" s="24" t="s">
        <v>126</v>
      </c>
      <c r="C2084" s="24" t="s">
        <v>283</v>
      </c>
      <c r="D2084" s="25">
        <v>10184</v>
      </c>
      <c r="E2084" s="25">
        <v>266120</v>
      </c>
      <c r="F2084" s="26">
        <v>25294.2</v>
      </c>
      <c r="G2084" s="27">
        <v>9.5048098999999997</v>
      </c>
    </row>
    <row r="2085" spans="1:7" hidden="1" x14ac:dyDescent="0.25">
      <c r="A2085" s="24" t="s">
        <v>2060</v>
      </c>
      <c r="B2085" s="24" t="s">
        <v>126</v>
      </c>
      <c r="C2085" s="24" t="s">
        <v>283</v>
      </c>
      <c r="D2085" s="25">
        <v>5708</v>
      </c>
      <c r="E2085" s="25">
        <v>138588</v>
      </c>
      <c r="F2085" s="26">
        <v>8893.6</v>
      </c>
      <c r="G2085" s="27">
        <v>6.4172944000000003</v>
      </c>
    </row>
    <row r="2086" spans="1:7" hidden="1" x14ac:dyDescent="0.25">
      <c r="A2086" s="24" t="s">
        <v>2061</v>
      </c>
      <c r="B2086" s="24" t="s">
        <v>126</v>
      </c>
      <c r="C2086" s="24" t="s">
        <v>283</v>
      </c>
      <c r="D2086" s="25">
        <v>9625</v>
      </c>
      <c r="E2086" s="25">
        <v>214459</v>
      </c>
      <c r="F2086" s="26">
        <v>15982</v>
      </c>
      <c r="G2086" s="27">
        <v>7.4522402999999997</v>
      </c>
    </row>
    <row r="2087" spans="1:7" hidden="1" x14ac:dyDescent="0.25">
      <c r="A2087" s="24" t="s">
        <v>2062</v>
      </c>
      <c r="B2087" s="24" t="s">
        <v>126</v>
      </c>
      <c r="C2087" s="24" t="s">
        <v>283</v>
      </c>
      <c r="D2087" s="25">
        <v>11811</v>
      </c>
      <c r="E2087" s="25">
        <v>298598</v>
      </c>
      <c r="F2087" s="26">
        <v>25080</v>
      </c>
      <c r="G2087" s="27">
        <v>8.3992524999999993</v>
      </c>
    </row>
    <row r="2088" spans="1:7" hidden="1" x14ac:dyDescent="0.25">
      <c r="A2088" s="24" t="s">
        <v>2063</v>
      </c>
      <c r="B2088" s="24" t="s">
        <v>126</v>
      </c>
      <c r="C2088" s="24" t="s">
        <v>283</v>
      </c>
      <c r="D2088" s="25">
        <v>24095</v>
      </c>
      <c r="E2088" s="25">
        <v>959499</v>
      </c>
      <c r="F2088" s="26">
        <v>64162</v>
      </c>
      <c r="G2088" s="27">
        <v>6.6870314999999998</v>
      </c>
    </row>
    <row r="2089" spans="1:7" hidden="1" x14ac:dyDescent="0.25">
      <c r="A2089" s="24" t="s">
        <v>2064</v>
      </c>
      <c r="B2089" s="24" t="s">
        <v>126</v>
      </c>
      <c r="C2089" s="24" t="s">
        <v>283</v>
      </c>
      <c r="D2089" s="25">
        <v>454496</v>
      </c>
      <c r="E2089" s="25">
        <v>9408356</v>
      </c>
      <c r="F2089" s="26">
        <v>875235</v>
      </c>
      <c r="G2089" s="27">
        <v>9.3027411000000004</v>
      </c>
    </row>
    <row r="2090" spans="1:7" hidden="1" x14ac:dyDescent="0.25">
      <c r="A2090" s="24" t="s">
        <v>2065</v>
      </c>
      <c r="B2090" s="24" t="s">
        <v>126</v>
      </c>
      <c r="C2090" s="24" t="s">
        <v>283</v>
      </c>
      <c r="D2090" s="25">
        <v>177150</v>
      </c>
      <c r="E2090" s="25">
        <v>4745355</v>
      </c>
      <c r="F2090" s="26">
        <v>342052.9</v>
      </c>
      <c r="G2090" s="27">
        <v>7.2081625000000003</v>
      </c>
    </row>
    <row r="2091" spans="1:7" hidden="1" x14ac:dyDescent="0.25">
      <c r="A2091" s="24" t="s">
        <v>746</v>
      </c>
      <c r="B2091" s="24" t="s">
        <v>126</v>
      </c>
      <c r="C2091" s="24" t="s">
        <v>281</v>
      </c>
      <c r="D2091" s="25">
        <v>986</v>
      </c>
      <c r="E2091" s="25">
        <v>22536</v>
      </c>
      <c r="F2091" s="26">
        <v>2009</v>
      </c>
      <c r="G2091" s="27">
        <v>8.9146254999999996</v>
      </c>
    </row>
    <row r="2092" spans="1:7" hidden="1" x14ac:dyDescent="0.25">
      <c r="A2092" s="24" t="s">
        <v>1646</v>
      </c>
      <c r="B2092" s="24" t="s">
        <v>126</v>
      </c>
      <c r="C2092" s="24" t="s">
        <v>281</v>
      </c>
      <c r="D2092" s="25">
        <v>5601</v>
      </c>
      <c r="E2092" s="25">
        <v>331707</v>
      </c>
      <c r="F2092" s="26">
        <v>28013.9</v>
      </c>
      <c r="G2092" s="27">
        <v>8.4453750000000003</v>
      </c>
    </row>
    <row r="2093" spans="1:7" hidden="1" x14ac:dyDescent="0.25">
      <c r="A2093" s="24" t="s">
        <v>2066</v>
      </c>
      <c r="B2093" s="24" t="s">
        <v>126</v>
      </c>
      <c r="C2093" s="24" t="s">
        <v>281</v>
      </c>
      <c r="D2093" s="25">
        <v>15105</v>
      </c>
      <c r="E2093" s="25">
        <v>280203</v>
      </c>
      <c r="F2093" s="26">
        <v>19187</v>
      </c>
      <c r="G2093" s="27">
        <v>6.8475355000000002</v>
      </c>
    </row>
    <row r="2094" spans="1:7" hidden="1" x14ac:dyDescent="0.25">
      <c r="A2094" s="24" t="s">
        <v>749</v>
      </c>
      <c r="B2094" s="24" t="s">
        <v>126</v>
      </c>
      <c r="C2094" s="24" t="s">
        <v>281</v>
      </c>
      <c r="D2094" s="25">
        <v>39221</v>
      </c>
      <c r="E2094" s="25">
        <v>928768</v>
      </c>
      <c r="F2094" s="26">
        <v>70937.600000000006</v>
      </c>
      <c r="G2094" s="27">
        <v>7.6378170000000001</v>
      </c>
    </row>
    <row r="2095" spans="1:7" hidden="1" x14ac:dyDescent="0.25">
      <c r="A2095" s="24" t="s">
        <v>750</v>
      </c>
      <c r="B2095" s="24" t="s">
        <v>126</v>
      </c>
      <c r="C2095" s="24" t="s">
        <v>281</v>
      </c>
      <c r="D2095" s="25">
        <v>78</v>
      </c>
      <c r="E2095" s="25">
        <v>2834</v>
      </c>
      <c r="F2095" s="26">
        <v>241.7</v>
      </c>
      <c r="G2095" s="27">
        <v>8.5285814999999996</v>
      </c>
    </row>
    <row r="2096" spans="1:7" hidden="1" x14ac:dyDescent="0.25">
      <c r="A2096" s="24" t="s">
        <v>2067</v>
      </c>
      <c r="B2096" s="24" t="s">
        <v>126</v>
      </c>
      <c r="C2096" s="24" t="s">
        <v>281</v>
      </c>
      <c r="D2096" s="25">
        <v>10087</v>
      </c>
      <c r="E2096" s="25">
        <v>264148</v>
      </c>
      <c r="F2096" s="26">
        <v>23553</v>
      </c>
      <c r="G2096" s="27">
        <v>8.9165922000000002</v>
      </c>
    </row>
    <row r="2097" spans="1:7" hidden="1" x14ac:dyDescent="0.25">
      <c r="A2097" s="24" t="s">
        <v>2068</v>
      </c>
      <c r="B2097" s="24" t="s">
        <v>126</v>
      </c>
      <c r="C2097" s="24" t="s">
        <v>281</v>
      </c>
      <c r="D2097" s="25">
        <v>10074</v>
      </c>
      <c r="E2097" s="25">
        <v>228213</v>
      </c>
      <c r="F2097" s="26">
        <v>14171</v>
      </c>
      <c r="G2097" s="27">
        <v>6.2095498999999998</v>
      </c>
    </row>
    <row r="2098" spans="1:7" hidden="1" x14ac:dyDescent="0.25">
      <c r="A2098" s="24" t="s">
        <v>753</v>
      </c>
      <c r="B2098" s="24" t="s">
        <v>126</v>
      </c>
      <c r="C2098" s="24" t="s">
        <v>281</v>
      </c>
      <c r="D2098" s="25">
        <v>15</v>
      </c>
      <c r="E2098" s="25">
        <v>117</v>
      </c>
      <c r="F2098" s="26">
        <v>15</v>
      </c>
      <c r="G2098" s="27">
        <v>12.820513</v>
      </c>
    </row>
    <row r="2099" spans="1:7" hidden="1" x14ac:dyDescent="0.25">
      <c r="A2099" s="24" t="s">
        <v>2069</v>
      </c>
      <c r="B2099" s="24" t="s">
        <v>126</v>
      </c>
      <c r="C2099" s="24" t="s">
        <v>281</v>
      </c>
      <c r="D2099" s="25">
        <v>4345</v>
      </c>
      <c r="E2099" s="25">
        <v>85020</v>
      </c>
      <c r="F2099" s="26">
        <v>7223</v>
      </c>
      <c r="G2099" s="27">
        <v>8.4956481000000004</v>
      </c>
    </row>
    <row r="2100" spans="1:7" hidden="1" x14ac:dyDescent="0.25">
      <c r="A2100" s="24" t="s">
        <v>2070</v>
      </c>
      <c r="B2100" s="24" t="s">
        <v>126</v>
      </c>
      <c r="C2100" s="24" t="s">
        <v>281</v>
      </c>
      <c r="D2100" s="25">
        <v>3601</v>
      </c>
      <c r="E2100" s="25">
        <v>61521</v>
      </c>
      <c r="F2100" s="26">
        <v>5792</v>
      </c>
      <c r="G2100" s="27">
        <v>9.4146713999999996</v>
      </c>
    </row>
    <row r="2101" spans="1:7" hidden="1" x14ac:dyDescent="0.25">
      <c r="A2101" s="24" t="s">
        <v>2071</v>
      </c>
      <c r="B2101" s="24" t="s">
        <v>126</v>
      </c>
      <c r="C2101" s="24" t="s">
        <v>281</v>
      </c>
      <c r="D2101" s="25">
        <v>15204</v>
      </c>
      <c r="E2101" s="25">
        <v>213705</v>
      </c>
      <c r="F2101" s="26">
        <v>27748</v>
      </c>
      <c r="G2101" s="27">
        <v>12.984254</v>
      </c>
    </row>
    <row r="2102" spans="1:7" hidden="1" x14ac:dyDescent="0.25">
      <c r="A2102" s="24" t="s">
        <v>2072</v>
      </c>
      <c r="B2102" s="24" t="s">
        <v>126</v>
      </c>
      <c r="C2102" s="24" t="s">
        <v>385</v>
      </c>
      <c r="D2102" s="25">
        <v>346594</v>
      </c>
      <c r="E2102" s="25">
        <v>6586125</v>
      </c>
      <c r="F2102" s="26">
        <v>608296</v>
      </c>
      <c r="G2102" s="27">
        <v>9.2360226999999995</v>
      </c>
    </row>
    <row r="2103" spans="1:7" hidden="1" x14ac:dyDescent="0.25">
      <c r="A2103" s="24" t="s">
        <v>2073</v>
      </c>
      <c r="B2103" s="24" t="s">
        <v>126</v>
      </c>
      <c r="C2103" s="24" t="s">
        <v>385</v>
      </c>
      <c r="D2103" s="25">
        <v>53111</v>
      </c>
      <c r="E2103" s="25">
        <v>1785098</v>
      </c>
      <c r="F2103" s="26">
        <v>125489</v>
      </c>
      <c r="G2103" s="27">
        <v>7.0298100999999997</v>
      </c>
    </row>
    <row r="2104" spans="1:7" hidden="1" x14ac:dyDescent="0.25">
      <c r="A2104" s="24" t="s">
        <v>2074</v>
      </c>
      <c r="B2104" s="24" t="s">
        <v>126</v>
      </c>
      <c r="C2104" s="24" t="s">
        <v>385</v>
      </c>
      <c r="D2104" s="25">
        <v>49940</v>
      </c>
      <c r="E2104" s="25">
        <v>1725811</v>
      </c>
      <c r="F2104" s="26">
        <v>52846.9</v>
      </c>
      <c r="G2104" s="27">
        <v>3.0621488000000001</v>
      </c>
    </row>
    <row r="2105" spans="1:7" hidden="1" x14ac:dyDescent="0.25">
      <c r="A2105" s="24" t="s">
        <v>2075</v>
      </c>
      <c r="B2105" s="24" t="s">
        <v>126</v>
      </c>
      <c r="C2105" s="24" t="s">
        <v>385</v>
      </c>
      <c r="D2105" s="25">
        <v>31796</v>
      </c>
      <c r="E2105" s="25">
        <v>651407</v>
      </c>
      <c r="F2105" s="26">
        <v>58125.9</v>
      </c>
      <c r="G2105" s="27">
        <v>8.9231309999999997</v>
      </c>
    </row>
    <row r="2106" spans="1:7" hidden="1" x14ac:dyDescent="0.25">
      <c r="A2106" s="24" t="s">
        <v>2076</v>
      </c>
      <c r="B2106" s="24" t="s">
        <v>126</v>
      </c>
      <c r="C2106" s="24" t="s">
        <v>385</v>
      </c>
      <c r="D2106" s="25">
        <v>203975</v>
      </c>
      <c r="E2106" s="25">
        <v>4638251</v>
      </c>
      <c r="F2106" s="26">
        <v>375254</v>
      </c>
      <c r="G2106" s="27">
        <v>8.0904202999999999</v>
      </c>
    </row>
    <row r="2107" spans="1:7" hidden="1" x14ac:dyDescent="0.25">
      <c r="A2107" s="24" t="s">
        <v>2077</v>
      </c>
      <c r="B2107" s="24" t="s">
        <v>126</v>
      </c>
      <c r="C2107" s="24" t="s">
        <v>385</v>
      </c>
      <c r="D2107" s="25">
        <v>50365</v>
      </c>
      <c r="E2107" s="25">
        <v>4825787</v>
      </c>
      <c r="F2107" s="26">
        <v>264978</v>
      </c>
      <c r="G2107" s="27">
        <v>5.4908764000000003</v>
      </c>
    </row>
    <row r="2108" spans="1:7" hidden="1" x14ac:dyDescent="0.25">
      <c r="A2108" s="24" t="s">
        <v>2078</v>
      </c>
      <c r="B2108" s="24" t="s">
        <v>126</v>
      </c>
      <c r="C2108" s="24" t="s">
        <v>385</v>
      </c>
      <c r="D2108" s="25">
        <v>15875</v>
      </c>
      <c r="E2108" s="25">
        <v>926104</v>
      </c>
      <c r="F2108" s="26">
        <v>27344</v>
      </c>
      <c r="G2108" s="27">
        <v>2.9525842</v>
      </c>
    </row>
    <row r="2109" spans="1:7" hidden="1" x14ac:dyDescent="0.25">
      <c r="A2109" s="24" t="s">
        <v>2079</v>
      </c>
      <c r="B2109" s="24" t="s">
        <v>126</v>
      </c>
      <c r="C2109" s="24" t="s">
        <v>385</v>
      </c>
      <c r="D2109" s="25">
        <v>3498</v>
      </c>
      <c r="E2109" s="25">
        <v>89782</v>
      </c>
      <c r="F2109" s="26">
        <v>7642.9</v>
      </c>
      <c r="G2109" s="27">
        <v>8.5127307999999999</v>
      </c>
    </row>
    <row r="2110" spans="1:7" hidden="1" x14ac:dyDescent="0.25">
      <c r="A2110" s="24" t="s">
        <v>2080</v>
      </c>
      <c r="B2110" s="24" t="s">
        <v>126</v>
      </c>
      <c r="C2110" s="24" t="s">
        <v>385</v>
      </c>
      <c r="D2110" s="25">
        <v>26589</v>
      </c>
      <c r="E2110" s="25">
        <v>1051558</v>
      </c>
      <c r="F2110" s="26">
        <v>80670</v>
      </c>
      <c r="G2110" s="27">
        <v>7.6714741000000002</v>
      </c>
    </row>
    <row r="2111" spans="1:7" hidden="1" x14ac:dyDescent="0.25">
      <c r="A2111" s="24" t="s">
        <v>2081</v>
      </c>
      <c r="B2111" s="24" t="s">
        <v>126</v>
      </c>
      <c r="C2111" s="24" t="s">
        <v>385</v>
      </c>
      <c r="D2111" s="25">
        <v>42456</v>
      </c>
      <c r="E2111" s="25">
        <v>984141</v>
      </c>
      <c r="F2111" s="26">
        <v>97999.4</v>
      </c>
      <c r="G2111" s="27">
        <v>9.9578617000000005</v>
      </c>
    </row>
    <row r="2112" spans="1:7" hidden="1" x14ac:dyDescent="0.25">
      <c r="A2112" s="24" t="s">
        <v>2082</v>
      </c>
      <c r="B2112" s="24" t="s">
        <v>126</v>
      </c>
      <c r="C2112" s="24" t="s">
        <v>385</v>
      </c>
      <c r="D2112" s="25">
        <v>19468</v>
      </c>
      <c r="E2112" s="25">
        <v>383290</v>
      </c>
      <c r="F2112" s="26">
        <v>35680</v>
      </c>
      <c r="G2112" s="27">
        <v>9.3088783999999993</v>
      </c>
    </row>
    <row r="2113" spans="1:7" hidden="1" x14ac:dyDescent="0.25">
      <c r="A2113" s="24" t="s">
        <v>2083</v>
      </c>
      <c r="B2113" s="24" t="s">
        <v>126</v>
      </c>
      <c r="C2113" s="24" t="s">
        <v>385</v>
      </c>
      <c r="D2113" s="25">
        <v>12768</v>
      </c>
      <c r="E2113" s="25">
        <v>354781</v>
      </c>
      <c r="F2113" s="26">
        <v>33217</v>
      </c>
      <c r="G2113" s="27">
        <v>9.3626772999999996</v>
      </c>
    </row>
    <row r="2114" spans="1:7" hidden="1" x14ac:dyDescent="0.25">
      <c r="A2114" s="24" t="s">
        <v>2084</v>
      </c>
      <c r="B2114" s="24" t="s">
        <v>126</v>
      </c>
      <c r="C2114" s="24" t="s">
        <v>385</v>
      </c>
      <c r="D2114" s="25">
        <v>32011</v>
      </c>
      <c r="E2114" s="25">
        <v>954331</v>
      </c>
      <c r="F2114" s="26">
        <v>66335.399999999994</v>
      </c>
      <c r="G2114" s="27">
        <v>6.9509844999999997</v>
      </c>
    </row>
    <row r="2115" spans="1:7" hidden="1" x14ac:dyDescent="0.25">
      <c r="A2115" s="24" t="s">
        <v>2085</v>
      </c>
      <c r="B2115" s="24" t="s">
        <v>126</v>
      </c>
      <c r="C2115" s="24" t="s">
        <v>385</v>
      </c>
      <c r="D2115" s="25">
        <v>21016</v>
      </c>
      <c r="E2115" s="25">
        <v>631767</v>
      </c>
      <c r="F2115" s="26">
        <v>46625.1</v>
      </c>
      <c r="G2115" s="27">
        <v>7.3801100999999996</v>
      </c>
    </row>
    <row r="2116" spans="1:7" hidden="1" x14ac:dyDescent="0.25">
      <c r="A2116" s="24" t="s">
        <v>2086</v>
      </c>
      <c r="B2116" s="24" t="s">
        <v>126</v>
      </c>
      <c r="C2116" s="24" t="s">
        <v>385</v>
      </c>
      <c r="D2116" s="25">
        <v>9135</v>
      </c>
      <c r="E2116" s="25">
        <v>1003761</v>
      </c>
      <c r="F2116" s="26">
        <v>48688</v>
      </c>
      <c r="G2116" s="27">
        <v>4.8505570999999996</v>
      </c>
    </row>
    <row r="2117" spans="1:7" hidden="1" x14ac:dyDescent="0.25">
      <c r="A2117" s="24" t="s">
        <v>2087</v>
      </c>
      <c r="B2117" s="24" t="s">
        <v>126</v>
      </c>
      <c r="C2117" s="24" t="s">
        <v>385</v>
      </c>
      <c r="D2117" s="25">
        <v>6054</v>
      </c>
      <c r="E2117" s="25">
        <v>127356</v>
      </c>
      <c r="F2117" s="26">
        <v>11171.7</v>
      </c>
      <c r="G2117" s="27">
        <v>8.7720248999999999</v>
      </c>
    </row>
    <row r="2118" spans="1:7" hidden="1" x14ac:dyDescent="0.25">
      <c r="A2118" s="24" t="s">
        <v>2088</v>
      </c>
      <c r="B2118" s="24" t="s">
        <v>126</v>
      </c>
      <c r="C2118" s="24" t="s">
        <v>385</v>
      </c>
      <c r="D2118" s="25">
        <v>1</v>
      </c>
      <c r="E2118" s="25">
        <v>196301</v>
      </c>
      <c r="F2118" s="26">
        <v>10302</v>
      </c>
      <c r="G2118" s="27">
        <v>5.2480628999999999</v>
      </c>
    </row>
    <row r="2119" spans="1:7" hidden="1" x14ac:dyDescent="0.25">
      <c r="A2119" s="24" t="s">
        <v>2089</v>
      </c>
      <c r="B2119" s="24" t="s">
        <v>126</v>
      </c>
      <c r="C2119" s="24" t="s">
        <v>385</v>
      </c>
      <c r="D2119" s="25">
        <v>50510</v>
      </c>
      <c r="E2119" s="25">
        <v>4685406</v>
      </c>
      <c r="F2119" s="26">
        <v>188473</v>
      </c>
      <c r="G2119" s="27">
        <v>4.0225543000000004</v>
      </c>
    </row>
    <row r="2120" spans="1:7" hidden="1" x14ac:dyDescent="0.25">
      <c r="A2120" s="24" t="s">
        <v>2090</v>
      </c>
      <c r="B2120" s="24" t="s">
        <v>126</v>
      </c>
      <c r="C2120" s="24" t="s">
        <v>385</v>
      </c>
      <c r="D2120" s="25">
        <v>17360</v>
      </c>
      <c r="E2120" s="25">
        <v>314671</v>
      </c>
      <c r="F2120" s="26">
        <v>25276.3</v>
      </c>
      <c r="G2120" s="27">
        <v>8.0326117999999997</v>
      </c>
    </row>
    <row r="2121" spans="1:7" hidden="1" x14ac:dyDescent="0.25">
      <c r="A2121" s="24" t="s">
        <v>2091</v>
      </c>
      <c r="B2121" s="24" t="s">
        <v>126</v>
      </c>
      <c r="C2121" s="24" t="s">
        <v>385</v>
      </c>
      <c r="D2121" s="25">
        <v>33512</v>
      </c>
      <c r="E2121" s="25">
        <v>649498</v>
      </c>
      <c r="F2121" s="26">
        <v>64715</v>
      </c>
      <c r="G2121" s="27">
        <v>9.9638489999999997</v>
      </c>
    </row>
    <row r="2122" spans="1:7" hidden="1" x14ac:dyDescent="0.25">
      <c r="A2122" s="24" t="s">
        <v>457</v>
      </c>
      <c r="B2122" s="24" t="s">
        <v>126</v>
      </c>
      <c r="C2122" s="24" t="s">
        <v>278</v>
      </c>
      <c r="D2122" s="25">
        <v>130570</v>
      </c>
      <c r="E2122" s="25">
        <v>4221298</v>
      </c>
      <c r="F2122" s="26">
        <v>356528.9</v>
      </c>
      <c r="G2122" s="27">
        <v>8.4459543000000004</v>
      </c>
    </row>
    <row r="2123" spans="1:7" hidden="1" x14ac:dyDescent="0.25">
      <c r="A2123" s="24" t="s">
        <v>2092</v>
      </c>
      <c r="B2123" s="24" t="s">
        <v>126</v>
      </c>
      <c r="C2123" s="24" t="s">
        <v>281</v>
      </c>
      <c r="D2123" s="25">
        <v>4559</v>
      </c>
      <c r="E2123" s="25">
        <v>118429</v>
      </c>
      <c r="F2123" s="26">
        <v>8473</v>
      </c>
      <c r="G2123" s="27">
        <v>7.1544976</v>
      </c>
    </row>
    <row r="2124" spans="1:7" hidden="1" x14ac:dyDescent="0.25">
      <c r="A2124" s="24" t="s">
        <v>2093</v>
      </c>
      <c r="B2124" s="24" t="s">
        <v>126</v>
      </c>
      <c r="C2124" s="24" t="s">
        <v>281</v>
      </c>
      <c r="D2124" s="25">
        <v>32842</v>
      </c>
      <c r="E2124" s="25">
        <v>606390</v>
      </c>
      <c r="F2124" s="26">
        <v>57071.199999999997</v>
      </c>
      <c r="G2124" s="27">
        <v>9.4116327999999996</v>
      </c>
    </row>
    <row r="2125" spans="1:7" hidden="1" x14ac:dyDescent="0.25">
      <c r="A2125" s="24" t="s">
        <v>2094</v>
      </c>
      <c r="B2125" s="24" t="s">
        <v>126</v>
      </c>
      <c r="C2125" s="24" t="s">
        <v>278</v>
      </c>
      <c r="D2125" s="25">
        <v>1135020</v>
      </c>
      <c r="E2125" s="25">
        <v>21316397</v>
      </c>
      <c r="F2125" s="26">
        <v>2256626.5</v>
      </c>
      <c r="G2125" s="27">
        <v>10.586340999999999</v>
      </c>
    </row>
    <row r="2126" spans="1:7" hidden="1" x14ac:dyDescent="0.25">
      <c r="A2126" s="24" t="s">
        <v>408</v>
      </c>
      <c r="B2126" s="24" t="s">
        <v>126</v>
      </c>
      <c r="C2126" s="24" t="s">
        <v>392</v>
      </c>
      <c r="D2126" s="25">
        <v>99</v>
      </c>
      <c r="E2126" s="25">
        <v>601</v>
      </c>
      <c r="F2126" s="26">
        <v>75.8</v>
      </c>
      <c r="G2126" s="27">
        <v>12.612313</v>
      </c>
    </row>
    <row r="2127" spans="1:7" hidden="1" x14ac:dyDescent="0.25">
      <c r="A2127" s="24" t="s">
        <v>2095</v>
      </c>
      <c r="B2127" s="24" t="s">
        <v>126</v>
      </c>
      <c r="C2127" s="24" t="s">
        <v>281</v>
      </c>
      <c r="D2127" s="25">
        <v>4807</v>
      </c>
      <c r="E2127" s="25">
        <v>94298</v>
      </c>
      <c r="F2127" s="26">
        <v>10859</v>
      </c>
      <c r="G2127" s="27">
        <v>11.515620999999999</v>
      </c>
    </row>
    <row r="2128" spans="1:7" hidden="1" x14ac:dyDescent="0.25">
      <c r="A2128" s="24" t="s">
        <v>2096</v>
      </c>
      <c r="B2128" s="24" t="s">
        <v>126</v>
      </c>
      <c r="C2128" s="24" t="s">
        <v>283</v>
      </c>
      <c r="D2128" s="25">
        <v>2945</v>
      </c>
      <c r="E2128" s="25">
        <v>38696</v>
      </c>
      <c r="F2128" s="26">
        <v>2933.5</v>
      </c>
      <c r="G2128" s="27">
        <v>7.5808869000000003</v>
      </c>
    </row>
    <row r="2129" spans="1:7" hidden="1" x14ac:dyDescent="0.25">
      <c r="A2129" s="24" t="s">
        <v>2097</v>
      </c>
      <c r="B2129" s="24" t="s">
        <v>126</v>
      </c>
      <c r="C2129" s="24" t="s">
        <v>385</v>
      </c>
      <c r="D2129" s="25">
        <v>11623</v>
      </c>
      <c r="E2129" s="25">
        <v>230996</v>
      </c>
      <c r="F2129" s="26">
        <v>17032</v>
      </c>
      <c r="G2129" s="27">
        <v>7.3732877999999999</v>
      </c>
    </row>
    <row r="2130" spans="1:7" hidden="1" x14ac:dyDescent="0.25">
      <c r="A2130" s="24" t="s">
        <v>2098</v>
      </c>
      <c r="B2130" s="24" t="s">
        <v>132</v>
      </c>
      <c r="C2130" s="24" t="s">
        <v>281</v>
      </c>
      <c r="D2130" s="25">
        <v>37138</v>
      </c>
      <c r="E2130" s="25">
        <v>493241</v>
      </c>
      <c r="F2130" s="26">
        <v>67563</v>
      </c>
      <c r="G2130" s="27">
        <v>13.697766</v>
      </c>
    </row>
    <row r="2131" spans="1:7" hidden="1" x14ac:dyDescent="0.25">
      <c r="A2131" s="24" t="s">
        <v>2099</v>
      </c>
      <c r="B2131" s="24" t="s">
        <v>132</v>
      </c>
      <c r="C2131" s="24" t="s">
        <v>283</v>
      </c>
      <c r="D2131" s="25">
        <v>2018</v>
      </c>
      <c r="E2131" s="25">
        <v>40444</v>
      </c>
      <c r="F2131" s="26">
        <v>4302.5</v>
      </c>
      <c r="G2131" s="27">
        <v>10.638166</v>
      </c>
    </row>
    <row r="2132" spans="1:7" hidden="1" x14ac:dyDescent="0.25">
      <c r="A2132" s="24" t="s">
        <v>2100</v>
      </c>
      <c r="B2132" s="24" t="s">
        <v>132</v>
      </c>
      <c r="C2132" s="24" t="s">
        <v>281</v>
      </c>
      <c r="D2132" s="25">
        <v>18477</v>
      </c>
      <c r="E2132" s="25">
        <v>354193</v>
      </c>
      <c r="F2132" s="26">
        <v>38106</v>
      </c>
      <c r="G2132" s="27">
        <v>10.758540999999999</v>
      </c>
    </row>
    <row r="2133" spans="1:7" hidden="1" x14ac:dyDescent="0.25">
      <c r="A2133" s="24" t="s">
        <v>1036</v>
      </c>
      <c r="B2133" s="24" t="s">
        <v>132</v>
      </c>
      <c r="C2133" s="24" t="s">
        <v>281</v>
      </c>
      <c r="D2133" s="25">
        <v>8935</v>
      </c>
      <c r="E2133" s="25">
        <v>77455</v>
      </c>
      <c r="F2133" s="26">
        <v>13317</v>
      </c>
      <c r="G2133" s="27">
        <v>17.193209</v>
      </c>
    </row>
    <row r="2134" spans="1:7" hidden="1" x14ac:dyDescent="0.25">
      <c r="A2134" s="24" t="s">
        <v>2101</v>
      </c>
      <c r="B2134" s="24" t="s">
        <v>132</v>
      </c>
      <c r="C2134" s="24" t="s">
        <v>283</v>
      </c>
      <c r="D2134" s="25">
        <v>1809</v>
      </c>
      <c r="E2134" s="25">
        <v>33766</v>
      </c>
      <c r="F2134" s="26">
        <v>3826.2</v>
      </c>
      <c r="G2134" s="27">
        <v>11.331517</v>
      </c>
    </row>
    <row r="2135" spans="1:7" hidden="1" x14ac:dyDescent="0.25">
      <c r="A2135" s="24" t="s">
        <v>2102</v>
      </c>
      <c r="B2135" s="24" t="s">
        <v>132</v>
      </c>
      <c r="C2135" s="24" t="s">
        <v>283</v>
      </c>
      <c r="D2135" s="25">
        <v>6257</v>
      </c>
      <c r="E2135" s="25">
        <v>103098</v>
      </c>
      <c r="F2135" s="26">
        <v>11711.3</v>
      </c>
      <c r="G2135" s="27">
        <v>11.359386000000001</v>
      </c>
    </row>
    <row r="2136" spans="1:7" hidden="1" x14ac:dyDescent="0.25">
      <c r="A2136" s="24" t="s">
        <v>2103</v>
      </c>
      <c r="B2136" s="24" t="s">
        <v>132</v>
      </c>
      <c r="C2136" s="24" t="s">
        <v>281</v>
      </c>
      <c r="D2136" s="25">
        <v>7936</v>
      </c>
      <c r="E2136" s="25">
        <v>96241</v>
      </c>
      <c r="F2136" s="26">
        <v>15775.5</v>
      </c>
      <c r="G2136" s="27">
        <v>16.391663000000001</v>
      </c>
    </row>
    <row r="2137" spans="1:7" hidden="1" x14ac:dyDescent="0.25">
      <c r="A2137" s="24" t="s">
        <v>2104</v>
      </c>
      <c r="B2137" s="24" t="s">
        <v>132</v>
      </c>
      <c r="C2137" s="24" t="s">
        <v>281</v>
      </c>
      <c r="D2137" s="25">
        <v>7501</v>
      </c>
      <c r="E2137" s="25">
        <v>99246</v>
      </c>
      <c r="F2137" s="26">
        <v>14043</v>
      </c>
      <c r="G2137" s="27">
        <v>14.149689</v>
      </c>
    </row>
    <row r="2138" spans="1:7" hidden="1" x14ac:dyDescent="0.25">
      <c r="A2138" s="24" t="s">
        <v>2105</v>
      </c>
      <c r="B2138" s="24" t="s">
        <v>132</v>
      </c>
      <c r="C2138" s="24" t="s">
        <v>283</v>
      </c>
      <c r="D2138" s="25">
        <v>2737</v>
      </c>
      <c r="E2138" s="25">
        <v>56736</v>
      </c>
      <c r="F2138" s="26">
        <v>6805</v>
      </c>
      <c r="G2138" s="27">
        <v>11.994147999999999</v>
      </c>
    </row>
    <row r="2139" spans="1:7" hidden="1" x14ac:dyDescent="0.25">
      <c r="A2139" s="24" t="s">
        <v>2106</v>
      </c>
      <c r="B2139" s="24" t="s">
        <v>132</v>
      </c>
      <c r="C2139" s="24" t="s">
        <v>283</v>
      </c>
      <c r="D2139" s="25">
        <v>1771</v>
      </c>
      <c r="E2139" s="25">
        <v>44095</v>
      </c>
      <c r="F2139" s="26">
        <v>4209</v>
      </c>
      <c r="G2139" s="27">
        <v>9.5452998999999998</v>
      </c>
    </row>
    <row r="2140" spans="1:7" hidden="1" x14ac:dyDescent="0.25">
      <c r="A2140" s="24" t="s">
        <v>2107</v>
      </c>
      <c r="B2140" s="24" t="s">
        <v>132</v>
      </c>
      <c r="C2140" s="24" t="s">
        <v>283</v>
      </c>
      <c r="D2140" s="25">
        <v>2784</v>
      </c>
      <c r="E2140" s="25">
        <v>116112</v>
      </c>
      <c r="F2140" s="26">
        <v>10714</v>
      </c>
      <c r="G2140" s="27">
        <v>9.2272978000000005</v>
      </c>
    </row>
    <row r="2141" spans="1:7" hidden="1" x14ac:dyDescent="0.25">
      <c r="A2141" s="24" t="s">
        <v>2108</v>
      </c>
      <c r="B2141" s="24" t="s">
        <v>132</v>
      </c>
      <c r="C2141" s="24" t="s">
        <v>283</v>
      </c>
      <c r="D2141" s="25">
        <v>2830</v>
      </c>
      <c r="E2141" s="25">
        <v>76508</v>
      </c>
      <c r="F2141" s="26">
        <v>7695.5</v>
      </c>
      <c r="G2141" s="27">
        <v>10.058425</v>
      </c>
    </row>
    <row r="2142" spans="1:7" hidden="1" x14ac:dyDescent="0.25">
      <c r="A2142" s="24" t="s">
        <v>2109</v>
      </c>
      <c r="B2142" s="24" t="s">
        <v>132</v>
      </c>
      <c r="C2142" s="24" t="s">
        <v>283</v>
      </c>
      <c r="D2142" s="25">
        <v>1085</v>
      </c>
      <c r="E2142" s="25">
        <v>17331</v>
      </c>
      <c r="F2142" s="26">
        <v>2046.3</v>
      </c>
      <c r="G2142" s="27">
        <v>11.807166</v>
      </c>
    </row>
    <row r="2143" spans="1:7" hidden="1" x14ac:dyDescent="0.25">
      <c r="A2143" s="24" t="s">
        <v>2110</v>
      </c>
      <c r="B2143" s="24" t="s">
        <v>132</v>
      </c>
      <c r="C2143" s="24" t="s">
        <v>283</v>
      </c>
      <c r="D2143" s="25">
        <v>1507</v>
      </c>
      <c r="E2143" s="25">
        <v>30999</v>
      </c>
      <c r="F2143" s="26">
        <v>3445.9</v>
      </c>
      <c r="G2143" s="27">
        <v>11.116165000000001</v>
      </c>
    </row>
    <row r="2144" spans="1:7" hidden="1" x14ac:dyDescent="0.25">
      <c r="A2144" s="24" t="s">
        <v>2111</v>
      </c>
      <c r="B2144" s="24" t="s">
        <v>132</v>
      </c>
      <c r="C2144" s="24" t="s">
        <v>283</v>
      </c>
      <c r="D2144" s="25">
        <v>4876</v>
      </c>
      <c r="E2144" s="25">
        <v>117945</v>
      </c>
      <c r="F2144" s="26">
        <v>12084</v>
      </c>
      <c r="G2144" s="27">
        <v>10.245452999999999</v>
      </c>
    </row>
    <row r="2145" spans="1:7" hidden="1" x14ac:dyDescent="0.25">
      <c r="A2145" s="24" t="s">
        <v>2112</v>
      </c>
      <c r="B2145" s="24" t="s">
        <v>132</v>
      </c>
      <c r="C2145" s="24" t="s">
        <v>283</v>
      </c>
      <c r="D2145" s="25">
        <v>3916</v>
      </c>
      <c r="E2145" s="25">
        <v>63659</v>
      </c>
      <c r="F2145" s="26">
        <v>7668.6</v>
      </c>
      <c r="G2145" s="27">
        <v>12.046372</v>
      </c>
    </row>
    <row r="2146" spans="1:7" hidden="1" x14ac:dyDescent="0.25">
      <c r="A2146" s="24" t="s">
        <v>2113</v>
      </c>
      <c r="B2146" s="24" t="s">
        <v>132</v>
      </c>
      <c r="C2146" s="24" t="s">
        <v>283</v>
      </c>
      <c r="D2146" s="25">
        <v>15176</v>
      </c>
      <c r="E2146" s="25">
        <v>638253</v>
      </c>
      <c r="F2146" s="26">
        <v>53653.5</v>
      </c>
      <c r="G2146" s="27">
        <v>8.4063060000000007</v>
      </c>
    </row>
    <row r="2147" spans="1:7" hidden="1" x14ac:dyDescent="0.25">
      <c r="A2147" s="24" t="s">
        <v>2114</v>
      </c>
      <c r="B2147" s="24" t="s">
        <v>132</v>
      </c>
      <c r="C2147" s="24" t="s">
        <v>283</v>
      </c>
      <c r="D2147" s="25">
        <v>1731</v>
      </c>
      <c r="E2147" s="25">
        <v>27759</v>
      </c>
      <c r="F2147" s="26">
        <v>3258.9</v>
      </c>
      <c r="G2147" s="27">
        <v>11.739976</v>
      </c>
    </row>
    <row r="2148" spans="1:7" hidden="1" x14ac:dyDescent="0.25">
      <c r="A2148" s="24" t="s">
        <v>2115</v>
      </c>
      <c r="B2148" s="24" t="s">
        <v>132</v>
      </c>
      <c r="C2148" s="24" t="s">
        <v>283</v>
      </c>
      <c r="D2148" s="25">
        <v>13450</v>
      </c>
      <c r="E2148" s="25">
        <v>364930</v>
      </c>
      <c r="F2148" s="26">
        <v>30660</v>
      </c>
      <c r="G2148" s="27">
        <v>8.4016113000000008</v>
      </c>
    </row>
    <row r="2149" spans="1:7" hidden="1" x14ac:dyDescent="0.25">
      <c r="A2149" s="24" t="s">
        <v>2116</v>
      </c>
      <c r="B2149" s="24" t="s">
        <v>132</v>
      </c>
      <c r="C2149" s="24" t="s">
        <v>283</v>
      </c>
      <c r="D2149" s="25">
        <v>3234</v>
      </c>
      <c r="E2149" s="25">
        <v>123151</v>
      </c>
      <c r="F2149" s="26">
        <v>10044</v>
      </c>
      <c r="G2149" s="27">
        <v>8.1558411999999993</v>
      </c>
    </row>
    <row r="2150" spans="1:7" hidden="1" x14ac:dyDescent="0.25">
      <c r="A2150" s="24" t="s">
        <v>2117</v>
      </c>
      <c r="B2150" s="24" t="s">
        <v>132</v>
      </c>
      <c r="C2150" s="24" t="s">
        <v>283</v>
      </c>
      <c r="D2150" s="25">
        <v>8989</v>
      </c>
      <c r="E2150" s="25">
        <v>537118</v>
      </c>
      <c r="F2150" s="26">
        <v>43063.6</v>
      </c>
      <c r="G2150" s="27">
        <v>8.0175306000000006</v>
      </c>
    </row>
    <row r="2151" spans="1:7" hidden="1" x14ac:dyDescent="0.25">
      <c r="A2151" s="24" t="s">
        <v>2118</v>
      </c>
      <c r="B2151" s="24" t="s">
        <v>132</v>
      </c>
      <c r="C2151" s="24" t="s">
        <v>283</v>
      </c>
      <c r="D2151" s="25">
        <v>2637</v>
      </c>
      <c r="E2151" s="25">
        <v>42225</v>
      </c>
      <c r="F2151" s="26">
        <v>4986.3</v>
      </c>
      <c r="G2151" s="27">
        <v>11.808881</v>
      </c>
    </row>
    <row r="2152" spans="1:7" hidden="1" x14ac:dyDescent="0.25">
      <c r="A2152" s="24" t="s">
        <v>2119</v>
      </c>
      <c r="B2152" s="24" t="s">
        <v>132</v>
      </c>
      <c r="C2152" s="24" t="s">
        <v>283</v>
      </c>
      <c r="D2152" s="25">
        <v>4593</v>
      </c>
      <c r="E2152" s="25">
        <v>93890</v>
      </c>
      <c r="F2152" s="26">
        <v>9893.6</v>
      </c>
      <c r="G2152" s="27">
        <v>10.537437000000001</v>
      </c>
    </row>
    <row r="2153" spans="1:7" hidden="1" x14ac:dyDescent="0.25">
      <c r="A2153" s="24" t="s">
        <v>2120</v>
      </c>
      <c r="B2153" s="24" t="s">
        <v>132</v>
      </c>
      <c r="C2153" s="24" t="s">
        <v>283</v>
      </c>
      <c r="D2153" s="25">
        <v>8202</v>
      </c>
      <c r="E2153" s="25">
        <v>249587</v>
      </c>
      <c r="F2153" s="26">
        <v>24409.1</v>
      </c>
      <c r="G2153" s="27">
        <v>9.7797961999999998</v>
      </c>
    </row>
    <row r="2154" spans="1:7" hidden="1" x14ac:dyDescent="0.25">
      <c r="A2154" s="24" t="s">
        <v>2121</v>
      </c>
      <c r="B2154" s="24" t="s">
        <v>132</v>
      </c>
      <c r="C2154" s="24" t="s">
        <v>283</v>
      </c>
      <c r="D2154" s="25">
        <v>2896</v>
      </c>
      <c r="E2154" s="25">
        <v>108594</v>
      </c>
      <c r="F2154" s="26">
        <v>10022</v>
      </c>
      <c r="G2154" s="27">
        <v>9.2288707999999993</v>
      </c>
    </row>
    <row r="2155" spans="1:7" hidden="1" x14ac:dyDescent="0.25">
      <c r="A2155" s="24" t="s">
        <v>2122</v>
      </c>
      <c r="B2155" s="24" t="s">
        <v>132</v>
      </c>
      <c r="C2155" s="24" t="s">
        <v>283</v>
      </c>
      <c r="D2155" s="25">
        <v>6459</v>
      </c>
      <c r="E2155" s="25">
        <v>120693</v>
      </c>
      <c r="F2155" s="26">
        <v>13316.8</v>
      </c>
      <c r="G2155" s="27">
        <v>11.033614</v>
      </c>
    </row>
    <row r="2156" spans="1:7" hidden="1" x14ac:dyDescent="0.25">
      <c r="A2156" s="24" t="s">
        <v>2123</v>
      </c>
      <c r="B2156" s="24" t="s">
        <v>132</v>
      </c>
      <c r="C2156" s="24" t="s">
        <v>283</v>
      </c>
      <c r="D2156" s="25">
        <v>4616</v>
      </c>
      <c r="E2156" s="25">
        <v>181442</v>
      </c>
      <c r="F2156" s="26">
        <v>16170</v>
      </c>
      <c r="G2156" s="27">
        <v>8.9119387999999997</v>
      </c>
    </row>
    <row r="2157" spans="1:7" hidden="1" x14ac:dyDescent="0.25">
      <c r="A2157" s="24" t="s">
        <v>2124</v>
      </c>
      <c r="B2157" s="24" t="s">
        <v>132</v>
      </c>
      <c r="C2157" s="24" t="s">
        <v>283</v>
      </c>
      <c r="D2157" s="25">
        <v>8626</v>
      </c>
      <c r="E2157" s="25">
        <v>139054</v>
      </c>
      <c r="F2157" s="26">
        <v>15106.6</v>
      </c>
      <c r="G2157" s="27">
        <v>10.863837</v>
      </c>
    </row>
    <row r="2158" spans="1:7" hidden="1" x14ac:dyDescent="0.25">
      <c r="A2158" s="24" t="s">
        <v>2125</v>
      </c>
      <c r="B2158" s="24" t="s">
        <v>132</v>
      </c>
      <c r="C2158" s="24" t="s">
        <v>283</v>
      </c>
      <c r="D2158" s="25">
        <v>8899</v>
      </c>
      <c r="E2158" s="25">
        <v>147182</v>
      </c>
      <c r="F2158" s="26">
        <v>15419.9</v>
      </c>
      <c r="G2158" s="27">
        <v>10.476756999999999</v>
      </c>
    </row>
    <row r="2159" spans="1:7" hidden="1" x14ac:dyDescent="0.25">
      <c r="A2159" s="24" t="s">
        <v>2126</v>
      </c>
      <c r="B2159" s="24" t="s">
        <v>132</v>
      </c>
      <c r="C2159" s="24" t="s">
        <v>283</v>
      </c>
      <c r="D2159" s="25">
        <v>1219</v>
      </c>
      <c r="E2159" s="25">
        <v>24725</v>
      </c>
      <c r="F2159" s="26">
        <v>2603.1999999999998</v>
      </c>
      <c r="G2159" s="27">
        <v>10.528615</v>
      </c>
    </row>
    <row r="2160" spans="1:7" hidden="1" x14ac:dyDescent="0.25">
      <c r="A2160" s="24" t="s">
        <v>2127</v>
      </c>
      <c r="B2160" s="24" t="s">
        <v>132</v>
      </c>
      <c r="C2160" s="24" t="s">
        <v>281</v>
      </c>
      <c r="D2160" s="25">
        <v>9151</v>
      </c>
      <c r="E2160" s="25">
        <v>189428</v>
      </c>
      <c r="F2160" s="26">
        <v>22418.1</v>
      </c>
      <c r="G2160" s="27">
        <v>11.834628</v>
      </c>
    </row>
    <row r="2161" spans="1:7" hidden="1" x14ac:dyDescent="0.25">
      <c r="A2161" s="24" t="s">
        <v>2128</v>
      </c>
      <c r="B2161" s="24" t="s">
        <v>132</v>
      </c>
      <c r="C2161" s="24" t="s">
        <v>278</v>
      </c>
      <c r="D2161" s="25">
        <v>109</v>
      </c>
      <c r="E2161" s="25">
        <v>1086883</v>
      </c>
      <c r="F2161" s="26">
        <v>54981.3</v>
      </c>
      <c r="G2161" s="27">
        <v>5.0586218000000001</v>
      </c>
    </row>
    <row r="2162" spans="1:7" hidden="1" x14ac:dyDescent="0.25">
      <c r="A2162" s="24" t="s">
        <v>2129</v>
      </c>
      <c r="B2162" s="24" t="s">
        <v>132</v>
      </c>
      <c r="C2162" s="24" t="s">
        <v>278</v>
      </c>
      <c r="D2162" s="25">
        <v>11598</v>
      </c>
      <c r="E2162" s="25">
        <v>99373</v>
      </c>
      <c r="F2162" s="26">
        <v>12626</v>
      </c>
      <c r="G2162" s="27">
        <v>12.705665</v>
      </c>
    </row>
    <row r="2163" spans="1:7" hidden="1" x14ac:dyDescent="0.25">
      <c r="A2163" s="24" t="s">
        <v>2130</v>
      </c>
      <c r="B2163" s="24" t="s">
        <v>132</v>
      </c>
      <c r="C2163" s="24" t="s">
        <v>281</v>
      </c>
      <c r="D2163" s="25">
        <v>9903</v>
      </c>
      <c r="E2163" s="25">
        <v>202053</v>
      </c>
      <c r="F2163" s="26">
        <v>23604</v>
      </c>
      <c r="G2163" s="27">
        <v>11.682083</v>
      </c>
    </row>
    <row r="2164" spans="1:7" hidden="1" x14ac:dyDescent="0.25">
      <c r="A2164" s="24" t="s">
        <v>1126</v>
      </c>
      <c r="B2164" s="24" t="s">
        <v>132</v>
      </c>
      <c r="C2164" s="24" t="s">
        <v>281</v>
      </c>
      <c r="D2164" s="25">
        <v>5159</v>
      </c>
      <c r="E2164" s="25">
        <v>50150</v>
      </c>
      <c r="F2164" s="26">
        <v>7422</v>
      </c>
      <c r="G2164" s="27">
        <v>14.799600999999999</v>
      </c>
    </row>
    <row r="2165" spans="1:7" hidden="1" x14ac:dyDescent="0.25">
      <c r="A2165" s="24" t="s">
        <v>2131</v>
      </c>
      <c r="B2165" s="24" t="s">
        <v>132</v>
      </c>
      <c r="C2165" s="24" t="s">
        <v>281</v>
      </c>
      <c r="D2165" s="25">
        <v>11013</v>
      </c>
      <c r="E2165" s="25">
        <v>203158</v>
      </c>
      <c r="F2165" s="26">
        <v>25484</v>
      </c>
      <c r="G2165" s="27">
        <v>12.543931000000001</v>
      </c>
    </row>
    <row r="2166" spans="1:7" hidden="1" x14ac:dyDescent="0.25">
      <c r="A2166" s="24" t="s">
        <v>2132</v>
      </c>
      <c r="B2166" s="24" t="s">
        <v>132</v>
      </c>
      <c r="C2166" s="24" t="s">
        <v>283</v>
      </c>
      <c r="D2166" s="25">
        <v>1509</v>
      </c>
      <c r="E2166" s="25">
        <v>16324</v>
      </c>
      <c r="F2166" s="26">
        <v>2308.6999999999998</v>
      </c>
      <c r="G2166" s="27">
        <v>14.14298</v>
      </c>
    </row>
    <row r="2167" spans="1:7" hidden="1" x14ac:dyDescent="0.25">
      <c r="A2167" s="24" t="s">
        <v>2133</v>
      </c>
      <c r="B2167" s="24" t="s">
        <v>132</v>
      </c>
      <c r="C2167" s="24" t="s">
        <v>283</v>
      </c>
      <c r="D2167" s="25">
        <v>7441</v>
      </c>
      <c r="E2167" s="25">
        <v>310275</v>
      </c>
      <c r="F2167" s="26">
        <v>27986.5</v>
      </c>
      <c r="G2167" s="27">
        <v>9.0199017000000001</v>
      </c>
    </row>
    <row r="2168" spans="1:7" hidden="1" x14ac:dyDescent="0.25">
      <c r="A2168" s="24" t="s">
        <v>2134</v>
      </c>
      <c r="B2168" s="24" t="s">
        <v>132</v>
      </c>
      <c r="C2168" s="24" t="s">
        <v>283</v>
      </c>
      <c r="D2168" s="25">
        <v>1566</v>
      </c>
      <c r="E2168" s="25">
        <v>17549</v>
      </c>
      <c r="F2168" s="26">
        <v>2310.1</v>
      </c>
      <c r="G2168" s="27">
        <v>13.163713</v>
      </c>
    </row>
    <row r="2169" spans="1:7" hidden="1" x14ac:dyDescent="0.25">
      <c r="A2169" s="24" t="s">
        <v>2135</v>
      </c>
      <c r="B2169" s="24" t="s">
        <v>132</v>
      </c>
      <c r="C2169" s="24" t="s">
        <v>281</v>
      </c>
      <c r="D2169" s="25">
        <v>7635</v>
      </c>
      <c r="E2169" s="25">
        <v>204631</v>
      </c>
      <c r="F2169" s="26">
        <v>19972.400000000001</v>
      </c>
      <c r="G2169" s="27">
        <v>9.7602025000000001</v>
      </c>
    </row>
    <row r="2170" spans="1:7" hidden="1" x14ac:dyDescent="0.25">
      <c r="A2170" s="24" t="s">
        <v>2136</v>
      </c>
      <c r="B2170" s="24" t="s">
        <v>132</v>
      </c>
      <c r="C2170" s="24" t="s">
        <v>283</v>
      </c>
      <c r="D2170" s="25">
        <v>4142</v>
      </c>
      <c r="E2170" s="25">
        <v>94855</v>
      </c>
      <c r="F2170" s="26">
        <v>9958.6</v>
      </c>
      <c r="G2170" s="27">
        <v>10.498761</v>
      </c>
    </row>
    <row r="2171" spans="1:7" hidden="1" x14ac:dyDescent="0.25">
      <c r="A2171" s="24" t="s">
        <v>2137</v>
      </c>
      <c r="B2171" s="24" t="s">
        <v>132</v>
      </c>
      <c r="C2171" s="24" t="s">
        <v>281</v>
      </c>
      <c r="D2171" s="25">
        <v>9435</v>
      </c>
      <c r="E2171" s="25">
        <v>92192</v>
      </c>
      <c r="F2171" s="26">
        <v>13618</v>
      </c>
      <c r="G2171" s="27">
        <v>14.771347</v>
      </c>
    </row>
    <row r="2172" spans="1:7" hidden="1" x14ac:dyDescent="0.25">
      <c r="A2172" s="24" t="s">
        <v>2138</v>
      </c>
      <c r="B2172" s="24" t="s">
        <v>132</v>
      </c>
      <c r="C2172" s="24" t="s">
        <v>283</v>
      </c>
      <c r="D2172" s="25">
        <v>1136</v>
      </c>
      <c r="E2172" s="25">
        <v>45119</v>
      </c>
      <c r="F2172" s="26">
        <v>4390.2</v>
      </c>
      <c r="G2172" s="27">
        <v>9.7302687999999993</v>
      </c>
    </row>
    <row r="2173" spans="1:7" hidden="1" x14ac:dyDescent="0.25">
      <c r="A2173" s="24" t="s">
        <v>2139</v>
      </c>
      <c r="B2173" s="24" t="s">
        <v>132</v>
      </c>
      <c r="C2173" s="24" t="s">
        <v>283</v>
      </c>
      <c r="D2173" s="25">
        <v>4180</v>
      </c>
      <c r="E2173" s="25">
        <v>62198</v>
      </c>
      <c r="F2173" s="26">
        <v>7927.1</v>
      </c>
      <c r="G2173" s="27">
        <v>12.744944</v>
      </c>
    </row>
    <row r="2174" spans="1:7" hidden="1" x14ac:dyDescent="0.25">
      <c r="A2174" s="24" t="s">
        <v>401</v>
      </c>
      <c r="B2174" s="24" t="s">
        <v>132</v>
      </c>
      <c r="C2174" s="24" t="s">
        <v>392</v>
      </c>
      <c r="D2174" s="25">
        <v>3</v>
      </c>
      <c r="E2174" s="25">
        <v>130</v>
      </c>
      <c r="F2174" s="26">
        <v>9.6999999999999993</v>
      </c>
      <c r="G2174" s="27">
        <v>7.4615384999999996</v>
      </c>
    </row>
    <row r="2175" spans="1:7" hidden="1" x14ac:dyDescent="0.25">
      <c r="A2175" s="24" t="s">
        <v>2140</v>
      </c>
      <c r="B2175" s="24" t="s">
        <v>132</v>
      </c>
      <c r="C2175" s="24" t="s">
        <v>278</v>
      </c>
      <c r="D2175" s="25">
        <v>152601</v>
      </c>
      <c r="E2175" s="25">
        <v>3240863</v>
      </c>
      <c r="F2175" s="26">
        <v>407310</v>
      </c>
      <c r="G2175" s="27">
        <v>12.567949</v>
      </c>
    </row>
    <row r="2176" spans="1:7" hidden="1" x14ac:dyDescent="0.25">
      <c r="A2176" s="24" t="s">
        <v>2141</v>
      </c>
      <c r="B2176" s="24" t="s">
        <v>132</v>
      </c>
      <c r="C2176" s="24" t="s">
        <v>283</v>
      </c>
      <c r="D2176" s="25">
        <v>17691</v>
      </c>
      <c r="E2176" s="25">
        <v>524707</v>
      </c>
      <c r="F2176" s="26">
        <v>42842.1</v>
      </c>
      <c r="G2176" s="27">
        <v>8.1649568000000006</v>
      </c>
    </row>
    <row r="2177" spans="1:7" hidden="1" x14ac:dyDescent="0.25">
      <c r="A2177" s="24" t="s">
        <v>2142</v>
      </c>
      <c r="B2177" s="24" t="s">
        <v>132</v>
      </c>
      <c r="C2177" s="24" t="s">
        <v>283</v>
      </c>
      <c r="D2177" s="25">
        <v>3878</v>
      </c>
      <c r="E2177" s="25">
        <v>170677</v>
      </c>
      <c r="F2177" s="26">
        <v>15640.4</v>
      </c>
      <c r="G2177" s="27">
        <v>9.1637419999999992</v>
      </c>
    </row>
    <row r="2178" spans="1:7" hidden="1" x14ac:dyDescent="0.25">
      <c r="A2178" s="24" t="s">
        <v>2143</v>
      </c>
      <c r="B2178" s="24" t="s">
        <v>132</v>
      </c>
      <c r="C2178" s="24" t="s">
        <v>278</v>
      </c>
      <c r="D2178" s="25">
        <v>5079</v>
      </c>
      <c r="E2178" s="25">
        <v>33700</v>
      </c>
      <c r="F2178" s="26">
        <v>4510.6000000000004</v>
      </c>
      <c r="G2178" s="27">
        <v>13.38457</v>
      </c>
    </row>
    <row r="2179" spans="1:7" hidden="1" x14ac:dyDescent="0.25">
      <c r="A2179" s="24" t="s">
        <v>1061</v>
      </c>
      <c r="B2179" s="24" t="s">
        <v>132</v>
      </c>
      <c r="C2179" s="24" t="s">
        <v>278</v>
      </c>
      <c r="D2179" s="25">
        <v>248683</v>
      </c>
      <c r="E2179" s="25">
        <v>6590514</v>
      </c>
      <c r="F2179" s="26">
        <v>695697.7</v>
      </c>
      <c r="G2179" s="27">
        <v>10.556046</v>
      </c>
    </row>
    <row r="2180" spans="1:7" hidden="1" x14ac:dyDescent="0.25">
      <c r="A2180" s="24" t="s">
        <v>1154</v>
      </c>
      <c r="B2180" s="24" t="s">
        <v>132</v>
      </c>
      <c r="C2180" s="24" t="s">
        <v>278</v>
      </c>
      <c r="D2180" s="25">
        <v>11702</v>
      </c>
      <c r="E2180" s="25">
        <v>163596</v>
      </c>
      <c r="F2180" s="26">
        <v>19892</v>
      </c>
      <c r="G2180" s="27">
        <v>12.159221000000001</v>
      </c>
    </row>
    <row r="2181" spans="1:7" hidden="1" x14ac:dyDescent="0.25">
      <c r="A2181" s="24" t="s">
        <v>2144</v>
      </c>
      <c r="B2181" s="24" t="s">
        <v>132</v>
      </c>
      <c r="C2181" s="24" t="s">
        <v>281</v>
      </c>
      <c r="D2181" s="25">
        <v>16840</v>
      </c>
      <c r="E2181" s="25">
        <v>320929</v>
      </c>
      <c r="F2181" s="26">
        <v>36413</v>
      </c>
      <c r="G2181" s="27">
        <v>11.346123</v>
      </c>
    </row>
    <row r="2182" spans="1:7" hidden="1" x14ac:dyDescent="0.25">
      <c r="A2182" s="24" t="s">
        <v>2145</v>
      </c>
      <c r="B2182" s="24" t="s">
        <v>132</v>
      </c>
      <c r="C2182" s="24" t="s">
        <v>283</v>
      </c>
      <c r="D2182" s="25">
        <v>9644</v>
      </c>
      <c r="E2182" s="25">
        <v>218585</v>
      </c>
      <c r="F2182" s="26">
        <v>23833.599999999999</v>
      </c>
      <c r="G2182" s="27">
        <v>10.903584</v>
      </c>
    </row>
    <row r="2183" spans="1:7" hidden="1" x14ac:dyDescent="0.25">
      <c r="A2183" s="24" t="s">
        <v>2146</v>
      </c>
      <c r="B2183" s="24" t="s">
        <v>132</v>
      </c>
      <c r="C2183" s="24" t="s">
        <v>281</v>
      </c>
      <c r="D2183" s="25">
        <v>9822</v>
      </c>
      <c r="E2183" s="25">
        <v>108612</v>
      </c>
      <c r="F2183" s="26">
        <v>15277.6</v>
      </c>
      <c r="G2183" s="27">
        <v>14.066217</v>
      </c>
    </row>
    <row r="2184" spans="1:7" hidden="1" x14ac:dyDescent="0.25">
      <c r="A2184" s="24" t="s">
        <v>2147</v>
      </c>
      <c r="B2184" s="24" t="s">
        <v>132</v>
      </c>
      <c r="C2184" s="24" t="s">
        <v>283</v>
      </c>
      <c r="D2184" s="25">
        <v>1632</v>
      </c>
      <c r="E2184" s="25">
        <v>25139</v>
      </c>
      <c r="F2184" s="26">
        <v>3291.7</v>
      </c>
      <c r="G2184" s="27">
        <v>13.093997</v>
      </c>
    </row>
    <row r="2185" spans="1:7" hidden="1" x14ac:dyDescent="0.25">
      <c r="A2185" s="24" t="s">
        <v>2148</v>
      </c>
      <c r="B2185" s="24" t="s">
        <v>132</v>
      </c>
      <c r="C2185" s="24" t="s">
        <v>281</v>
      </c>
      <c r="D2185" s="25">
        <v>7546</v>
      </c>
      <c r="E2185" s="25">
        <v>115182</v>
      </c>
      <c r="F2185" s="26">
        <v>16717.900000000001</v>
      </c>
      <c r="G2185" s="27">
        <v>14.514334</v>
      </c>
    </row>
    <row r="2186" spans="1:7" hidden="1" x14ac:dyDescent="0.25">
      <c r="A2186" s="24" t="s">
        <v>2149</v>
      </c>
      <c r="B2186" s="24" t="s">
        <v>132</v>
      </c>
      <c r="C2186" s="24" t="s">
        <v>278</v>
      </c>
      <c r="D2186" s="25">
        <v>2381</v>
      </c>
      <c r="E2186" s="25">
        <v>16014</v>
      </c>
      <c r="F2186" s="26">
        <v>2626</v>
      </c>
      <c r="G2186" s="27">
        <v>16.398152</v>
      </c>
    </row>
    <row r="2187" spans="1:7" hidden="1" x14ac:dyDescent="0.25">
      <c r="A2187" s="24" t="s">
        <v>2150</v>
      </c>
      <c r="B2187" s="24" t="s">
        <v>132</v>
      </c>
      <c r="C2187" s="24" t="s">
        <v>281</v>
      </c>
      <c r="D2187" s="25">
        <v>20380</v>
      </c>
      <c r="E2187" s="25">
        <v>224165</v>
      </c>
      <c r="F2187" s="26">
        <v>31447</v>
      </c>
      <c r="G2187" s="27">
        <v>14.028506</v>
      </c>
    </row>
    <row r="2188" spans="1:7" hidden="1" x14ac:dyDescent="0.25">
      <c r="A2188" s="24" t="s">
        <v>2151</v>
      </c>
      <c r="B2188" s="24" t="s">
        <v>132</v>
      </c>
      <c r="C2188" s="24" t="s">
        <v>281</v>
      </c>
      <c r="D2188" s="25">
        <v>9167</v>
      </c>
      <c r="E2188" s="25">
        <v>65660</v>
      </c>
      <c r="F2188" s="26">
        <v>12469.7</v>
      </c>
      <c r="G2188" s="27">
        <v>18.991319000000001</v>
      </c>
    </row>
    <row r="2189" spans="1:7" hidden="1" x14ac:dyDescent="0.25">
      <c r="A2189" s="24" t="s">
        <v>2152</v>
      </c>
      <c r="B2189" s="24" t="s">
        <v>132</v>
      </c>
      <c r="C2189" s="24" t="s">
        <v>283</v>
      </c>
      <c r="D2189" s="25">
        <v>5011</v>
      </c>
      <c r="E2189" s="25">
        <v>246211</v>
      </c>
      <c r="F2189" s="26">
        <v>23915.7</v>
      </c>
      <c r="G2189" s="27">
        <v>9.7134978000000007</v>
      </c>
    </row>
    <row r="2190" spans="1:7" hidden="1" x14ac:dyDescent="0.25">
      <c r="A2190" s="24" t="s">
        <v>2153</v>
      </c>
      <c r="B2190" s="24" t="s">
        <v>132</v>
      </c>
      <c r="C2190" s="24" t="s">
        <v>283</v>
      </c>
      <c r="D2190" s="25">
        <v>5825</v>
      </c>
      <c r="E2190" s="25">
        <v>160517</v>
      </c>
      <c r="F2190" s="26">
        <v>13406</v>
      </c>
      <c r="G2190" s="27">
        <v>8.3517633999999994</v>
      </c>
    </row>
    <row r="2191" spans="1:7" hidden="1" x14ac:dyDescent="0.25">
      <c r="A2191" s="24" t="s">
        <v>2154</v>
      </c>
      <c r="B2191" s="24" t="s">
        <v>132</v>
      </c>
      <c r="C2191" s="24" t="s">
        <v>281</v>
      </c>
      <c r="D2191" s="25">
        <v>17856</v>
      </c>
      <c r="E2191" s="25">
        <v>272855</v>
      </c>
      <c r="F2191" s="26">
        <v>35768.9</v>
      </c>
      <c r="G2191" s="27">
        <v>13.109124</v>
      </c>
    </row>
    <row r="2192" spans="1:7" hidden="1" x14ac:dyDescent="0.25">
      <c r="A2192" s="24" t="s">
        <v>783</v>
      </c>
      <c r="B2192" s="24" t="s">
        <v>132</v>
      </c>
      <c r="C2192" s="24" t="s">
        <v>281</v>
      </c>
      <c r="D2192" s="25">
        <v>7346</v>
      </c>
      <c r="E2192" s="25">
        <v>295681</v>
      </c>
      <c r="F2192" s="26">
        <v>23116</v>
      </c>
      <c r="G2192" s="27">
        <v>7.8178847999999999</v>
      </c>
    </row>
    <row r="2193" spans="1:7" hidden="1" x14ac:dyDescent="0.25">
      <c r="A2193" s="24" t="s">
        <v>785</v>
      </c>
      <c r="B2193" s="24" t="s">
        <v>132</v>
      </c>
      <c r="C2193" s="24" t="s">
        <v>281</v>
      </c>
      <c r="D2193" s="25">
        <v>14088</v>
      </c>
      <c r="E2193" s="25">
        <v>215382</v>
      </c>
      <c r="F2193" s="26">
        <v>28337</v>
      </c>
      <c r="G2193" s="27">
        <v>13.156624000000001</v>
      </c>
    </row>
    <row r="2194" spans="1:7" hidden="1" x14ac:dyDescent="0.25">
      <c r="A2194" s="24" t="s">
        <v>2155</v>
      </c>
      <c r="B2194" s="24" t="s">
        <v>132</v>
      </c>
      <c r="C2194" s="24" t="s">
        <v>283</v>
      </c>
      <c r="D2194" s="25">
        <v>5697</v>
      </c>
      <c r="E2194" s="25">
        <v>269155</v>
      </c>
      <c r="F2194" s="26">
        <v>21907</v>
      </c>
      <c r="G2194" s="27">
        <v>8.1391763000000008</v>
      </c>
    </row>
    <row r="2195" spans="1:7" hidden="1" x14ac:dyDescent="0.25">
      <c r="A2195" s="24" t="s">
        <v>2156</v>
      </c>
      <c r="B2195" s="24" t="s">
        <v>132</v>
      </c>
      <c r="C2195" s="24" t="s">
        <v>283</v>
      </c>
      <c r="D2195" s="25">
        <v>2320</v>
      </c>
      <c r="E2195" s="25">
        <v>36016</v>
      </c>
      <c r="F2195" s="26">
        <v>4331.3</v>
      </c>
      <c r="G2195" s="27">
        <v>12.026044000000001</v>
      </c>
    </row>
    <row r="2196" spans="1:7" hidden="1" x14ac:dyDescent="0.25">
      <c r="A2196" s="24" t="s">
        <v>2157</v>
      </c>
      <c r="B2196" s="24" t="s">
        <v>132</v>
      </c>
      <c r="C2196" s="24" t="s">
        <v>281</v>
      </c>
      <c r="D2196" s="25">
        <v>10567</v>
      </c>
      <c r="E2196" s="25">
        <v>186604</v>
      </c>
      <c r="F2196" s="26">
        <v>22219</v>
      </c>
      <c r="G2196" s="27">
        <v>11.907033</v>
      </c>
    </row>
    <row r="2197" spans="1:7" hidden="1" x14ac:dyDescent="0.25">
      <c r="A2197" s="24" t="s">
        <v>2158</v>
      </c>
      <c r="B2197" s="24" t="s">
        <v>132</v>
      </c>
      <c r="C2197" s="24" t="s">
        <v>283</v>
      </c>
      <c r="D2197" s="25">
        <v>15353</v>
      </c>
      <c r="E2197" s="25">
        <v>275932</v>
      </c>
      <c r="F2197" s="26">
        <v>27497.7</v>
      </c>
      <c r="G2197" s="27">
        <v>9.9653899999999993</v>
      </c>
    </row>
    <row r="2198" spans="1:7" hidden="1" x14ac:dyDescent="0.25">
      <c r="A2198" s="24" t="s">
        <v>411</v>
      </c>
      <c r="B2198" s="24" t="s">
        <v>132</v>
      </c>
      <c r="C2198" s="24" t="s">
        <v>392</v>
      </c>
      <c r="D2198" s="25">
        <v>3</v>
      </c>
      <c r="E2198" s="25">
        <v>330</v>
      </c>
      <c r="F2198" s="26">
        <v>24.9</v>
      </c>
      <c r="G2198" s="27">
        <v>7.5454545</v>
      </c>
    </row>
    <row r="2199" spans="1:7" hidden="1" x14ac:dyDescent="0.25">
      <c r="A2199" s="24" t="s">
        <v>2159</v>
      </c>
      <c r="B2199" s="24" t="s">
        <v>132</v>
      </c>
      <c r="C2199" s="24" t="s">
        <v>278</v>
      </c>
      <c r="D2199" s="25">
        <v>14782</v>
      </c>
      <c r="E2199" s="25">
        <v>847788</v>
      </c>
      <c r="F2199" s="26">
        <v>67212</v>
      </c>
      <c r="G2199" s="27">
        <v>7.9279254000000003</v>
      </c>
    </row>
    <row r="2200" spans="1:7" hidden="1" x14ac:dyDescent="0.25">
      <c r="A2200" s="24" t="s">
        <v>2160</v>
      </c>
      <c r="B2200" s="24" t="s">
        <v>132</v>
      </c>
      <c r="C2200" s="24" t="s">
        <v>281</v>
      </c>
      <c r="D2200" s="25">
        <v>4380</v>
      </c>
      <c r="E2200" s="25">
        <v>67509</v>
      </c>
      <c r="F2200" s="26">
        <v>9400.6</v>
      </c>
      <c r="G2200" s="27">
        <v>13.924958</v>
      </c>
    </row>
    <row r="2201" spans="1:7" hidden="1" x14ac:dyDescent="0.25">
      <c r="A2201" s="24" t="s">
        <v>2161</v>
      </c>
      <c r="B2201" s="24" t="s">
        <v>132</v>
      </c>
      <c r="C2201" s="24" t="s">
        <v>283</v>
      </c>
      <c r="D2201" s="25">
        <v>6279</v>
      </c>
      <c r="E2201" s="25">
        <v>79225</v>
      </c>
      <c r="F2201" s="26">
        <v>8919</v>
      </c>
      <c r="G2201" s="27">
        <v>11.257809999999999</v>
      </c>
    </row>
    <row r="2202" spans="1:7" hidden="1" x14ac:dyDescent="0.25">
      <c r="A2202" s="24" t="s">
        <v>2162</v>
      </c>
      <c r="B2202" s="24" t="s">
        <v>132</v>
      </c>
      <c r="C2202" s="24" t="s">
        <v>281</v>
      </c>
      <c r="D2202" s="25">
        <v>11150</v>
      </c>
      <c r="E2202" s="25">
        <v>146492</v>
      </c>
      <c r="F2202" s="26">
        <v>20034</v>
      </c>
      <c r="G2202" s="27">
        <v>13.675832</v>
      </c>
    </row>
    <row r="2203" spans="1:7" hidden="1" x14ac:dyDescent="0.25">
      <c r="A2203" s="24" t="s">
        <v>2163</v>
      </c>
      <c r="B2203" s="24" t="s">
        <v>132</v>
      </c>
      <c r="C2203" s="24" t="s">
        <v>283</v>
      </c>
      <c r="D2203" s="25">
        <v>1752</v>
      </c>
      <c r="E2203" s="25">
        <v>25232</v>
      </c>
      <c r="F2203" s="26">
        <v>3124.1</v>
      </c>
      <c r="G2203" s="27">
        <v>12.381500000000001</v>
      </c>
    </row>
    <row r="2204" spans="1:7" hidden="1" x14ac:dyDescent="0.25">
      <c r="A2204" s="24" t="s">
        <v>2164</v>
      </c>
      <c r="B2204" s="24" t="s">
        <v>132</v>
      </c>
      <c r="C2204" s="24" t="s">
        <v>283</v>
      </c>
      <c r="D2204" s="25">
        <v>3814</v>
      </c>
      <c r="E2204" s="25">
        <v>51602</v>
      </c>
      <c r="F2204" s="26">
        <v>5985.3</v>
      </c>
      <c r="G2204" s="27">
        <v>11.598969</v>
      </c>
    </row>
    <row r="2205" spans="1:7" hidden="1" x14ac:dyDescent="0.25">
      <c r="A2205" s="24" t="s">
        <v>2165</v>
      </c>
      <c r="B2205" s="24" t="s">
        <v>132</v>
      </c>
      <c r="C2205" s="24" t="s">
        <v>283</v>
      </c>
      <c r="D2205" s="25">
        <v>1067</v>
      </c>
      <c r="E2205" s="25">
        <v>59180</v>
      </c>
      <c r="F2205" s="26">
        <v>5508.9</v>
      </c>
      <c r="G2205" s="27">
        <v>9.3087192000000005</v>
      </c>
    </row>
    <row r="2206" spans="1:7" hidden="1" x14ac:dyDescent="0.25">
      <c r="A2206" s="24" t="s">
        <v>2166</v>
      </c>
      <c r="B2206" s="24" t="s">
        <v>132</v>
      </c>
      <c r="C2206" s="24" t="s">
        <v>283</v>
      </c>
      <c r="D2206" s="25">
        <v>1392</v>
      </c>
      <c r="E2206" s="25">
        <v>22658</v>
      </c>
      <c r="F2206" s="26">
        <v>2573.8000000000002</v>
      </c>
      <c r="G2206" s="27">
        <v>11.359343000000001</v>
      </c>
    </row>
    <row r="2207" spans="1:7" hidden="1" x14ac:dyDescent="0.25">
      <c r="A2207" s="24" t="s">
        <v>2167</v>
      </c>
      <c r="B2207" s="24" t="s">
        <v>132</v>
      </c>
      <c r="C2207" s="24" t="s">
        <v>283</v>
      </c>
      <c r="D2207" s="25">
        <v>2153</v>
      </c>
      <c r="E2207" s="25">
        <v>47512</v>
      </c>
      <c r="F2207" s="26">
        <v>5320.6</v>
      </c>
      <c r="G2207" s="27">
        <v>11.198434000000001</v>
      </c>
    </row>
    <row r="2208" spans="1:7" hidden="1" x14ac:dyDescent="0.25">
      <c r="A2208" s="24" t="s">
        <v>2168</v>
      </c>
      <c r="B2208" s="24" t="s">
        <v>132</v>
      </c>
      <c r="C2208" s="24" t="s">
        <v>283</v>
      </c>
      <c r="D2208" s="25">
        <v>6091</v>
      </c>
      <c r="E2208" s="25">
        <v>118531</v>
      </c>
      <c r="F2208" s="26">
        <v>12991.7</v>
      </c>
      <c r="G2208" s="27">
        <v>10.960592999999999</v>
      </c>
    </row>
    <row r="2209" spans="1:7" hidden="1" x14ac:dyDescent="0.25">
      <c r="A2209" s="24" t="s">
        <v>2169</v>
      </c>
      <c r="B2209" s="24" t="s">
        <v>132</v>
      </c>
      <c r="C2209" s="24" t="s">
        <v>283</v>
      </c>
      <c r="D2209" s="25">
        <v>1825</v>
      </c>
      <c r="E2209" s="25">
        <v>34502</v>
      </c>
      <c r="F2209" s="26">
        <v>3874.2</v>
      </c>
      <c r="G2209" s="27">
        <v>11.228914</v>
      </c>
    </row>
    <row r="2210" spans="1:7" hidden="1" x14ac:dyDescent="0.25">
      <c r="A2210" s="24" t="s">
        <v>2170</v>
      </c>
      <c r="B2210" s="24" t="s">
        <v>132</v>
      </c>
      <c r="C2210" s="24" t="s">
        <v>283</v>
      </c>
      <c r="D2210" s="25">
        <v>4264</v>
      </c>
      <c r="E2210" s="25">
        <v>104168</v>
      </c>
      <c r="F2210" s="26">
        <v>10267.799999999999</v>
      </c>
      <c r="G2210" s="27">
        <v>9.8569618000000006</v>
      </c>
    </row>
    <row r="2211" spans="1:7" hidden="1" x14ac:dyDescent="0.25">
      <c r="A2211" s="24" t="s">
        <v>2171</v>
      </c>
      <c r="B2211" s="24" t="s">
        <v>132</v>
      </c>
      <c r="C2211" s="24" t="s">
        <v>278</v>
      </c>
      <c r="D2211" s="25">
        <v>767</v>
      </c>
      <c r="E2211" s="25">
        <v>12402</v>
      </c>
      <c r="F2211" s="26">
        <v>1922</v>
      </c>
      <c r="G2211" s="27">
        <v>15.4975</v>
      </c>
    </row>
    <row r="2212" spans="1:7" hidden="1" x14ac:dyDescent="0.25">
      <c r="A2212" s="24" t="s">
        <v>2172</v>
      </c>
      <c r="B2212" s="24" t="s">
        <v>132</v>
      </c>
      <c r="C2212" s="24" t="s">
        <v>283</v>
      </c>
      <c r="D2212" s="25">
        <v>975</v>
      </c>
      <c r="E2212" s="25">
        <v>36152</v>
      </c>
      <c r="F2212" s="26">
        <v>3649.8</v>
      </c>
      <c r="G2212" s="27">
        <v>10.095707000000001</v>
      </c>
    </row>
    <row r="2213" spans="1:7" hidden="1" x14ac:dyDescent="0.25">
      <c r="A2213" s="24" t="s">
        <v>1069</v>
      </c>
      <c r="B2213" s="24" t="s">
        <v>132</v>
      </c>
      <c r="C2213" s="24" t="s">
        <v>278</v>
      </c>
      <c r="D2213" s="25">
        <v>1122770</v>
      </c>
      <c r="E2213" s="25">
        <v>23655601</v>
      </c>
      <c r="F2213" s="26">
        <v>2801176.4</v>
      </c>
      <c r="G2213" s="27">
        <v>11.841493</v>
      </c>
    </row>
    <row r="2214" spans="1:7" hidden="1" x14ac:dyDescent="0.25">
      <c r="A2214" s="24" t="s">
        <v>2173</v>
      </c>
      <c r="B2214" s="24" t="s">
        <v>132</v>
      </c>
      <c r="C2214" s="24" t="s">
        <v>278</v>
      </c>
      <c r="D2214" s="25">
        <v>471449</v>
      </c>
      <c r="E2214" s="25">
        <v>10795717</v>
      </c>
      <c r="F2214" s="26">
        <v>1129152</v>
      </c>
      <c r="G2214" s="27">
        <v>10.459258999999999</v>
      </c>
    </row>
    <row r="2215" spans="1:7" hidden="1" x14ac:dyDescent="0.25">
      <c r="A2215" s="24" t="s">
        <v>2174</v>
      </c>
      <c r="B2215" s="24" t="s">
        <v>132</v>
      </c>
      <c r="C2215" s="24" t="s">
        <v>278</v>
      </c>
      <c r="D2215" s="25">
        <v>442246</v>
      </c>
      <c r="E2215" s="25">
        <v>10779183</v>
      </c>
      <c r="F2215" s="26">
        <v>985501.9</v>
      </c>
      <c r="G2215" s="27">
        <v>9.1426400000000001</v>
      </c>
    </row>
    <row r="2216" spans="1:7" hidden="1" x14ac:dyDescent="0.25">
      <c r="A2216" s="24" t="s">
        <v>2175</v>
      </c>
      <c r="B2216" s="24" t="s">
        <v>132</v>
      </c>
      <c r="C2216" s="24" t="s">
        <v>283</v>
      </c>
      <c r="D2216" s="25">
        <v>14717</v>
      </c>
      <c r="E2216" s="25">
        <v>255098</v>
      </c>
      <c r="F2216" s="26">
        <v>26414</v>
      </c>
      <c r="G2216" s="27">
        <v>10.354452</v>
      </c>
    </row>
    <row r="2217" spans="1:7" hidden="1" x14ac:dyDescent="0.25">
      <c r="A2217" s="24" t="s">
        <v>2023</v>
      </c>
      <c r="B2217" s="24" t="s">
        <v>129</v>
      </c>
      <c r="C2217" s="24" t="s">
        <v>278</v>
      </c>
      <c r="D2217" s="25">
        <v>425982</v>
      </c>
      <c r="E2217" s="25">
        <v>12561243</v>
      </c>
      <c r="F2217" s="26">
        <v>1179150</v>
      </c>
      <c r="G2217" s="27">
        <v>9.3872078999999999</v>
      </c>
    </row>
    <row r="2218" spans="1:7" hidden="1" x14ac:dyDescent="0.25">
      <c r="A2218" s="24" t="s">
        <v>2176</v>
      </c>
      <c r="B2218" s="24" t="s">
        <v>129</v>
      </c>
      <c r="C2218" s="24" t="s">
        <v>278</v>
      </c>
      <c r="D2218" s="25">
        <v>3938</v>
      </c>
      <c r="E2218" s="25">
        <v>49598</v>
      </c>
      <c r="F2218" s="26">
        <v>6047</v>
      </c>
      <c r="G2218" s="27">
        <v>12.192024</v>
      </c>
    </row>
    <row r="2219" spans="1:7" hidden="1" x14ac:dyDescent="0.25">
      <c r="A2219" s="24" t="s">
        <v>2035</v>
      </c>
      <c r="B2219" s="24" t="s">
        <v>129</v>
      </c>
      <c r="C2219" s="24" t="s">
        <v>281</v>
      </c>
      <c r="D2219" s="25">
        <v>481</v>
      </c>
      <c r="E2219" s="25">
        <v>2619</v>
      </c>
      <c r="F2219" s="26">
        <v>446.5</v>
      </c>
      <c r="G2219" s="27">
        <v>17.048492</v>
      </c>
    </row>
    <row r="2220" spans="1:7" hidden="1" x14ac:dyDescent="0.25">
      <c r="A2220" s="24" t="s">
        <v>2177</v>
      </c>
      <c r="B2220" s="24" t="s">
        <v>129</v>
      </c>
      <c r="C2220" s="24" t="s">
        <v>278</v>
      </c>
      <c r="D2220" s="25">
        <v>390806</v>
      </c>
      <c r="E2220" s="25">
        <v>11632619</v>
      </c>
      <c r="F2220" s="26">
        <v>1050131.5</v>
      </c>
      <c r="G2220" s="27">
        <v>9.0274727000000006</v>
      </c>
    </row>
    <row r="2221" spans="1:7" hidden="1" x14ac:dyDescent="0.25">
      <c r="A2221" s="24" t="s">
        <v>1026</v>
      </c>
      <c r="B2221" s="24" t="s">
        <v>129</v>
      </c>
      <c r="C2221" s="24" t="s">
        <v>278</v>
      </c>
      <c r="D2221" s="25">
        <v>141376</v>
      </c>
      <c r="E2221" s="25">
        <v>3395891</v>
      </c>
      <c r="F2221" s="26">
        <v>329013.3</v>
      </c>
      <c r="G2221" s="27">
        <v>9.6885706999999996</v>
      </c>
    </row>
    <row r="2222" spans="1:7" hidden="1" x14ac:dyDescent="0.25">
      <c r="A2222" s="24" t="s">
        <v>2178</v>
      </c>
      <c r="B2222" s="24" t="s">
        <v>129</v>
      </c>
      <c r="C2222" s="24" t="s">
        <v>278</v>
      </c>
      <c r="D2222" s="25">
        <v>41427</v>
      </c>
      <c r="E2222" s="25">
        <v>3916764</v>
      </c>
      <c r="F2222" s="26">
        <v>269609</v>
      </c>
      <c r="G2222" s="27">
        <v>6.8834629999999999</v>
      </c>
    </row>
    <row r="2223" spans="1:7" hidden="1" x14ac:dyDescent="0.25">
      <c r="A2223" s="24" t="s">
        <v>1376</v>
      </c>
      <c r="B2223" s="24" t="s">
        <v>135</v>
      </c>
      <c r="C2223" s="24" t="s">
        <v>281</v>
      </c>
      <c r="D2223" s="25">
        <v>1</v>
      </c>
      <c r="E2223" s="25">
        <v>435</v>
      </c>
      <c r="F2223" s="26">
        <v>25</v>
      </c>
      <c r="G2223" s="27">
        <v>5.7471264</v>
      </c>
    </row>
    <row r="2224" spans="1:7" hidden="1" x14ac:dyDescent="0.25">
      <c r="A2224" s="24" t="s">
        <v>1288</v>
      </c>
      <c r="B2224" s="24" t="s">
        <v>135</v>
      </c>
      <c r="C2224" s="24" t="s">
        <v>281</v>
      </c>
      <c r="D2224" s="25">
        <v>482</v>
      </c>
      <c r="E2224" s="25">
        <v>6832</v>
      </c>
      <c r="F2224" s="26">
        <v>840.8</v>
      </c>
      <c r="G2224" s="27">
        <v>12.306792</v>
      </c>
    </row>
    <row r="2225" spans="1:7" hidden="1" x14ac:dyDescent="0.25">
      <c r="A2225" s="24" t="s">
        <v>1289</v>
      </c>
      <c r="B2225" s="24" t="s">
        <v>135</v>
      </c>
      <c r="C2225" s="24" t="s">
        <v>281</v>
      </c>
      <c r="D2225" s="25">
        <v>297</v>
      </c>
      <c r="E2225" s="25">
        <v>4148</v>
      </c>
      <c r="F2225" s="26">
        <v>497.7</v>
      </c>
      <c r="G2225" s="27">
        <v>11.998554</v>
      </c>
    </row>
    <row r="2226" spans="1:7" hidden="1" x14ac:dyDescent="0.25">
      <c r="A2226" s="24" t="s">
        <v>1290</v>
      </c>
      <c r="B2226" s="24" t="s">
        <v>135</v>
      </c>
      <c r="C2226" s="24" t="s">
        <v>281</v>
      </c>
      <c r="D2226" s="25">
        <v>3733</v>
      </c>
      <c r="E2226" s="25">
        <v>111032</v>
      </c>
      <c r="F2226" s="26">
        <v>12876</v>
      </c>
      <c r="G2226" s="27">
        <v>11.596657</v>
      </c>
    </row>
    <row r="2227" spans="1:7" hidden="1" x14ac:dyDescent="0.25">
      <c r="A2227" s="24" t="s">
        <v>1291</v>
      </c>
      <c r="B2227" s="24" t="s">
        <v>135</v>
      </c>
      <c r="C2227" s="24" t="s">
        <v>278</v>
      </c>
      <c r="D2227" s="25">
        <v>2643</v>
      </c>
      <c r="E2227" s="25">
        <v>165357</v>
      </c>
      <c r="F2227" s="26">
        <v>15807</v>
      </c>
      <c r="G2227" s="27">
        <v>9.5593170999999995</v>
      </c>
    </row>
    <row r="2228" spans="1:7" hidden="1" x14ac:dyDescent="0.25">
      <c r="A2228" s="24" t="s">
        <v>2006</v>
      </c>
      <c r="B2228" s="24" t="s">
        <v>135</v>
      </c>
      <c r="C2228" s="24" t="s">
        <v>281</v>
      </c>
      <c r="D2228" s="25">
        <v>4666</v>
      </c>
      <c r="E2228" s="25">
        <v>130620</v>
      </c>
      <c r="F2228" s="26">
        <v>11424.2</v>
      </c>
      <c r="G2228" s="27">
        <v>8.7461338000000008</v>
      </c>
    </row>
    <row r="2229" spans="1:7" hidden="1" x14ac:dyDescent="0.25">
      <c r="A2229" s="24" t="s">
        <v>2179</v>
      </c>
      <c r="B2229" s="24" t="s">
        <v>135</v>
      </c>
      <c r="C2229" s="24" t="s">
        <v>281</v>
      </c>
      <c r="D2229" s="25">
        <v>6234</v>
      </c>
      <c r="E2229" s="25">
        <v>123772</v>
      </c>
      <c r="F2229" s="26">
        <v>15573.6</v>
      </c>
      <c r="G2229" s="27">
        <v>12.58249</v>
      </c>
    </row>
    <row r="2230" spans="1:7" hidden="1" x14ac:dyDescent="0.25">
      <c r="A2230" s="24" t="s">
        <v>2180</v>
      </c>
      <c r="B2230" s="24" t="s">
        <v>135</v>
      </c>
      <c r="C2230" s="24" t="s">
        <v>278</v>
      </c>
      <c r="D2230" s="25">
        <v>42130</v>
      </c>
      <c r="E2230" s="25">
        <v>1528083</v>
      </c>
      <c r="F2230" s="26">
        <v>157595</v>
      </c>
      <c r="G2230" s="27">
        <v>10.313249000000001</v>
      </c>
    </row>
    <row r="2231" spans="1:7" hidden="1" x14ac:dyDescent="0.25">
      <c r="A2231" s="24" t="s">
        <v>2181</v>
      </c>
      <c r="B2231" s="24" t="s">
        <v>135</v>
      </c>
      <c r="C2231" s="24" t="s">
        <v>283</v>
      </c>
      <c r="D2231" s="25">
        <v>7469</v>
      </c>
      <c r="E2231" s="25">
        <v>114306</v>
      </c>
      <c r="F2231" s="26">
        <v>12108.7</v>
      </c>
      <c r="G2231" s="27">
        <v>10.593232</v>
      </c>
    </row>
    <row r="2232" spans="1:7" hidden="1" x14ac:dyDescent="0.25">
      <c r="A2232" s="24" t="s">
        <v>2182</v>
      </c>
      <c r="B2232" s="24" t="s">
        <v>135</v>
      </c>
      <c r="C2232" s="24" t="s">
        <v>283</v>
      </c>
      <c r="D2232" s="25">
        <v>15695</v>
      </c>
      <c r="E2232" s="25">
        <v>320968</v>
      </c>
      <c r="F2232" s="26">
        <v>31410</v>
      </c>
      <c r="G2232" s="27">
        <v>9.7860223000000008</v>
      </c>
    </row>
    <row r="2233" spans="1:7" hidden="1" x14ac:dyDescent="0.25">
      <c r="A2233" s="24" t="s">
        <v>2183</v>
      </c>
      <c r="B2233" s="24" t="s">
        <v>135</v>
      </c>
      <c r="C2233" s="24" t="s">
        <v>283</v>
      </c>
      <c r="D2233" s="25">
        <v>3895</v>
      </c>
      <c r="E2233" s="25">
        <v>91669</v>
      </c>
      <c r="F2233" s="26">
        <v>9574</v>
      </c>
      <c r="G2233" s="27">
        <v>10.444098</v>
      </c>
    </row>
    <row r="2234" spans="1:7" hidden="1" x14ac:dyDescent="0.25">
      <c r="A2234" s="24" t="s">
        <v>747</v>
      </c>
      <c r="B2234" s="24" t="s">
        <v>135</v>
      </c>
      <c r="C2234" s="24" t="s">
        <v>281</v>
      </c>
      <c r="D2234" s="25">
        <v>334</v>
      </c>
      <c r="E2234" s="25">
        <v>9206</v>
      </c>
      <c r="F2234" s="26">
        <v>878</v>
      </c>
      <c r="G2234" s="27">
        <v>9.5372582999999995</v>
      </c>
    </row>
    <row r="2235" spans="1:7" hidden="1" x14ac:dyDescent="0.25">
      <c r="A2235" s="24" t="s">
        <v>2184</v>
      </c>
      <c r="B2235" s="24" t="s">
        <v>135</v>
      </c>
      <c r="C2235" s="24" t="s">
        <v>281</v>
      </c>
      <c r="D2235" s="25">
        <v>2032</v>
      </c>
      <c r="E2235" s="25">
        <v>26340</v>
      </c>
      <c r="F2235" s="26">
        <v>4111</v>
      </c>
      <c r="G2235" s="27">
        <v>15.607441</v>
      </c>
    </row>
    <row r="2236" spans="1:7" hidden="1" x14ac:dyDescent="0.25">
      <c r="A2236" s="24" t="s">
        <v>2185</v>
      </c>
      <c r="B2236" s="24" t="s">
        <v>135</v>
      </c>
      <c r="C2236" s="24" t="s">
        <v>281</v>
      </c>
      <c r="D2236" s="25">
        <v>12813</v>
      </c>
      <c r="E2236" s="25">
        <v>860358</v>
      </c>
      <c r="F2236" s="26">
        <v>78839.8</v>
      </c>
      <c r="G2236" s="27">
        <v>9.1636039999999994</v>
      </c>
    </row>
    <row r="2237" spans="1:7" hidden="1" x14ac:dyDescent="0.25">
      <c r="A2237" s="24" t="s">
        <v>485</v>
      </c>
      <c r="B2237" s="24" t="s">
        <v>135</v>
      </c>
      <c r="C2237" s="24" t="s">
        <v>281</v>
      </c>
      <c r="D2237" s="25">
        <v>6048</v>
      </c>
      <c r="E2237" s="25">
        <v>192601</v>
      </c>
      <c r="F2237" s="26">
        <v>22427</v>
      </c>
      <c r="G2237" s="27">
        <v>11.64428</v>
      </c>
    </row>
    <row r="2238" spans="1:7" hidden="1" x14ac:dyDescent="0.25">
      <c r="A2238" s="24" t="s">
        <v>751</v>
      </c>
      <c r="B2238" s="24" t="s">
        <v>135</v>
      </c>
      <c r="C2238" s="24" t="s">
        <v>281</v>
      </c>
      <c r="D2238" s="25">
        <v>25884</v>
      </c>
      <c r="E2238" s="25">
        <v>709695</v>
      </c>
      <c r="F2238" s="26">
        <v>44362</v>
      </c>
      <c r="G2238" s="27">
        <v>6.2508542</v>
      </c>
    </row>
    <row r="2239" spans="1:7" hidden="1" x14ac:dyDescent="0.25">
      <c r="A2239" s="24" t="s">
        <v>1303</v>
      </c>
      <c r="B2239" s="24" t="s">
        <v>135</v>
      </c>
      <c r="C2239" s="24" t="s">
        <v>278</v>
      </c>
      <c r="D2239" s="25">
        <v>15859</v>
      </c>
      <c r="E2239" s="25">
        <v>278373</v>
      </c>
      <c r="F2239" s="26">
        <v>27234</v>
      </c>
      <c r="G2239" s="27">
        <v>9.7832764000000001</v>
      </c>
    </row>
    <row r="2240" spans="1:7" hidden="1" x14ac:dyDescent="0.25">
      <c r="A2240" s="24" t="s">
        <v>1304</v>
      </c>
      <c r="B2240" s="24" t="s">
        <v>135</v>
      </c>
      <c r="C2240" s="24" t="s">
        <v>278</v>
      </c>
      <c r="D2240" s="25">
        <v>552</v>
      </c>
      <c r="E2240" s="25">
        <v>28565</v>
      </c>
      <c r="F2240" s="26">
        <v>4765.3999999999996</v>
      </c>
      <c r="G2240" s="27">
        <v>16.682653999999999</v>
      </c>
    </row>
    <row r="2241" spans="1:7" hidden="1" x14ac:dyDescent="0.25">
      <c r="A2241" s="24" t="s">
        <v>457</v>
      </c>
      <c r="B2241" s="24" t="s">
        <v>135</v>
      </c>
      <c r="C2241" s="24" t="s">
        <v>278</v>
      </c>
      <c r="D2241" s="25">
        <v>140712</v>
      </c>
      <c r="E2241" s="25">
        <v>9330378</v>
      </c>
      <c r="F2241" s="26">
        <v>693474.2</v>
      </c>
      <c r="G2241" s="27">
        <v>7.4324341</v>
      </c>
    </row>
    <row r="2242" spans="1:7" hidden="1" x14ac:dyDescent="0.25">
      <c r="A2242" s="24" t="s">
        <v>1306</v>
      </c>
      <c r="B2242" s="24" t="s">
        <v>135</v>
      </c>
      <c r="C2242" s="24" t="s">
        <v>281</v>
      </c>
      <c r="D2242" s="25">
        <v>26584</v>
      </c>
      <c r="E2242" s="25">
        <v>2181539</v>
      </c>
      <c r="F2242" s="26">
        <v>181997.2</v>
      </c>
      <c r="G2242" s="27">
        <v>8.3426057999999994</v>
      </c>
    </row>
    <row r="2243" spans="1:7" hidden="1" x14ac:dyDescent="0.25">
      <c r="A2243" s="24" t="s">
        <v>422</v>
      </c>
      <c r="B2243" s="24" t="s">
        <v>135</v>
      </c>
      <c r="C2243" s="24" t="s">
        <v>351</v>
      </c>
      <c r="D2243" s="25">
        <v>6</v>
      </c>
      <c r="E2243" s="25">
        <v>38448</v>
      </c>
      <c r="F2243" s="26">
        <v>955.9</v>
      </c>
      <c r="G2243" s="27">
        <v>2.4862150999999999</v>
      </c>
    </row>
    <row r="2244" spans="1:7" hidden="1" x14ac:dyDescent="0.25">
      <c r="A2244" s="24" t="s">
        <v>1469</v>
      </c>
      <c r="B2244" s="24" t="s">
        <v>135</v>
      </c>
      <c r="C2244" s="24" t="s">
        <v>281</v>
      </c>
      <c r="D2244" s="25">
        <v>4727</v>
      </c>
      <c r="E2244" s="25">
        <v>153689</v>
      </c>
      <c r="F2244" s="26">
        <v>18038.2</v>
      </c>
      <c r="G2244" s="27">
        <v>11.736819000000001</v>
      </c>
    </row>
    <row r="2245" spans="1:7" hidden="1" x14ac:dyDescent="0.25">
      <c r="A2245" s="24" t="s">
        <v>510</v>
      </c>
      <c r="B2245" s="24" t="s">
        <v>135</v>
      </c>
      <c r="C2245" s="24" t="s">
        <v>281</v>
      </c>
      <c r="D2245" s="25">
        <v>762</v>
      </c>
      <c r="E2245" s="25">
        <v>9915</v>
      </c>
      <c r="F2245" s="26">
        <v>1115.7</v>
      </c>
      <c r="G2245" s="27">
        <v>11.252648000000001</v>
      </c>
    </row>
    <row r="2246" spans="1:7" hidden="1" x14ac:dyDescent="0.25">
      <c r="A2246" s="24" t="s">
        <v>2186</v>
      </c>
      <c r="B2246" s="24" t="s">
        <v>115</v>
      </c>
      <c r="C2246" s="24" t="s">
        <v>1837</v>
      </c>
      <c r="D2246" s="25">
        <v>28</v>
      </c>
      <c r="E2246" s="25">
        <v>9293993</v>
      </c>
      <c r="F2246" s="26">
        <v>355045.6</v>
      </c>
      <c r="G2246" s="27">
        <v>3.8201621000000001</v>
      </c>
    </row>
    <row r="2247" spans="1:7" hidden="1" x14ac:dyDescent="0.25">
      <c r="A2247" s="24" t="s">
        <v>2187</v>
      </c>
      <c r="B2247" s="24" t="s">
        <v>6</v>
      </c>
      <c r="C2247" s="24" t="s">
        <v>253</v>
      </c>
      <c r="D2247" s="25">
        <v>13963</v>
      </c>
      <c r="E2247" s="25">
        <v>173521</v>
      </c>
      <c r="F2247" s="26">
        <v>62930.7</v>
      </c>
      <c r="G2247" s="27">
        <v>0</v>
      </c>
    </row>
    <row r="2248" spans="1:7" hidden="1" x14ac:dyDescent="0.25">
      <c r="A2248" s="24" t="s">
        <v>2187</v>
      </c>
      <c r="B2248" s="24" t="s">
        <v>3</v>
      </c>
      <c r="C2248" s="24" t="s">
        <v>253</v>
      </c>
      <c r="D2248" s="25">
        <v>22902</v>
      </c>
      <c r="E2248" s="25">
        <v>487740</v>
      </c>
      <c r="F2248" s="26">
        <v>54941.5</v>
      </c>
      <c r="G2248" s="27">
        <v>0</v>
      </c>
    </row>
    <row r="2249" spans="1:7" hidden="1" x14ac:dyDescent="0.25">
      <c r="A2249" s="24" t="s">
        <v>2187</v>
      </c>
      <c r="B2249" s="24" t="s">
        <v>12</v>
      </c>
      <c r="C2249" s="24" t="s">
        <v>253</v>
      </c>
      <c r="D2249" s="25">
        <v>16761</v>
      </c>
      <c r="E2249" s="25">
        <v>320008</v>
      </c>
      <c r="F2249" s="26">
        <v>38189</v>
      </c>
      <c r="G2249" s="27">
        <v>0</v>
      </c>
    </row>
    <row r="2250" spans="1:7" hidden="1" x14ac:dyDescent="0.25">
      <c r="A2250" s="24" t="s">
        <v>2187</v>
      </c>
      <c r="B2250" s="24" t="s">
        <v>8</v>
      </c>
      <c r="C2250" s="24" t="s">
        <v>253</v>
      </c>
      <c r="D2250" s="25">
        <v>-38323</v>
      </c>
      <c r="E2250" s="25">
        <v>863316</v>
      </c>
      <c r="F2250" s="26">
        <v>70964.2</v>
      </c>
      <c r="G2250" s="27">
        <v>0</v>
      </c>
    </row>
    <row r="2251" spans="1:7" hidden="1" x14ac:dyDescent="0.25">
      <c r="A2251" s="24" t="s">
        <v>2187</v>
      </c>
      <c r="B2251" s="24" t="s">
        <v>15</v>
      </c>
      <c r="C2251" s="24" t="s">
        <v>253</v>
      </c>
      <c r="D2251" s="25">
        <v>-271999</v>
      </c>
      <c r="E2251" s="25">
        <v>346736</v>
      </c>
      <c r="F2251" s="26">
        <v>41326.400000000001</v>
      </c>
      <c r="G2251" s="27">
        <v>0</v>
      </c>
    </row>
    <row r="2252" spans="1:7" hidden="1" x14ac:dyDescent="0.25">
      <c r="A2252" s="24" t="s">
        <v>2187</v>
      </c>
      <c r="B2252" s="24" t="s">
        <v>16</v>
      </c>
      <c r="C2252" s="24" t="s">
        <v>253</v>
      </c>
      <c r="D2252" s="25">
        <v>12970</v>
      </c>
      <c r="E2252" s="25">
        <v>511408</v>
      </c>
      <c r="F2252" s="26">
        <v>67649.600000000006</v>
      </c>
      <c r="G2252" s="27">
        <v>0</v>
      </c>
    </row>
    <row r="2253" spans="1:7" hidden="1" x14ac:dyDescent="0.25">
      <c r="A2253" s="24" t="s">
        <v>2187</v>
      </c>
      <c r="B2253" s="24" t="s">
        <v>19</v>
      </c>
      <c r="C2253" s="24" t="s">
        <v>253</v>
      </c>
      <c r="D2253" s="25">
        <v>-15145</v>
      </c>
      <c r="E2253" s="25">
        <v>0</v>
      </c>
      <c r="F2253" s="26">
        <v>0</v>
      </c>
      <c r="G2253" s="27">
        <v>0</v>
      </c>
    </row>
    <row r="2254" spans="1:7" hidden="1" x14ac:dyDescent="0.25">
      <c r="A2254" s="24" t="s">
        <v>2187</v>
      </c>
      <c r="B2254" s="24" t="s">
        <v>184</v>
      </c>
      <c r="C2254" s="24" t="s">
        <v>253</v>
      </c>
      <c r="D2254" s="25">
        <v>-491</v>
      </c>
      <c r="E2254" s="25">
        <v>0</v>
      </c>
      <c r="F2254" s="26">
        <v>0</v>
      </c>
      <c r="G2254" s="27">
        <v>0</v>
      </c>
    </row>
    <row r="2255" spans="1:7" hidden="1" x14ac:dyDescent="0.25">
      <c r="A2255" s="24" t="s">
        <v>2187</v>
      </c>
      <c r="B2255" s="24" t="s">
        <v>22</v>
      </c>
      <c r="C2255" s="24" t="s">
        <v>253</v>
      </c>
      <c r="D2255" s="25">
        <v>623</v>
      </c>
      <c r="E2255" s="25">
        <v>86306</v>
      </c>
      <c r="F2255" s="26">
        <v>9561</v>
      </c>
      <c r="G2255" s="27">
        <v>0</v>
      </c>
    </row>
    <row r="2256" spans="1:7" hidden="1" x14ac:dyDescent="0.25">
      <c r="A2256" s="24" t="s">
        <v>2187</v>
      </c>
      <c r="B2256" s="24" t="s">
        <v>24</v>
      </c>
      <c r="C2256" s="24" t="s">
        <v>253</v>
      </c>
      <c r="D2256" s="25">
        <v>24234</v>
      </c>
      <c r="E2256" s="25">
        <v>497117</v>
      </c>
      <c r="F2256" s="26">
        <v>56376.9</v>
      </c>
      <c r="G2256" s="27">
        <v>0</v>
      </c>
    </row>
    <row r="2257" spans="1:7" hidden="1" x14ac:dyDescent="0.25">
      <c r="A2257" s="24" t="s">
        <v>2187</v>
      </c>
      <c r="B2257" s="24" t="s">
        <v>27</v>
      </c>
      <c r="C2257" s="24" t="s">
        <v>253</v>
      </c>
      <c r="D2257" s="25">
        <v>41107</v>
      </c>
      <c r="E2257" s="25">
        <v>986454</v>
      </c>
      <c r="F2257" s="26">
        <v>115000.2</v>
      </c>
      <c r="G2257" s="27">
        <v>0</v>
      </c>
    </row>
    <row r="2258" spans="1:7" hidden="1" x14ac:dyDescent="0.25">
      <c r="A2258" s="24" t="s">
        <v>2187</v>
      </c>
      <c r="B2258" s="24" t="s">
        <v>29</v>
      </c>
      <c r="C2258" s="24" t="s">
        <v>253</v>
      </c>
      <c r="D2258" s="25">
        <v>-14877</v>
      </c>
      <c r="E2258" s="25">
        <v>0</v>
      </c>
      <c r="F2258" s="26">
        <v>0</v>
      </c>
      <c r="G2258" s="27">
        <v>0</v>
      </c>
    </row>
    <row r="2259" spans="1:7" hidden="1" x14ac:dyDescent="0.25">
      <c r="A2259" s="24" t="s">
        <v>2187</v>
      </c>
      <c r="B2259" s="24" t="s">
        <v>40</v>
      </c>
      <c r="C2259" s="24" t="s">
        <v>253</v>
      </c>
      <c r="D2259" s="25">
        <v>57840</v>
      </c>
      <c r="E2259" s="25">
        <v>807394</v>
      </c>
      <c r="F2259" s="26">
        <v>89539.1</v>
      </c>
      <c r="G2259" s="27">
        <v>0</v>
      </c>
    </row>
    <row r="2260" spans="1:7" hidden="1" x14ac:dyDescent="0.25">
      <c r="A2260" s="24" t="s">
        <v>2187</v>
      </c>
      <c r="B2260" s="24" t="s">
        <v>32</v>
      </c>
      <c r="C2260" s="24" t="s">
        <v>253</v>
      </c>
      <c r="D2260" s="25">
        <v>19791</v>
      </c>
      <c r="E2260" s="25">
        <v>488765</v>
      </c>
      <c r="F2260" s="26">
        <v>34806.300000000003</v>
      </c>
      <c r="G2260" s="27">
        <v>0</v>
      </c>
    </row>
    <row r="2261" spans="1:7" hidden="1" x14ac:dyDescent="0.25">
      <c r="A2261" s="24" t="s">
        <v>2187</v>
      </c>
      <c r="B2261" s="24" t="s">
        <v>35</v>
      </c>
      <c r="C2261" s="24" t="s">
        <v>253</v>
      </c>
      <c r="D2261" s="25">
        <v>89368</v>
      </c>
      <c r="E2261" s="25">
        <v>1479074</v>
      </c>
      <c r="F2261" s="26">
        <v>186445.3</v>
      </c>
      <c r="G2261" s="27">
        <v>0</v>
      </c>
    </row>
    <row r="2262" spans="1:7" hidden="1" x14ac:dyDescent="0.25">
      <c r="A2262" s="24" t="s">
        <v>2187</v>
      </c>
      <c r="B2262" s="24" t="s">
        <v>37</v>
      </c>
      <c r="C2262" s="24" t="s">
        <v>253</v>
      </c>
      <c r="D2262" s="25">
        <v>72365</v>
      </c>
      <c r="E2262" s="25">
        <v>1452706</v>
      </c>
      <c r="F2262" s="26">
        <v>166307</v>
      </c>
      <c r="G2262" s="27">
        <v>0</v>
      </c>
    </row>
    <row r="2263" spans="1:7" hidden="1" x14ac:dyDescent="0.25">
      <c r="A2263" s="24" t="s">
        <v>2187</v>
      </c>
      <c r="B2263" s="24" t="s">
        <v>42</v>
      </c>
      <c r="C2263" s="24" t="s">
        <v>253</v>
      </c>
      <c r="D2263" s="25">
        <v>55672</v>
      </c>
      <c r="E2263" s="25">
        <v>767765</v>
      </c>
      <c r="F2263" s="26">
        <v>98662.7</v>
      </c>
      <c r="G2263" s="27">
        <v>0</v>
      </c>
    </row>
    <row r="2264" spans="1:7" hidden="1" x14ac:dyDescent="0.25">
      <c r="A2264" s="24" t="s">
        <v>2187</v>
      </c>
      <c r="B2264" s="24" t="s">
        <v>45</v>
      </c>
      <c r="C2264" s="24" t="s">
        <v>253</v>
      </c>
      <c r="D2264" s="25">
        <v>15771</v>
      </c>
      <c r="E2264" s="25">
        <v>297527</v>
      </c>
      <c r="F2264" s="26">
        <v>31638.7</v>
      </c>
      <c r="G2264" s="27">
        <v>0</v>
      </c>
    </row>
    <row r="2265" spans="1:7" hidden="1" x14ac:dyDescent="0.25">
      <c r="A2265" s="24" t="s">
        <v>2187</v>
      </c>
      <c r="B2265" s="24" t="s">
        <v>48</v>
      </c>
      <c r="C2265" s="24" t="s">
        <v>253</v>
      </c>
      <c r="D2265" s="25">
        <v>29065</v>
      </c>
      <c r="E2265" s="25">
        <v>586226</v>
      </c>
      <c r="F2265" s="26">
        <v>56567.3</v>
      </c>
      <c r="G2265" s="27">
        <v>0</v>
      </c>
    </row>
    <row r="2266" spans="1:7" hidden="1" x14ac:dyDescent="0.25">
      <c r="A2266" s="24" t="s">
        <v>2187</v>
      </c>
      <c r="B2266" s="24" t="s">
        <v>56</v>
      </c>
      <c r="C2266" s="24" t="s">
        <v>253</v>
      </c>
      <c r="D2266" s="25">
        <v>6883</v>
      </c>
      <c r="E2266" s="25">
        <v>593984</v>
      </c>
      <c r="F2266" s="26">
        <v>89035.8</v>
      </c>
      <c r="G2266" s="27">
        <v>0</v>
      </c>
    </row>
    <row r="2267" spans="1:7" hidden="1" x14ac:dyDescent="0.25">
      <c r="A2267" s="24" t="s">
        <v>2187</v>
      </c>
      <c r="B2267" s="24" t="s">
        <v>53</v>
      </c>
      <c r="C2267" s="24" t="s">
        <v>253</v>
      </c>
      <c r="D2267" s="25">
        <v>-35305</v>
      </c>
      <c r="E2267" s="25">
        <v>137947</v>
      </c>
      <c r="F2267" s="26">
        <v>13378</v>
      </c>
      <c r="G2267" s="27">
        <v>0</v>
      </c>
    </row>
    <row r="2268" spans="1:7" hidden="1" x14ac:dyDescent="0.25">
      <c r="A2268" s="24" t="s">
        <v>2187</v>
      </c>
      <c r="B2268" s="24" t="s">
        <v>51</v>
      </c>
      <c r="C2268" s="24" t="s">
        <v>253</v>
      </c>
      <c r="D2268" s="25">
        <v>1562</v>
      </c>
      <c r="E2268" s="25">
        <v>13929</v>
      </c>
      <c r="F2268" s="26">
        <v>1733.1</v>
      </c>
      <c r="G2268" s="27">
        <v>0</v>
      </c>
    </row>
    <row r="2269" spans="1:7" hidden="1" x14ac:dyDescent="0.25">
      <c r="A2269" s="24" t="s">
        <v>2187</v>
      </c>
      <c r="B2269" s="24" t="s">
        <v>59</v>
      </c>
      <c r="C2269" s="24" t="s">
        <v>253</v>
      </c>
      <c r="D2269" s="25">
        <v>40501</v>
      </c>
      <c r="E2269" s="25">
        <v>767742</v>
      </c>
      <c r="F2269" s="26">
        <v>82549.899999999994</v>
      </c>
      <c r="G2269" s="27">
        <v>0</v>
      </c>
    </row>
    <row r="2270" spans="1:7" hidden="1" x14ac:dyDescent="0.25">
      <c r="A2270" s="24" t="s">
        <v>2187</v>
      </c>
      <c r="B2270" s="24" t="s">
        <v>61</v>
      </c>
      <c r="C2270" s="24" t="s">
        <v>253</v>
      </c>
      <c r="D2270" s="25">
        <v>50967</v>
      </c>
      <c r="E2270" s="25">
        <v>833592</v>
      </c>
      <c r="F2270" s="26">
        <v>94201.9</v>
      </c>
      <c r="G2270" s="27">
        <v>0</v>
      </c>
    </row>
    <row r="2271" spans="1:7" hidden="1" x14ac:dyDescent="0.25">
      <c r="A2271" s="24" t="s">
        <v>2187</v>
      </c>
      <c r="B2271" s="24" t="s">
        <v>67</v>
      </c>
      <c r="C2271" s="24" t="s">
        <v>253</v>
      </c>
      <c r="D2271" s="25">
        <v>71221</v>
      </c>
      <c r="E2271" s="25">
        <v>1479802</v>
      </c>
      <c r="F2271" s="26">
        <v>159310</v>
      </c>
      <c r="G2271" s="27">
        <v>0</v>
      </c>
    </row>
    <row r="2272" spans="1:7" hidden="1" x14ac:dyDescent="0.25">
      <c r="A2272" s="24" t="s">
        <v>2187</v>
      </c>
      <c r="B2272" s="24" t="s">
        <v>64</v>
      </c>
      <c r="C2272" s="24" t="s">
        <v>253</v>
      </c>
      <c r="D2272" s="25">
        <v>9910</v>
      </c>
      <c r="E2272" s="25">
        <v>175662</v>
      </c>
      <c r="F2272" s="26">
        <v>18239.5</v>
      </c>
      <c r="G2272" s="27">
        <v>0</v>
      </c>
    </row>
    <row r="2273" spans="1:7" hidden="1" x14ac:dyDescent="0.25">
      <c r="A2273" s="24" t="s">
        <v>2187</v>
      </c>
      <c r="B2273" s="24" t="s">
        <v>70</v>
      </c>
      <c r="C2273" s="24" t="s">
        <v>253</v>
      </c>
      <c r="D2273" s="25">
        <v>9201</v>
      </c>
      <c r="E2273" s="25">
        <v>185560</v>
      </c>
      <c r="F2273" s="26">
        <v>22394.799999999999</v>
      </c>
      <c r="G2273" s="27">
        <v>0</v>
      </c>
    </row>
    <row r="2274" spans="1:7" hidden="1" x14ac:dyDescent="0.25">
      <c r="A2274" s="24" t="s">
        <v>2187</v>
      </c>
      <c r="B2274" s="24" t="s">
        <v>89</v>
      </c>
      <c r="C2274" s="24" t="s">
        <v>253</v>
      </c>
      <c r="D2274" s="25">
        <v>61353</v>
      </c>
      <c r="E2274" s="25">
        <v>1179413</v>
      </c>
      <c r="F2274" s="26">
        <v>137736.29999999999</v>
      </c>
      <c r="G2274" s="27">
        <v>0</v>
      </c>
    </row>
    <row r="2275" spans="1:7" hidden="1" x14ac:dyDescent="0.25">
      <c r="A2275" s="24" t="s">
        <v>2187</v>
      </c>
      <c r="B2275" s="24" t="s">
        <v>91</v>
      </c>
      <c r="C2275" s="24" t="s">
        <v>253</v>
      </c>
      <c r="D2275" s="25">
        <v>8995</v>
      </c>
      <c r="E2275" s="25">
        <v>261538</v>
      </c>
      <c r="F2275" s="26">
        <v>23817.1</v>
      </c>
      <c r="G2275" s="27">
        <v>0</v>
      </c>
    </row>
    <row r="2276" spans="1:7" hidden="1" x14ac:dyDescent="0.25">
      <c r="A2276" s="24" t="s">
        <v>2187</v>
      </c>
      <c r="B2276" s="24" t="s">
        <v>72</v>
      </c>
      <c r="C2276" s="24" t="s">
        <v>253</v>
      </c>
      <c r="D2276" s="25">
        <v>36299</v>
      </c>
      <c r="E2276" s="25">
        <v>549186</v>
      </c>
      <c r="F2276" s="26">
        <v>65213</v>
      </c>
      <c r="G2276" s="27">
        <v>0</v>
      </c>
    </row>
    <row r="2277" spans="1:7" hidden="1" x14ac:dyDescent="0.25">
      <c r="A2277" s="24" t="s">
        <v>2187</v>
      </c>
      <c r="B2277" s="24" t="s">
        <v>78</v>
      </c>
      <c r="C2277" s="24" t="s">
        <v>253</v>
      </c>
      <c r="D2277" s="25">
        <v>4894</v>
      </c>
      <c r="E2277" s="25">
        <v>111536</v>
      </c>
      <c r="F2277" s="26">
        <v>14879.2</v>
      </c>
      <c r="G2277" s="27">
        <v>0</v>
      </c>
    </row>
    <row r="2278" spans="1:7" hidden="1" x14ac:dyDescent="0.25">
      <c r="A2278" s="24" t="s">
        <v>2187</v>
      </c>
      <c r="B2278" s="24" t="s">
        <v>80</v>
      </c>
      <c r="C2278" s="24" t="s">
        <v>253</v>
      </c>
      <c r="D2278" s="25">
        <v>-25652</v>
      </c>
      <c r="E2278" s="25">
        <v>211308</v>
      </c>
      <c r="F2278" s="26">
        <v>40148.699999999997</v>
      </c>
      <c r="G2278" s="27">
        <v>0</v>
      </c>
    </row>
    <row r="2279" spans="1:7" hidden="1" x14ac:dyDescent="0.25">
      <c r="A2279" s="24" t="s">
        <v>2187</v>
      </c>
      <c r="B2279" s="24" t="s">
        <v>83</v>
      </c>
      <c r="C2279" s="24" t="s">
        <v>253</v>
      </c>
      <c r="D2279" s="25">
        <v>11856</v>
      </c>
      <c r="E2279" s="25">
        <v>163465</v>
      </c>
      <c r="F2279" s="26">
        <v>23711.4</v>
      </c>
      <c r="G2279" s="27">
        <v>0</v>
      </c>
    </row>
    <row r="2280" spans="1:7" hidden="1" x14ac:dyDescent="0.25">
      <c r="A2280" s="24" t="s">
        <v>2187</v>
      </c>
      <c r="B2280" s="24" t="s">
        <v>75</v>
      </c>
      <c r="C2280" s="24" t="s">
        <v>253</v>
      </c>
      <c r="D2280" s="25">
        <v>-8413</v>
      </c>
      <c r="E2280" s="25">
        <v>165251</v>
      </c>
      <c r="F2280" s="26">
        <v>17948.7</v>
      </c>
      <c r="G2280" s="27">
        <v>0</v>
      </c>
    </row>
    <row r="2281" spans="1:7" hidden="1" x14ac:dyDescent="0.25">
      <c r="A2281" s="24" t="s">
        <v>2187</v>
      </c>
      <c r="B2281" s="24" t="s">
        <v>86</v>
      </c>
      <c r="C2281" s="24" t="s">
        <v>253</v>
      </c>
      <c r="D2281" s="25">
        <v>34213</v>
      </c>
      <c r="E2281" s="25">
        <v>1595574</v>
      </c>
      <c r="F2281" s="26">
        <v>95021.7</v>
      </c>
      <c r="G2281" s="27">
        <v>0</v>
      </c>
    </row>
    <row r="2282" spans="1:7" hidden="1" x14ac:dyDescent="0.25">
      <c r="A2282" s="24" t="s">
        <v>2187</v>
      </c>
      <c r="B2282" s="24" t="s">
        <v>94</v>
      </c>
      <c r="C2282" s="24" t="s">
        <v>253</v>
      </c>
      <c r="D2282" s="25">
        <v>78543</v>
      </c>
      <c r="E2282" s="25">
        <v>1756082</v>
      </c>
      <c r="F2282" s="26">
        <v>188653.3</v>
      </c>
      <c r="G2282" s="27">
        <v>0</v>
      </c>
    </row>
    <row r="2283" spans="1:7" hidden="1" x14ac:dyDescent="0.25">
      <c r="A2283" s="24" t="s">
        <v>2187</v>
      </c>
      <c r="B2283" s="24" t="s">
        <v>96</v>
      </c>
      <c r="C2283" s="24" t="s">
        <v>253</v>
      </c>
      <c r="D2283" s="25">
        <v>59596</v>
      </c>
      <c r="E2283" s="25">
        <v>1023724</v>
      </c>
      <c r="F2283" s="26">
        <v>112207.2</v>
      </c>
      <c r="G2283" s="27">
        <v>0</v>
      </c>
    </row>
    <row r="2284" spans="1:7" hidden="1" x14ac:dyDescent="0.25">
      <c r="A2284" s="24" t="s">
        <v>2187</v>
      </c>
      <c r="B2284" s="24" t="s">
        <v>98</v>
      </c>
      <c r="C2284" s="24" t="s">
        <v>253</v>
      </c>
      <c r="D2284" s="25">
        <v>2182</v>
      </c>
      <c r="E2284" s="25">
        <v>106448</v>
      </c>
      <c r="F2284" s="26">
        <v>14840.4</v>
      </c>
      <c r="G2284" s="27">
        <v>0</v>
      </c>
    </row>
    <row r="2285" spans="1:7" hidden="1" x14ac:dyDescent="0.25">
      <c r="A2285" s="24" t="s">
        <v>2187</v>
      </c>
      <c r="B2285" s="24" t="s">
        <v>101</v>
      </c>
      <c r="C2285" s="24" t="s">
        <v>253</v>
      </c>
      <c r="D2285" s="25">
        <v>66384</v>
      </c>
      <c r="E2285" s="25">
        <v>886278</v>
      </c>
      <c r="F2285" s="26">
        <v>127992.9</v>
      </c>
      <c r="G2285" s="27">
        <v>0</v>
      </c>
    </row>
    <row r="2286" spans="1:7" hidden="1" x14ac:dyDescent="0.25">
      <c r="A2286" s="24" t="s">
        <v>2187</v>
      </c>
      <c r="B2286" s="24" t="s">
        <v>104</v>
      </c>
      <c r="C2286" s="24" t="s">
        <v>253</v>
      </c>
      <c r="D2286" s="25">
        <v>-232</v>
      </c>
      <c r="E2286" s="25">
        <v>0</v>
      </c>
      <c r="F2286" s="26">
        <v>0</v>
      </c>
      <c r="G2286" s="27">
        <v>0</v>
      </c>
    </row>
    <row r="2287" spans="1:7" hidden="1" x14ac:dyDescent="0.25">
      <c r="A2287" s="24" t="s">
        <v>2187</v>
      </c>
      <c r="B2287" s="24" t="s">
        <v>106</v>
      </c>
      <c r="C2287" s="24" t="s">
        <v>253</v>
      </c>
      <c r="D2287" s="25">
        <v>8338</v>
      </c>
      <c r="E2287" s="25">
        <v>225565</v>
      </c>
      <c r="F2287" s="26">
        <v>30090</v>
      </c>
      <c r="G2287" s="27">
        <v>0</v>
      </c>
    </row>
    <row r="2288" spans="1:7" hidden="1" x14ac:dyDescent="0.25">
      <c r="A2288" s="24" t="s">
        <v>2187</v>
      </c>
      <c r="B2288" s="24" t="s">
        <v>109</v>
      </c>
      <c r="C2288" s="24" t="s">
        <v>253</v>
      </c>
      <c r="D2288" s="25">
        <v>10841</v>
      </c>
      <c r="E2288" s="25">
        <v>209332</v>
      </c>
      <c r="F2288" s="26">
        <v>22452.7</v>
      </c>
      <c r="G2288" s="27">
        <v>0</v>
      </c>
    </row>
    <row r="2289" spans="1:7" hidden="1" x14ac:dyDescent="0.25">
      <c r="A2289" s="24" t="s">
        <v>2187</v>
      </c>
      <c r="B2289" s="24" t="s">
        <v>112</v>
      </c>
      <c r="C2289" s="24" t="s">
        <v>253</v>
      </c>
      <c r="D2289" s="25">
        <v>6</v>
      </c>
      <c r="E2289" s="25">
        <v>0</v>
      </c>
      <c r="F2289" s="26">
        <v>-0.1</v>
      </c>
      <c r="G2289" s="27">
        <v>0</v>
      </c>
    </row>
    <row r="2290" spans="1:7" hidden="1" x14ac:dyDescent="0.25">
      <c r="A2290" s="24" t="s">
        <v>2187</v>
      </c>
      <c r="B2290" s="24" t="s">
        <v>115</v>
      </c>
      <c r="C2290" s="24" t="s">
        <v>253</v>
      </c>
      <c r="D2290" s="25">
        <v>95922</v>
      </c>
      <c r="E2290" s="25">
        <v>2192858</v>
      </c>
      <c r="F2290" s="26">
        <v>249022.9</v>
      </c>
      <c r="G2290" s="27">
        <v>0</v>
      </c>
    </row>
    <row r="2291" spans="1:7" hidden="1" x14ac:dyDescent="0.25">
      <c r="A2291" s="24" t="s">
        <v>2187</v>
      </c>
      <c r="B2291" s="24" t="s">
        <v>117</v>
      </c>
      <c r="C2291" s="24" t="s">
        <v>253</v>
      </c>
      <c r="D2291" s="25">
        <v>31623</v>
      </c>
      <c r="E2291" s="25">
        <v>539397</v>
      </c>
      <c r="F2291" s="26">
        <v>48348.3</v>
      </c>
      <c r="G2291" s="27">
        <v>0</v>
      </c>
    </row>
    <row r="2292" spans="1:7" hidden="1" x14ac:dyDescent="0.25">
      <c r="A2292" s="24" t="s">
        <v>2187</v>
      </c>
      <c r="B2292" s="24" t="s">
        <v>123</v>
      </c>
      <c r="C2292" s="24" t="s">
        <v>253</v>
      </c>
      <c r="D2292" s="25">
        <v>5968</v>
      </c>
      <c r="E2292" s="25">
        <v>123884</v>
      </c>
      <c r="F2292" s="26">
        <v>12616.8</v>
      </c>
      <c r="G2292" s="27">
        <v>0</v>
      </c>
    </row>
    <row r="2293" spans="1:7" hidden="1" x14ac:dyDescent="0.25">
      <c r="A2293" s="24" t="s">
        <v>2187</v>
      </c>
      <c r="B2293" s="24" t="s">
        <v>120</v>
      </c>
      <c r="C2293" s="24" t="s">
        <v>253</v>
      </c>
      <c r="D2293" s="25">
        <v>10484</v>
      </c>
      <c r="E2293" s="25">
        <v>109991</v>
      </c>
      <c r="F2293" s="26">
        <v>18874</v>
      </c>
      <c r="G2293" s="27">
        <v>0</v>
      </c>
    </row>
    <row r="2294" spans="1:7" hidden="1" x14ac:dyDescent="0.25">
      <c r="A2294" s="24" t="s">
        <v>2187</v>
      </c>
      <c r="B2294" s="24" t="s">
        <v>126</v>
      </c>
      <c r="C2294" s="24" t="s">
        <v>253</v>
      </c>
      <c r="D2294" s="25">
        <v>22993</v>
      </c>
      <c r="E2294" s="25">
        <v>494455</v>
      </c>
      <c r="F2294" s="26">
        <v>42450.1</v>
      </c>
      <c r="G2294" s="27">
        <v>0</v>
      </c>
    </row>
    <row r="2295" spans="1:7" hidden="1" x14ac:dyDescent="0.25">
      <c r="A2295" s="24" t="s">
        <v>2187</v>
      </c>
      <c r="B2295" s="24" t="s">
        <v>132</v>
      </c>
      <c r="C2295" s="24" t="s">
        <v>253</v>
      </c>
      <c r="D2295" s="25">
        <v>39446</v>
      </c>
      <c r="E2295" s="25">
        <v>869541</v>
      </c>
      <c r="F2295" s="26">
        <v>87899</v>
      </c>
      <c r="G2295" s="27">
        <v>0</v>
      </c>
    </row>
    <row r="2296" spans="1:7" hidden="1" x14ac:dyDescent="0.25">
      <c r="A2296" s="24" t="s">
        <v>2187</v>
      </c>
      <c r="B2296" s="24" t="s">
        <v>129</v>
      </c>
      <c r="C2296" s="24" t="s">
        <v>253</v>
      </c>
      <c r="D2296" s="25">
        <v>10431</v>
      </c>
      <c r="E2296" s="25">
        <v>150285</v>
      </c>
      <c r="F2296" s="26">
        <v>20906.099999999999</v>
      </c>
      <c r="G2296" s="27">
        <v>0</v>
      </c>
    </row>
    <row r="2297" spans="1:7" hidden="1" x14ac:dyDescent="0.25">
      <c r="A2297" s="24" t="s">
        <v>2187</v>
      </c>
      <c r="B2297" s="24" t="s">
        <v>135</v>
      </c>
      <c r="C2297" s="24" t="s">
        <v>253</v>
      </c>
      <c r="D2297" s="25">
        <v>15812</v>
      </c>
      <c r="E2297" s="25">
        <v>361738</v>
      </c>
      <c r="F2297" s="26">
        <v>42733.7</v>
      </c>
      <c r="G2297" s="27">
        <v>0</v>
      </c>
    </row>
    <row r="2298" spans="1:7" hidden="1" x14ac:dyDescent="0.25">
      <c r="A2298" s="28" t="s">
        <v>2188</v>
      </c>
      <c r="B2298" s="28" t="s">
        <v>72</v>
      </c>
      <c r="C2298" s="28" t="s">
        <v>253</v>
      </c>
      <c r="D2298" s="29">
        <v>36256</v>
      </c>
      <c r="E2298" s="29">
        <v>574368</v>
      </c>
      <c r="F2298" s="30">
        <v>67440.100000000006</v>
      </c>
      <c r="G2298" s="31" t="s">
        <v>2189</v>
      </c>
    </row>
    <row r="2299" spans="1:7" hidden="1" x14ac:dyDescent="0.25">
      <c r="A2299" s="28" t="s">
        <v>2188</v>
      </c>
      <c r="B2299" s="28" t="s">
        <v>78</v>
      </c>
      <c r="C2299" s="28" t="s">
        <v>253</v>
      </c>
      <c r="D2299" s="29">
        <v>4807</v>
      </c>
      <c r="E2299" s="29">
        <v>113220</v>
      </c>
      <c r="F2299" s="30">
        <v>15278.9</v>
      </c>
      <c r="G2299" s="31" t="s">
        <v>2189</v>
      </c>
    </row>
    <row r="2300" spans="1:7" hidden="1" x14ac:dyDescent="0.25">
      <c r="A2300" s="28" t="s">
        <v>2188</v>
      </c>
      <c r="B2300" s="28" t="s">
        <v>80</v>
      </c>
      <c r="C2300" s="28" t="s">
        <v>253</v>
      </c>
      <c r="D2300" s="29">
        <v>-37861</v>
      </c>
      <c r="E2300" s="29">
        <v>211163</v>
      </c>
      <c r="F2300" s="30">
        <v>41597.199999999997</v>
      </c>
      <c r="G2300" s="31" t="s">
        <v>2189</v>
      </c>
    </row>
    <row r="2301" spans="1:7" hidden="1" x14ac:dyDescent="0.25">
      <c r="A2301" s="28" t="s">
        <v>2188</v>
      </c>
      <c r="B2301" s="28" t="s">
        <v>83</v>
      </c>
      <c r="C2301" s="28" t="s">
        <v>253</v>
      </c>
      <c r="D2301" s="29">
        <v>10500</v>
      </c>
      <c r="E2301" s="29">
        <v>165718</v>
      </c>
      <c r="F2301" s="30">
        <v>23398.2</v>
      </c>
      <c r="G2301" s="31" t="s">
        <v>2189</v>
      </c>
    </row>
    <row r="2302" spans="1:7" hidden="1" x14ac:dyDescent="0.25">
      <c r="A2302" s="28" t="s">
        <v>2188</v>
      </c>
      <c r="B2302" s="28" t="s">
        <v>75</v>
      </c>
      <c r="C2302" s="28" t="s">
        <v>253</v>
      </c>
      <c r="D2302" s="29">
        <v>-12353</v>
      </c>
      <c r="E2302" s="29">
        <v>167313</v>
      </c>
      <c r="F2302" s="30">
        <v>18437.400000000001</v>
      </c>
      <c r="G2302" s="31" t="s">
        <v>2189</v>
      </c>
    </row>
    <row r="2303" spans="1:7" hidden="1" x14ac:dyDescent="0.25">
      <c r="A2303" s="28" t="s">
        <v>2188</v>
      </c>
      <c r="B2303" s="28" t="s">
        <v>86</v>
      </c>
      <c r="C2303" s="28" t="s">
        <v>253</v>
      </c>
      <c r="D2303" s="29">
        <v>23842</v>
      </c>
      <c r="E2303" s="29">
        <v>1668480</v>
      </c>
      <c r="F2303" s="30">
        <v>101838.6</v>
      </c>
      <c r="G2303" s="31" t="s">
        <v>2189</v>
      </c>
    </row>
    <row r="2304" spans="1:7" hidden="1" x14ac:dyDescent="0.25">
      <c r="A2304" s="28" t="s">
        <v>2188</v>
      </c>
      <c r="B2304" s="28" t="s">
        <v>94</v>
      </c>
      <c r="C2304" s="28" t="s">
        <v>253</v>
      </c>
      <c r="D2304" s="29">
        <v>67400</v>
      </c>
      <c r="E2304" s="29">
        <v>1608126</v>
      </c>
      <c r="F2304" s="30">
        <v>178535.6</v>
      </c>
      <c r="G2304" s="31" t="s">
        <v>2189</v>
      </c>
    </row>
    <row r="2305" spans="1:7" hidden="1" x14ac:dyDescent="0.25">
      <c r="A2305" s="28" t="s">
        <v>2188</v>
      </c>
      <c r="B2305" s="28" t="s">
        <v>96</v>
      </c>
      <c r="C2305" s="28" t="s">
        <v>253</v>
      </c>
      <c r="D2305" s="29">
        <v>60160</v>
      </c>
      <c r="E2305" s="29">
        <v>1121239</v>
      </c>
      <c r="F2305" s="30">
        <v>120413.2</v>
      </c>
      <c r="G2305" s="31" t="s">
        <v>2189</v>
      </c>
    </row>
    <row r="2306" spans="1:7" hidden="1" x14ac:dyDescent="0.25">
      <c r="A2306" s="28" t="s">
        <v>2188</v>
      </c>
      <c r="B2306" s="28" t="s">
        <v>98</v>
      </c>
      <c r="C2306" s="28" t="s">
        <v>253</v>
      </c>
      <c r="D2306" s="29">
        <v>2195</v>
      </c>
      <c r="E2306" s="29">
        <v>102823</v>
      </c>
      <c r="F2306" s="30">
        <v>14673.7</v>
      </c>
      <c r="G2306" s="31" t="s">
        <v>2189</v>
      </c>
    </row>
    <row r="2307" spans="1:7" hidden="1" x14ac:dyDescent="0.25">
      <c r="A2307" s="28" t="s">
        <v>2188</v>
      </c>
      <c r="B2307" s="28" t="s">
        <v>101</v>
      </c>
      <c r="C2307" s="28" t="s">
        <v>253</v>
      </c>
      <c r="D2307" s="29">
        <v>62210</v>
      </c>
      <c r="E2307" s="29">
        <v>936356</v>
      </c>
      <c r="F2307" s="30">
        <v>131961.4</v>
      </c>
      <c r="G2307" s="31" t="s">
        <v>2189</v>
      </c>
    </row>
    <row r="2308" spans="1:7" hidden="1" x14ac:dyDescent="0.25">
      <c r="A2308" s="28" t="s">
        <v>2188</v>
      </c>
      <c r="B2308" s="28" t="s">
        <v>104</v>
      </c>
      <c r="C2308" s="28" t="s">
        <v>253</v>
      </c>
      <c r="D2308" s="29">
        <v>-670</v>
      </c>
      <c r="E2308" s="29">
        <v>0</v>
      </c>
      <c r="F2308" s="30">
        <v>0</v>
      </c>
      <c r="G2308" s="31" t="s">
        <v>2189</v>
      </c>
    </row>
    <row r="2309" spans="1:7" hidden="1" x14ac:dyDescent="0.25">
      <c r="A2309" s="28" t="s">
        <v>2188</v>
      </c>
      <c r="B2309" s="28" t="s">
        <v>106</v>
      </c>
      <c r="C2309" s="28" t="s">
        <v>253</v>
      </c>
      <c r="D2309" s="29">
        <v>5084</v>
      </c>
      <c r="E2309" s="29">
        <v>232782</v>
      </c>
      <c r="F2309" s="30">
        <v>30506.1</v>
      </c>
      <c r="G2309" s="31" t="s">
        <v>2189</v>
      </c>
    </row>
    <row r="2310" spans="1:7" hidden="1" x14ac:dyDescent="0.25">
      <c r="A2310" s="28" t="s">
        <v>2188</v>
      </c>
      <c r="B2310" s="28" t="s">
        <v>109</v>
      </c>
      <c r="C2310" s="28" t="s">
        <v>253</v>
      </c>
      <c r="D2310" s="29">
        <v>10607</v>
      </c>
      <c r="E2310" s="29">
        <v>222908</v>
      </c>
      <c r="F2310" s="30">
        <v>23598.2</v>
      </c>
      <c r="G2310" s="31" t="s">
        <v>2189</v>
      </c>
    </row>
    <row r="2311" spans="1:7" hidden="1" x14ac:dyDescent="0.25">
      <c r="A2311" s="28" t="s">
        <v>2188</v>
      </c>
      <c r="B2311" s="28" t="s">
        <v>112</v>
      </c>
      <c r="C2311" s="28" t="s">
        <v>253</v>
      </c>
      <c r="D2311" s="29">
        <v>13</v>
      </c>
      <c r="E2311" s="29">
        <v>0</v>
      </c>
      <c r="F2311" s="30">
        <v>0</v>
      </c>
      <c r="G2311" s="31" t="s">
        <v>2189</v>
      </c>
    </row>
    <row r="2312" spans="1:7" hidden="1" x14ac:dyDescent="0.25">
      <c r="A2312" s="28" t="s">
        <v>2188</v>
      </c>
      <c r="B2312" s="28" t="s">
        <v>115</v>
      </c>
      <c r="C2312" s="28" t="s">
        <v>253</v>
      </c>
      <c r="D2312" s="29">
        <v>93039</v>
      </c>
      <c r="E2312" s="29">
        <v>2263855</v>
      </c>
      <c r="F2312" s="30">
        <v>255921.2</v>
      </c>
      <c r="G2312" s="31" t="s">
        <v>2189</v>
      </c>
    </row>
    <row r="2313" spans="1:7" hidden="1" x14ac:dyDescent="0.25">
      <c r="A2313" s="28" t="s">
        <v>2188</v>
      </c>
      <c r="B2313" s="28" t="s">
        <v>117</v>
      </c>
      <c r="C2313" s="28" t="s">
        <v>253</v>
      </c>
      <c r="D2313" s="29">
        <v>31906</v>
      </c>
      <c r="E2313" s="29">
        <v>550851</v>
      </c>
      <c r="F2313" s="30">
        <v>49042.3</v>
      </c>
      <c r="G2313" s="31" t="s">
        <v>2189</v>
      </c>
    </row>
    <row r="2314" spans="1:7" hidden="1" x14ac:dyDescent="0.25">
      <c r="A2314" s="28" t="s">
        <v>2188</v>
      </c>
      <c r="B2314" s="28" t="s">
        <v>123</v>
      </c>
      <c r="C2314" s="28" t="s">
        <v>253</v>
      </c>
      <c r="D2314" s="29">
        <v>6033</v>
      </c>
      <c r="E2314" s="29">
        <v>134071</v>
      </c>
      <c r="F2314" s="30">
        <v>13854</v>
      </c>
      <c r="G2314" s="31" t="s">
        <v>2189</v>
      </c>
    </row>
    <row r="2315" spans="1:7" hidden="1" x14ac:dyDescent="0.25">
      <c r="A2315" s="28" t="s">
        <v>2188</v>
      </c>
      <c r="B2315" s="28" t="s">
        <v>120</v>
      </c>
      <c r="C2315" s="28" t="s">
        <v>253</v>
      </c>
      <c r="D2315" s="29">
        <v>9289</v>
      </c>
      <c r="E2315" s="29">
        <v>127584</v>
      </c>
      <c r="F2315" s="30">
        <v>20923.8</v>
      </c>
      <c r="G2315" s="31" t="s">
        <v>2189</v>
      </c>
    </row>
    <row r="2316" spans="1:7" hidden="1" x14ac:dyDescent="0.25">
      <c r="A2316" s="28" t="s">
        <v>2188</v>
      </c>
      <c r="B2316" s="28" t="s">
        <v>126</v>
      </c>
      <c r="C2316" s="28" t="s">
        <v>253</v>
      </c>
      <c r="D2316" s="29">
        <v>23233</v>
      </c>
      <c r="E2316" s="29">
        <v>450667</v>
      </c>
      <c r="F2316" s="30">
        <v>42497.4</v>
      </c>
      <c r="G2316" s="31" t="s">
        <v>2189</v>
      </c>
    </row>
    <row r="2317" spans="1:7" hidden="1" x14ac:dyDescent="0.25">
      <c r="A2317" s="28" t="s">
        <v>2188</v>
      </c>
      <c r="B2317" s="28" t="s">
        <v>132</v>
      </c>
      <c r="C2317" s="28" t="s">
        <v>253</v>
      </c>
      <c r="D2317" s="29">
        <v>39000</v>
      </c>
      <c r="E2317" s="29">
        <v>897072</v>
      </c>
      <c r="F2317" s="30">
        <v>89089</v>
      </c>
      <c r="G2317" s="31" t="s">
        <v>2189</v>
      </c>
    </row>
    <row r="2318" spans="1:7" hidden="1" x14ac:dyDescent="0.25">
      <c r="A2318" s="28" t="s">
        <v>2188</v>
      </c>
      <c r="B2318" s="28" t="s">
        <v>129</v>
      </c>
      <c r="C2318" s="28" t="s">
        <v>253</v>
      </c>
      <c r="D2318" s="29">
        <v>10382</v>
      </c>
      <c r="E2318" s="29">
        <v>164012</v>
      </c>
      <c r="F2318" s="30">
        <v>22821</v>
      </c>
      <c r="G2318" s="31" t="s">
        <v>2189</v>
      </c>
    </row>
    <row r="2319" spans="1:7" hidden="1" x14ac:dyDescent="0.25">
      <c r="A2319" s="28" t="s">
        <v>2188</v>
      </c>
      <c r="B2319" s="28" t="s">
        <v>135</v>
      </c>
      <c r="C2319" s="28" t="s">
        <v>253</v>
      </c>
      <c r="D2319" s="29">
        <v>15739</v>
      </c>
      <c r="E2319" s="29">
        <v>374482</v>
      </c>
      <c r="F2319" s="30">
        <v>44584.3</v>
      </c>
      <c r="G2319" s="31" t="s">
        <v>2189</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E61"/>
  <sheetViews>
    <sheetView tabSelected="1" workbookViewId="0">
      <selection activeCell="E6" sqref="E6"/>
    </sheetView>
  </sheetViews>
  <sheetFormatPr defaultRowHeight="15" x14ac:dyDescent="0.25"/>
  <cols>
    <col min="2" max="2" width="18.28515625" style="120" customWidth="1"/>
    <col min="3" max="3" width="11" style="120" customWidth="1"/>
    <col min="4" max="5" width="8.7109375" customWidth="1"/>
  </cols>
  <sheetData>
    <row r="1" spans="1:83" x14ac:dyDescent="0.25">
      <c r="B1" s="119" t="s">
        <v>2190</v>
      </c>
      <c r="D1" s="142" t="s">
        <v>2192</v>
      </c>
      <c r="E1" s="142" t="s">
        <v>2193</v>
      </c>
      <c r="F1" s="142" t="s">
        <v>2194</v>
      </c>
      <c r="G1" s="142" t="s">
        <v>2195</v>
      </c>
      <c r="H1" s="142" t="s">
        <v>2196</v>
      </c>
      <c r="I1" s="142" t="s">
        <v>2197</v>
      </c>
      <c r="J1" s="142" t="s">
        <v>2198</v>
      </c>
      <c r="K1" s="142" t="s">
        <v>2199</v>
      </c>
      <c r="L1" s="142" t="s">
        <v>2200</v>
      </c>
      <c r="M1" s="142" t="s">
        <v>2201</v>
      </c>
      <c r="N1" s="142" t="s">
        <v>2202</v>
      </c>
      <c r="O1" s="142" t="s">
        <v>2203</v>
      </c>
      <c r="P1" s="142" t="s">
        <v>2204</v>
      </c>
      <c r="Q1" s="142" t="s">
        <v>2205</v>
      </c>
      <c r="R1" s="142" t="s">
        <v>2206</v>
      </c>
      <c r="S1" s="142" t="s">
        <v>2207</v>
      </c>
      <c r="T1" s="142" t="s">
        <v>2208</v>
      </c>
      <c r="U1" s="142" t="s">
        <v>2209</v>
      </c>
      <c r="V1" s="142" t="s">
        <v>2210</v>
      </c>
      <c r="W1" s="142" t="s">
        <v>2211</v>
      </c>
      <c r="X1" s="142" t="s">
        <v>2212</v>
      </c>
      <c r="Y1" s="142" t="s">
        <v>2213</v>
      </c>
      <c r="Z1" s="142" t="s">
        <v>2214</v>
      </c>
      <c r="AA1" s="142" t="s">
        <v>2215</v>
      </c>
      <c r="AB1" s="142" t="s">
        <v>2216</v>
      </c>
      <c r="AC1" s="142" t="s">
        <v>2217</v>
      </c>
      <c r="AD1" s="142" t="s">
        <v>2218</v>
      </c>
      <c r="AE1" s="142" t="s">
        <v>2219</v>
      </c>
      <c r="AF1" s="142" t="s">
        <v>2220</v>
      </c>
      <c r="AG1" s="142" t="s">
        <v>2221</v>
      </c>
      <c r="AH1" s="142" t="s">
        <v>2222</v>
      </c>
      <c r="AI1" s="142" t="s">
        <v>2223</v>
      </c>
      <c r="AJ1" s="142" t="s">
        <v>2224</v>
      </c>
      <c r="AK1" s="142" t="s">
        <v>2225</v>
      </c>
      <c r="AL1" s="142" t="s">
        <v>2226</v>
      </c>
      <c r="AM1" s="142" t="s">
        <v>2227</v>
      </c>
      <c r="AN1" s="142" t="s">
        <v>2228</v>
      </c>
      <c r="AO1" s="142" t="s">
        <v>2229</v>
      </c>
      <c r="AP1" s="142" t="s">
        <v>2230</v>
      </c>
      <c r="AQ1" s="142" t="s">
        <v>2231</v>
      </c>
      <c r="AR1" s="142" t="s">
        <v>2232</v>
      </c>
      <c r="AS1" s="142" t="s">
        <v>2233</v>
      </c>
      <c r="AT1" s="142" t="s">
        <v>2234</v>
      </c>
      <c r="AU1" s="142" t="s">
        <v>2235</v>
      </c>
      <c r="AV1" s="142" t="s">
        <v>2236</v>
      </c>
      <c r="AW1" s="142" t="s">
        <v>2237</v>
      </c>
      <c r="AX1" s="142" t="s">
        <v>2238</v>
      </c>
      <c r="AY1" s="142" t="s">
        <v>2239</v>
      </c>
      <c r="AZ1" s="142" t="s">
        <v>2240</v>
      </c>
      <c r="BA1" s="142" t="s">
        <v>2241</v>
      </c>
      <c r="BB1" s="142" t="s">
        <v>2242</v>
      </c>
      <c r="BC1" s="142" t="s">
        <v>2243</v>
      </c>
      <c r="BD1" s="142" t="s">
        <v>2244</v>
      </c>
      <c r="BE1" s="142" t="s">
        <v>2245</v>
      </c>
      <c r="BF1" s="142" t="s">
        <v>2246</v>
      </c>
      <c r="BG1" s="142" t="s">
        <v>2247</v>
      </c>
      <c r="BH1" s="142" t="s">
        <v>2248</v>
      </c>
      <c r="BI1" s="142" t="s">
        <v>2249</v>
      </c>
      <c r="BJ1" s="142" t="s">
        <v>2250</v>
      </c>
      <c r="BK1" s="142" t="s">
        <v>2251</v>
      </c>
      <c r="BL1" s="142" t="s">
        <v>2252</v>
      </c>
      <c r="BM1" s="142" t="s">
        <v>2253</v>
      </c>
      <c r="BN1" s="142" t="s">
        <v>2254</v>
      </c>
      <c r="BO1" s="142" t="s">
        <v>2255</v>
      </c>
      <c r="BP1" s="142" t="s">
        <v>2256</v>
      </c>
      <c r="BQ1" s="142" t="s">
        <v>2257</v>
      </c>
      <c r="BR1" s="142" t="s">
        <v>2258</v>
      </c>
      <c r="BS1" s="142" t="s">
        <v>2259</v>
      </c>
      <c r="BT1" s="142" t="s">
        <v>2260</v>
      </c>
      <c r="BU1" s="142" t="s">
        <v>2261</v>
      </c>
      <c r="BV1" s="142" t="s">
        <v>2262</v>
      </c>
      <c r="BW1" s="142" t="s">
        <v>2263</v>
      </c>
      <c r="BX1" s="142" t="s">
        <v>2264</v>
      </c>
      <c r="BY1" s="142" t="s">
        <v>2265</v>
      </c>
      <c r="BZ1" s="142" t="s">
        <v>2266</v>
      </c>
      <c r="CA1" s="142" t="s">
        <v>2267</v>
      </c>
      <c r="CB1" s="142" t="s">
        <v>2268</v>
      </c>
      <c r="CC1" s="142" t="s">
        <v>2269</v>
      </c>
      <c r="CD1" s="142" t="s">
        <v>2270</v>
      </c>
      <c r="CE1" s="142" t="s">
        <v>2271</v>
      </c>
    </row>
    <row r="2" spans="1:83" x14ac:dyDescent="0.25">
      <c r="A2" t="b">
        <f>IFERROR(INDEX('RPS by State'!G:G,MATCH(B2,'RPS by State'!A:A,0)),0)</f>
        <v>0</v>
      </c>
      <c r="B2" s="120" t="s">
        <v>2</v>
      </c>
      <c r="C2" s="120" t="str">
        <f>IFERROR(INDEX(About!L:L,MATCH(B2,About!K:K,0)),0)</f>
        <v>AL</v>
      </c>
      <c r="D2" s="100">
        <f>IFERROR(IF($A2=FALSE,0,INDEX('RPS by State'!O:O,MATCH($C2,'RPS by State'!$B:$B,0))),0)</f>
        <v>0</v>
      </c>
      <c r="E2" s="100">
        <f>IFERROR(IF($A2=FALSE,0,INDEX('RPS by State'!P:P,MATCH($C2,'RPS by State'!$B:$B,0))),0)</f>
        <v>0</v>
      </c>
      <c r="F2" s="100">
        <f>IFERROR(IF($A2=FALSE,0,INDEX('RPS by State'!Q:Q,MATCH($C2,'RPS by State'!$B:$B,0))),0)</f>
        <v>0</v>
      </c>
      <c r="G2" s="100">
        <f>IFERROR(IF($A2=FALSE,0,INDEX('RPS by State'!R:R,MATCH($C2,'RPS by State'!$B:$B,0))),0)</f>
        <v>0</v>
      </c>
      <c r="H2" s="100">
        <f>IFERROR(IF($A2=FALSE,0,INDEX('RPS by State'!S:S,MATCH($C2,'RPS by State'!$B:$B,0))),0)</f>
        <v>0</v>
      </c>
      <c r="I2" s="100">
        <f>IFERROR(IF($A2=FALSE,0,INDEX('RPS by State'!T:T,MATCH($C2,'RPS by State'!$B:$B,0))),0)</f>
        <v>0</v>
      </c>
      <c r="J2" s="100">
        <f>IFERROR(IF($A2=FALSE,0,INDEX('RPS by State'!U:U,MATCH($C2,'RPS by State'!$B:$B,0))),0)</f>
        <v>0</v>
      </c>
      <c r="K2" s="100">
        <f>IFERROR(IF($A2=FALSE,0,INDEX('RPS by State'!V:V,MATCH($C2,'RPS by State'!$B:$B,0))),0)</f>
        <v>0</v>
      </c>
      <c r="L2" s="100">
        <f>IFERROR(IF($A2=FALSE,0,INDEX('RPS by State'!W:W,MATCH($C2,'RPS by State'!$B:$B,0))),0)</f>
        <v>0</v>
      </c>
      <c r="M2" s="100">
        <f>IFERROR(IF($A2=FALSE,0,INDEX('RPS by State'!X:X,MATCH($C2,'RPS by State'!$B:$B,0))),0)</f>
        <v>0</v>
      </c>
      <c r="N2" s="100">
        <f>IFERROR(IF($A2=FALSE,0,INDEX('RPS by State'!Y:Y,MATCH($C2,'RPS by State'!$B:$B,0))),0)</f>
        <v>0</v>
      </c>
      <c r="O2" s="100">
        <f>IFERROR(IF($A2=FALSE,0,INDEX('RPS by State'!Z:Z,MATCH($C2,'RPS by State'!$B:$B,0))),0)</f>
        <v>0</v>
      </c>
      <c r="P2" s="100">
        <f>IFERROR(IF($A2=FALSE,0,INDEX('RPS by State'!AA:AA,MATCH($C2,'RPS by State'!$B:$B,0))),0)</f>
        <v>0</v>
      </c>
      <c r="Q2" s="100">
        <f>IFERROR(IF($A2=FALSE,0,INDEX('RPS by State'!AB:AB,MATCH($C2,'RPS by State'!$B:$B,0))),0)</f>
        <v>0</v>
      </c>
      <c r="R2" s="100">
        <f>IFERROR(IF($A2=FALSE,0,INDEX('RPS by State'!AC:AC,MATCH($C2,'RPS by State'!$B:$B,0))),0)</f>
        <v>0</v>
      </c>
      <c r="S2" s="100">
        <f>IFERROR(IF($A2=FALSE,0,INDEX('RPS by State'!AD:AD,MATCH($C2,'RPS by State'!$B:$B,0))),0)</f>
        <v>0</v>
      </c>
      <c r="T2" s="100">
        <f>IFERROR(IF($A2=FALSE,0,INDEX('RPS by State'!AE:AE,MATCH($C2,'RPS by State'!$B:$B,0))),0)</f>
        <v>0</v>
      </c>
      <c r="U2" s="100">
        <f>IFERROR(IF($A2=FALSE,0,INDEX('RPS by State'!AF:AF,MATCH($C2,'RPS by State'!$B:$B,0))),0)</f>
        <v>0</v>
      </c>
      <c r="V2" s="100">
        <f>IFERROR(IF($A2=FALSE,0,INDEX('RPS by State'!AG:AG,MATCH($C2,'RPS by State'!$B:$B,0))),0)</f>
        <v>0</v>
      </c>
      <c r="W2" s="100">
        <f>IFERROR(IF($A2=FALSE,0,INDEX('RPS by State'!AH:AH,MATCH($C2,'RPS by State'!$B:$B,0))),0)</f>
        <v>0</v>
      </c>
      <c r="X2" s="100">
        <f>IFERROR(IF($A2=FALSE,0,INDEX('RPS by State'!AI:AI,MATCH($C2,'RPS by State'!$B:$B,0))),0)</f>
        <v>0</v>
      </c>
      <c r="Y2" s="100">
        <f>IFERROR(IF($A2=FALSE,0,INDEX('RPS by State'!AJ:AJ,MATCH($C2,'RPS by State'!$B:$B,0))),0)</f>
        <v>0</v>
      </c>
      <c r="Z2" s="100">
        <f>IFERROR(IF($A2=FALSE,0,INDEX('RPS by State'!AK:AK,MATCH($C2,'RPS by State'!$B:$B,0))),0)</f>
        <v>0</v>
      </c>
      <c r="AA2" s="100">
        <f>IFERROR(IF($A2=FALSE,0,INDEX('RPS by State'!AL:AL,MATCH($C2,'RPS by State'!$B:$B,0))),0)</f>
        <v>0</v>
      </c>
      <c r="AB2" s="100">
        <f>IFERROR(IF($A2=FALSE,0,INDEX('RPS by State'!AM:AM,MATCH($C2,'RPS by State'!$B:$B,0))),0)</f>
        <v>0</v>
      </c>
      <c r="AC2" s="100">
        <f>IFERROR(IF($A2=FALSE,0,INDEX('RPS by State'!AN:AN,MATCH($C2,'RPS by State'!$B:$B,0))),0)</f>
        <v>0</v>
      </c>
      <c r="AD2" s="100">
        <f>IFERROR(IF($A2=FALSE,0,INDEX('RPS by State'!AO:AO,MATCH($C2,'RPS by State'!$B:$B,0))),0)</f>
        <v>0</v>
      </c>
      <c r="AE2" s="100">
        <f>IFERROR(IF($A2=FALSE,0,INDEX('RPS by State'!AP:AP,MATCH($C2,'RPS by State'!$B:$B,0))),0)</f>
        <v>0</v>
      </c>
      <c r="AF2" s="100">
        <f>IFERROR(IF($A2=FALSE,0,INDEX('RPS by State'!AQ:AQ,MATCH($C2,'RPS by State'!$B:$B,0))),0)</f>
        <v>0</v>
      </c>
      <c r="AG2" s="100">
        <f>IFERROR(IF($A2=FALSE,0,INDEX('RPS by State'!AR:AR,MATCH($C2,'RPS by State'!$B:$B,0))),0)</f>
        <v>0</v>
      </c>
      <c r="AH2" s="100">
        <f>IFERROR(IF($A2=FALSE,0,INDEX('RPS by State'!AS:AS,MATCH($C2,'RPS by State'!$B:$B,0))),0)</f>
        <v>0</v>
      </c>
      <c r="AI2" s="100">
        <f>IFERROR(IF($A2=FALSE,0,INDEX('RPS by State'!AT:AT,MATCH($C2,'RPS by State'!$B:$B,0))),0)</f>
        <v>0</v>
      </c>
      <c r="AJ2" s="100">
        <f>IFERROR(IF($A2=FALSE,0,INDEX('RPS by State'!AU:AU,MATCH($C2,'RPS by State'!$B:$B,0))),0)</f>
        <v>0</v>
      </c>
      <c r="AK2" s="100">
        <f>IFERROR(IF($A2=FALSE,0,INDEX('RPS by State'!AV:AV,MATCH($C2,'RPS by State'!$B:$B,0))),0)</f>
        <v>0</v>
      </c>
      <c r="AL2" s="100">
        <f>IFERROR(IF($A2=FALSE,0,INDEX('RPS by State'!AW:AW,MATCH($C2,'RPS by State'!$B:$B,0))),0)</f>
        <v>0</v>
      </c>
      <c r="AM2" s="100">
        <f>IFERROR(IF($A2=FALSE,0,INDEX('RPS by State'!AX:AX,MATCH($C2,'RPS by State'!$B:$B,0))),0)</f>
        <v>0</v>
      </c>
      <c r="AN2" s="100">
        <f>IFERROR(IF($A2=FALSE,0,INDEX('RPS by State'!AY:AY,MATCH($C2,'RPS by State'!$B:$B,0))),0)</f>
        <v>0</v>
      </c>
      <c r="AO2" s="100">
        <f>IFERROR(IF($A2=FALSE,0,INDEX('RPS by State'!AZ:AZ,MATCH($C2,'RPS by State'!$B:$B,0))),0)</f>
        <v>0</v>
      </c>
      <c r="AP2" s="100">
        <f>IFERROR(IF($A2=FALSE,0,INDEX('RPS by State'!BA:BA,MATCH($C2,'RPS by State'!$B:$B,0))),0)</f>
        <v>0</v>
      </c>
      <c r="AQ2" s="100">
        <f>IFERROR(IF($A2=FALSE,0,INDEX('RPS by State'!BB:BB,MATCH($C2,'RPS by State'!$B:$B,0))),0)</f>
        <v>0</v>
      </c>
      <c r="AR2" s="100">
        <f>IFERROR(IF($A2=FALSE,0,INDEX('RPS by State'!BC:BC,MATCH($C2,'RPS by State'!$B:$B,0))),0)</f>
        <v>0</v>
      </c>
      <c r="AS2" s="100">
        <f>IFERROR(IF($A2=FALSE,0,INDEX('RPS by State'!BD:BD,MATCH($C2,'RPS by State'!$B:$B,0))),0)</f>
        <v>0</v>
      </c>
      <c r="AT2" s="100">
        <f>IFERROR(IF($A2=FALSE,0,INDEX('RPS by State'!BE:BE,MATCH($C2,'RPS by State'!$B:$B,0))),0)</f>
        <v>0</v>
      </c>
      <c r="AU2" s="100">
        <f>IFERROR(IF($A2=FALSE,0,INDEX('RPS by State'!BF:BF,MATCH($C2,'RPS by State'!$B:$B,0))),0)</f>
        <v>0</v>
      </c>
      <c r="AV2" s="100">
        <f>IFERROR(IF($A2=FALSE,0,INDEX('RPS by State'!BG:BG,MATCH($C2,'RPS by State'!$B:$B,0))),0)</f>
        <v>0</v>
      </c>
      <c r="AW2" s="100">
        <f>IFERROR(IF($A2=FALSE,0,INDEX('RPS by State'!BH:BH,MATCH($C2,'RPS by State'!$B:$B,0))),0)</f>
        <v>0</v>
      </c>
      <c r="AX2" s="100">
        <f>IFERROR(IF($A2=FALSE,0,INDEX('RPS by State'!BI:BI,MATCH($C2,'RPS by State'!$B:$B,0))),0)</f>
        <v>0</v>
      </c>
      <c r="AY2" s="100">
        <f>IFERROR(IF($A2=FALSE,0,INDEX('RPS by State'!BJ:BJ,MATCH($C2,'RPS by State'!$B:$B,0))),0)</f>
        <v>0</v>
      </c>
      <c r="AZ2" s="100">
        <f>IFERROR(IF($A2=FALSE,0,INDEX('RPS by State'!BK:BK,MATCH($C2,'RPS by State'!$B:$B,0))),0)</f>
        <v>0</v>
      </c>
      <c r="BA2" s="100">
        <f>IFERROR(IF($A2=FALSE,0,INDEX('RPS by State'!BL:BL,MATCH($C2,'RPS by State'!$B:$B,0))),0)</f>
        <v>0</v>
      </c>
      <c r="BB2" s="100">
        <f>IFERROR(IF($A2=FALSE,0,INDEX('RPS by State'!BM:BM,MATCH($C2,'RPS by State'!$B:$B,0))),0)</f>
        <v>0</v>
      </c>
      <c r="BC2" s="100">
        <f>IFERROR(IF($A2=FALSE,0,INDEX('RPS by State'!BN:BN,MATCH($C2,'RPS by State'!$B:$B,0))),0)</f>
        <v>0</v>
      </c>
      <c r="BD2" s="100">
        <f>IFERROR(IF($A2=FALSE,0,INDEX('RPS by State'!BO:BO,MATCH($C2,'RPS by State'!$B:$B,0))),0)</f>
        <v>0</v>
      </c>
      <c r="BE2" s="100">
        <f>IFERROR(IF($A2=FALSE,0,INDEX('RPS by State'!BP:BP,MATCH($C2,'RPS by State'!$B:$B,0))),0)</f>
        <v>0</v>
      </c>
      <c r="BF2" s="100">
        <f>IFERROR(IF($A2=FALSE,0,INDEX('RPS by State'!BQ:BQ,MATCH($C2,'RPS by State'!$B:$B,0))),0)</f>
        <v>0</v>
      </c>
      <c r="BG2" s="100">
        <f>IFERROR(IF($A2=FALSE,0,INDEX('RPS by State'!BR:BR,MATCH($C2,'RPS by State'!$B:$B,0))),0)</f>
        <v>0</v>
      </c>
      <c r="BH2" s="100">
        <f>IFERROR(IF($A2=FALSE,0,INDEX('RPS by State'!BS:BS,MATCH($C2,'RPS by State'!$B:$B,0))),0)</f>
        <v>0</v>
      </c>
      <c r="BI2" s="100">
        <f>IFERROR(IF($A2=FALSE,0,INDEX('RPS by State'!BT:BT,MATCH($C2,'RPS by State'!$B:$B,0))),0)</f>
        <v>0</v>
      </c>
      <c r="BJ2" s="100">
        <f>IFERROR(IF($A2=FALSE,0,INDEX('RPS by State'!BU:BU,MATCH($C2,'RPS by State'!$B:$B,0))),0)</f>
        <v>0</v>
      </c>
      <c r="BK2" s="100">
        <f>IFERROR(IF($A2=FALSE,0,INDEX('RPS by State'!BV:BV,MATCH($C2,'RPS by State'!$B:$B,0))),0)</f>
        <v>0</v>
      </c>
      <c r="BL2" s="100">
        <f>IFERROR(IF($A2=FALSE,0,INDEX('RPS by State'!BW:BW,MATCH($C2,'RPS by State'!$B:$B,0))),0)</f>
        <v>0</v>
      </c>
      <c r="BM2" s="100">
        <f>IFERROR(IF($A2=FALSE,0,INDEX('RPS by State'!BX:BX,MATCH($C2,'RPS by State'!$B:$B,0))),0)</f>
        <v>0</v>
      </c>
      <c r="BN2" s="100">
        <f>IFERROR(IF($A2=FALSE,0,INDEX('RPS by State'!BY:BY,MATCH($C2,'RPS by State'!$B:$B,0))),0)</f>
        <v>0</v>
      </c>
      <c r="BO2" s="100">
        <f>IFERROR(IF($A2=FALSE,0,INDEX('RPS by State'!BZ:BZ,MATCH($C2,'RPS by State'!$B:$B,0))),0)</f>
        <v>0</v>
      </c>
      <c r="BP2" s="100">
        <f>IFERROR(IF($A2=FALSE,0,INDEX('RPS by State'!CA:CA,MATCH($C2,'RPS by State'!$B:$B,0))),0)</f>
        <v>0</v>
      </c>
      <c r="BQ2" s="100">
        <f>IFERROR(IF($A2=FALSE,0,INDEX('RPS by State'!CB:CB,MATCH($C2,'RPS by State'!$B:$B,0))),0)</f>
        <v>0</v>
      </c>
      <c r="BR2" s="100">
        <f>IFERROR(IF($A2=FALSE,0,INDEX('RPS by State'!CC:CC,MATCH($C2,'RPS by State'!$B:$B,0))),0)</f>
        <v>0</v>
      </c>
      <c r="BS2" s="100">
        <f>IFERROR(IF($A2=FALSE,0,INDEX('RPS by State'!CD:CD,MATCH($C2,'RPS by State'!$B:$B,0))),0)</f>
        <v>0</v>
      </c>
      <c r="BT2" s="100">
        <f>IFERROR(IF($A2=FALSE,0,INDEX('RPS by State'!CE:CE,MATCH($C2,'RPS by State'!$B:$B,0))),0)</f>
        <v>0</v>
      </c>
      <c r="BU2" s="100">
        <f>IFERROR(IF($A2=FALSE,0,INDEX('RPS by State'!CF:CF,MATCH($C2,'RPS by State'!$B:$B,0))),0)</f>
        <v>0</v>
      </c>
      <c r="BV2" s="100">
        <f>IFERROR(IF($A2=FALSE,0,INDEX('RPS by State'!CG:CG,MATCH($C2,'RPS by State'!$B:$B,0))),0)</f>
        <v>0</v>
      </c>
      <c r="BW2" s="100">
        <f>IFERROR(IF($A2=FALSE,0,INDEX('RPS by State'!CH:CH,MATCH($C2,'RPS by State'!$B:$B,0))),0)</f>
        <v>0</v>
      </c>
      <c r="BX2" s="100">
        <f>IFERROR(IF($A2=FALSE,0,INDEX('RPS by State'!CI:CI,MATCH($C2,'RPS by State'!$B:$B,0))),0)</f>
        <v>0</v>
      </c>
      <c r="BY2" s="100">
        <f>IFERROR(IF($A2=FALSE,0,INDEX('RPS by State'!CJ:CJ,MATCH($C2,'RPS by State'!$B:$B,0))),0)</f>
        <v>0</v>
      </c>
      <c r="BZ2" s="100">
        <f>IFERROR(IF($A2=FALSE,0,INDEX('RPS by State'!CK:CK,MATCH($C2,'RPS by State'!$B:$B,0))),0)</f>
        <v>0</v>
      </c>
      <c r="CA2" s="100">
        <f>IFERROR(IF($A2=FALSE,0,INDEX('RPS by State'!CL:CL,MATCH($C2,'RPS by State'!$B:$B,0))),0)</f>
        <v>0</v>
      </c>
      <c r="CB2" s="100">
        <f>IFERROR(IF($A2=FALSE,0,INDEX('RPS by State'!CM:CM,MATCH($C2,'RPS by State'!$B:$B,0))),0)</f>
        <v>0</v>
      </c>
      <c r="CC2" s="100">
        <f>IFERROR(IF($A2=FALSE,0,INDEX('RPS by State'!CN:CN,MATCH($C2,'RPS by State'!$B:$B,0))),0)</f>
        <v>0</v>
      </c>
      <c r="CD2" s="100">
        <f>IFERROR(IF($A2=FALSE,0,INDEX('RPS by State'!CO:CO,MATCH($C2,'RPS by State'!$B:$B,0))),0)</f>
        <v>0</v>
      </c>
      <c r="CE2" s="100">
        <f>IFERROR(IF($A2=FALSE,0,INDEX('RPS by State'!CP:CP,MATCH($C2,'RPS by State'!$B:$B,0))),0)</f>
        <v>0</v>
      </c>
    </row>
    <row r="3" spans="1:83" x14ac:dyDescent="0.25">
      <c r="A3" t="b">
        <f>IFERROR(INDEX('RPS by State'!G:G,MATCH(B3,'RPS by State'!A:A,0)),0)</f>
        <v>0</v>
      </c>
      <c r="B3" s="120" t="s">
        <v>5</v>
      </c>
      <c r="C3" s="120" t="str">
        <f>IFERROR(INDEX(About!L:L,MATCH(B3,About!K:K,0)),0)</f>
        <v>AK</v>
      </c>
      <c r="D3" s="100">
        <f>IFERROR(IF($A3=FALSE,0,INDEX('RPS by State'!O:O,MATCH($C3,'RPS by State'!$B:$B,0))),0)</f>
        <v>0</v>
      </c>
      <c r="E3" s="100">
        <f>IFERROR(IF($A3=FALSE,0,INDEX('RPS by State'!P:P,MATCH($C3,'RPS by State'!$B:$B,0))),0)</f>
        <v>0</v>
      </c>
      <c r="F3" s="100">
        <f>IFERROR(IF($A3=FALSE,0,INDEX('RPS by State'!Q:Q,MATCH($C3,'RPS by State'!$B:$B,0))),0)</f>
        <v>0</v>
      </c>
      <c r="G3" s="100">
        <f>IFERROR(IF($A3=FALSE,0,INDEX('RPS by State'!R:R,MATCH($C3,'RPS by State'!$B:$B,0))),0)</f>
        <v>0</v>
      </c>
      <c r="H3" s="100">
        <f>IFERROR(IF($A3=FALSE,0,INDEX('RPS by State'!S:S,MATCH($C3,'RPS by State'!$B:$B,0))),0)</f>
        <v>0</v>
      </c>
      <c r="I3" s="100">
        <f>IFERROR(IF($A3=FALSE,0,INDEX('RPS by State'!T:T,MATCH($C3,'RPS by State'!$B:$B,0))),0)</f>
        <v>0</v>
      </c>
      <c r="J3" s="100">
        <f>IFERROR(IF($A3=FALSE,0,INDEX('RPS by State'!U:U,MATCH($C3,'RPS by State'!$B:$B,0))),0)</f>
        <v>0</v>
      </c>
      <c r="K3" s="100">
        <f>IFERROR(IF($A3=FALSE,0,INDEX('RPS by State'!V:V,MATCH($C3,'RPS by State'!$B:$B,0))),0)</f>
        <v>0</v>
      </c>
      <c r="L3" s="100">
        <f>IFERROR(IF($A3=FALSE,0,INDEX('RPS by State'!W:W,MATCH($C3,'RPS by State'!$B:$B,0))),0)</f>
        <v>0</v>
      </c>
      <c r="M3" s="100">
        <f>IFERROR(IF($A3=FALSE,0,INDEX('RPS by State'!X:X,MATCH($C3,'RPS by State'!$B:$B,0))),0)</f>
        <v>0</v>
      </c>
      <c r="N3" s="100">
        <f>IFERROR(IF($A3=FALSE,0,INDEX('RPS by State'!Y:Y,MATCH($C3,'RPS by State'!$B:$B,0))),0)</f>
        <v>0</v>
      </c>
      <c r="O3" s="100">
        <f>IFERROR(IF($A3=FALSE,0,INDEX('RPS by State'!Z:Z,MATCH($C3,'RPS by State'!$B:$B,0))),0)</f>
        <v>0</v>
      </c>
      <c r="P3" s="100">
        <f>IFERROR(IF($A3=FALSE,0,INDEX('RPS by State'!AA:AA,MATCH($C3,'RPS by State'!$B:$B,0))),0)</f>
        <v>0</v>
      </c>
      <c r="Q3" s="100">
        <f>IFERROR(IF($A3=FALSE,0,INDEX('RPS by State'!AB:AB,MATCH($C3,'RPS by State'!$B:$B,0))),0)</f>
        <v>0</v>
      </c>
      <c r="R3" s="100">
        <f>IFERROR(IF($A3=FALSE,0,INDEX('RPS by State'!AC:AC,MATCH($C3,'RPS by State'!$B:$B,0))),0)</f>
        <v>0</v>
      </c>
      <c r="S3" s="100">
        <f>IFERROR(IF($A3=FALSE,0,INDEX('RPS by State'!AD:AD,MATCH($C3,'RPS by State'!$B:$B,0))),0)</f>
        <v>0</v>
      </c>
      <c r="T3" s="100">
        <f>IFERROR(IF($A3=FALSE,0,INDEX('RPS by State'!AE:AE,MATCH($C3,'RPS by State'!$B:$B,0))),0)</f>
        <v>0</v>
      </c>
      <c r="U3" s="100">
        <f>IFERROR(IF($A3=FALSE,0,INDEX('RPS by State'!AF:AF,MATCH($C3,'RPS by State'!$B:$B,0))),0)</f>
        <v>0</v>
      </c>
      <c r="V3" s="100">
        <f>IFERROR(IF($A3=FALSE,0,INDEX('RPS by State'!AG:AG,MATCH($C3,'RPS by State'!$B:$B,0))),0)</f>
        <v>0</v>
      </c>
      <c r="W3" s="100">
        <f>IFERROR(IF($A3=FALSE,0,INDEX('RPS by State'!AH:AH,MATCH($C3,'RPS by State'!$B:$B,0))),0)</f>
        <v>0</v>
      </c>
      <c r="X3" s="100">
        <f>IFERROR(IF($A3=FALSE,0,INDEX('RPS by State'!AI:AI,MATCH($C3,'RPS by State'!$B:$B,0))),0)</f>
        <v>0</v>
      </c>
      <c r="Y3" s="100">
        <f>IFERROR(IF($A3=FALSE,0,INDEX('RPS by State'!AJ:AJ,MATCH($C3,'RPS by State'!$B:$B,0))),0)</f>
        <v>0</v>
      </c>
      <c r="Z3" s="100">
        <f>IFERROR(IF($A3=FALSE,0,INDEX('RPS by State'!AK:AK,MATCH($C3,'RPS by State'!$B:$B,0))),0)</f>
        <v>0</v>
      </c>
      <c r="AA3" s="100">
        <f>IFERROR(IF($A3=FALSE,0,INDEX('RPS by State'!AL:AL,MATCH($C3,'RPS by State'!$B:$B,0))),0)</f>
        <v>0</v>
      </c>
      <c r="AB3" s="100">
        <f>IFERROR(IF($A3=FALSE,0,INDEX('RPS by State'!AM:AM,MATCH($C3,'RPS by State'!$B:$B,0))),0)</f>
        <v>0</v>
      </c>
      <c r="AC3" s="100">
        <f>IFERROR(IF($A3=FALSE,0,INDEX('RPS by State'!AN:AN,MATCH($C3,'RPS by State'!$B:$B,0))),0)</f>
        <v>0</v>
      </c>
      <c r="AD3" s="100">
        <f>IFERROR(IF($A3=FALSE,0,INDEX('RPS by State'!AO:AO,MATCH($C3,'RPS by State'!$B:$B,0))),0)</f>
        <v>0</v>
      </c>
      <c r="AE3" s="100">
        <f>IFERROR(IF($A3=FALSE,0,INDEX('RPS by State'!AP:AP,MATCH($C3,'RPS by State'!$B:$B,0))),0)</f>
        <v>0</v>
      </c>
      <c r="AF3" s="100">
        <f>IFERROR(IF($A3=FALSE,0,INDEX('RPS by State'!AQ:AQ,MATCH($C3,'RPS by State'!$B:$B,0))),0)</f>
        <v>0</v>
      </c>
      <c r="AG3" s="100">
        <f>IFERROR(IF($A3=FALSE,0,INDEX('RPS by State'!AR:AR,MATCH($C3,'RPS by State'!$B:$B,0))),0)</f>
        <v>0</v>
      </c>
      <c r="AH3" s="100">
        <f>IFERROR(IF($A3=FALSE,0,INDEX('RPS by State'!AS:AS,MATCH($C3,'RPS by State'!$B:$B,0))),0)</f>
        <v>0</v>
      </c>
      <c r="AI3" s="100">
        <f>IFERROR(IF($A3=FALSE,0,INDEX('RPS by State'!AT:AT,MATCH($C3,'RPS by State'!$B:$B,0))),0)</f>
        <v>0</v>
      </c>
      <c r="AJ3" s="100">
        <f>IFERROR(IF($A3=FALSE,0,INDEX('RPS by State'!AU:AU,MATCH($C3,'RPS by State'!$B:$B,0))),0)</f>
        <v>0</v>
      </c>
      <c r="AK3" s="100">
        <f>IFERROR(IF($A3=FALSE,0,INDEX('RPS by State'!AV:AV,MATCH($C3,'RPS by State'!$B:$B,0))),0)</f>
        <v>0</v>
      </c>
      <c r="AL3" s="100">
        <f>IFERROR(IF($A3=FALSE,0,INDEX('RPS by State'!AW:AW,MATCH($C3,'RPS by State'!$B:$B,0))),0)</f>
        <v>0</v>
      </c>
      <c r="AM3" s="100">
        <f>IFERROR(IF($A3=FALSE,0,INDEX('RPS by State'!AX:AX,MATCH($C3,'RPS by State'!$B:$B,0))),0)</f>
        <v>0</v>
      </c>
      <c r="AN3" s="100">
        <f>IFERROR(IF($A3=FALSE,0,INDEX('RPS by State'!AY:AY,MATCH($C3,'RPS by State'!$B:$B,0))),0)</f>
        <v>0</v>
      </c>
      <c r="AO3" s="100">
        <f>IFERROR(IF($A3=FALSE,0,INDEX('RPS by State'!AZ:AZ,MATCH($C3,'RPS by State'!$B:$B,0))),0)</f>
        <v>0</v>
      </c>
      <c r="AP3" s="100">
        <f>IFERROR(IF($A3=FALSE,0,INDEX('RPS by State'!BA:BA,MATCH($C3,'RPS by State'!$B:$B,0))),0)</f>
        <v>0</v>
      </c>
      <c r="AQ3" s="100">
        <f>IFERROR(IF($A3=FALSE,0,INDEX('RPS by State'!BB:BB,MATCH($C3,'RPS by State'!$B:$B,0))),0)</f>
        <v>0</v>
      </c>
      <c r="AR3" s="100">
        <f>IFERROR(IF($A3=FALSE,0,INDEX('RPS by State'!BC:BC,MATCH($C3,'RPS by State'!$B:$B,0))),0)</f>
        <v>0</v>
      </c>
      <c r="AS3" s="100">
        <f>IFERROR(IF($A3=FALSE,0,INDEX('RPS by State'!BD:BD,MATCH($C3,'RPS by State'!$B:$B,0))),0)</f>
        <v>0</v>
      </c>
      <c r="AT3" s="100">
        <f>IFERROR(IF($A3=FALSE,0,INDEX('RPS by State'!BE:BE,MATCH($C3,'RPS by State'!$B:$B,0))),0)</f>
        <v>0</v>
      </c>
      <c r="AU3" s="100">
        <f>IFERROR(IF($A3=FALSE,0,INDEX('RPS by State'!BF:BF,MATCH($C3,'RPS by State'!$B:$B,0))),0)</f>
        <v>0</v>
      </c>
      <c r="AV3" s="100">
        <f>IFERROR(IF($A3=FALSE,0,INDEX('RPS by State'!BG:BG,MATCH($C3,'RPS by State'!$B:$B,0))),0)</f>
        <v>0</v>
      </c>
      <c r="AW3" s="100">
        <f>IFERROR(IF($A3=FALSE,0,INDEX('RPS by State'!BH:BH,MATCH($C3,'RPS by State'!$B:$B,0))),0)</f>
        <v>0</v>
      </c>
      <c r="AX3" s="100">
        <f>IFERROR(IF($A3=FALSE,0,INDEX('RPS by State'!BI:BI,MATCH($C3,'RPS by State'!$B:$B,0))),0)</f>
        <v>0</v>
      </c>
      <c r="AY3" s="100">
        <f>IFERROR(IF($A3=FALSE,0,INDEX('RPS by State'!BJ:BJ,MATCH($C3,'RPS by State'!$B:$B,0))),0)</f>
        <v>0</v>
      </c>
      <c r="AZ3" s="100">
        <f>IFERROR(IF($A3=FALSE,0,INDEX('RPS by State'!BK:BK,MATCH($C3,'RPS by State'!$B:$B,0))),0)</f>
        <v>0</v>
      </c>
      <c r="BA3" s="100">
        <f>IFERROR(IF($A3=FALSE,0,INDEX('RPS by State'!BL:BL,MATCH($C3,'RPS by State'!$B:$B,0))),0)</f>
        <v>0</v>
      </c>
      <c r="BB3" s="100">
        <f>IFERROR(IF($A3=FALSE,0,INDEX('RPS by State'!BM:BM,MATCH($C3,'RPS by State'!$B:$B,0))),0)</f>
        <v>0</v>
      </c>
      <c r="BC3" s="100">
        <f>IFERROR(IF($A3=FALSE,0,INDEX('RPS by State'!BN:BN,MATCH($C3,'RPS by State'!$B:$B,0))),0)</f>
        <v>0</v>
      </c>
      <c r="BD3" s="100">
        <f>IFERROR(IF($A3=FALSE,0,INDEX('RPS by State'!BO:BO,MATCH($C3,'RPS by State'!$B:$B,0))),0)</f>
        <v>0</v>
      </c>
      <c r="BE3" s="100">
        <f>IFERROR(IF($A3=FALSE,0,INDEX('RPS by State'!BP:BP,MATCH($C3,'RPS by State'!$B:$B,0))),0)</f>
        <v>0</v>
      </c>
      <c r="BF3" s="100">
        <f>IFERROR(IF($A3=FALSE,0,INDEX('RPS by State'!BQ:BQ,MATCH($C3,'RPS by State'!$B:$B,0))),0)</f>
        <v>0</v>
      </c>
      <c r="BG3" s="100">
        <f>IFERROR(IF($A3=FALSE,0,INDEX('RPS by State'!BR:BR,MATCH($C3,'RPS by State'!$B:$B,0))),0)</f>
        <v>0</v>
      </c>
      <c r="BH3" s="100">
        <f>IFERROR(IF($A3=FALSE,0,INDEX('RPS by State'!BS:BS,MATCH($C3,'RPS by State'!$B:$B,0))),0)</f>
        <v>0</v>
      </c>
      <c r="BI3" s="100">
        <f>IFERROR(IF($A3=FALSE,0,INDEX('RPS by State'!BT:BT,MATCH($C3,'RPS by State'!$B:$B,0))),0)</f>
        <v>0</v>
      </c>
      <c r="BJ3" s="100">
        <f>IFERROR(IF($A3=FALSE,0,INDEX('RPS by State'!BU:BU,MATCH($C3,'RPS by State'!$B:$B,0))),0)</f>
        <v>0</v>
      </c>
      <c r="BK3" s="100">
        <f>IFERROR(IF($A3=FALSE,0,INDEX('RPS by State'!BV:BV,MATCH($C3,'RPS by State'!$B:$B,0))),0)</f>
        <v>0</v>
      </c>
      <c r="BL3" s="100">
        <f>IFERROR(IF($A3=FALSE,0,INDEX('RPS by State'!BW:BW,MATCH($C3,'RPS by State'!$B:$B,0))),0)</f>
        <v>0</v>
      </c>
      <c r="BM3" s="100">
        <f>IFERROR(IF($A3=FALSE,0,INDEX('RPS by State'!BX:BX,MATCH($C3,'RPS by State'!$B:$B,0))),0)</f>
        <v>0</v>
      </c>
      <c r="BN3" s="100">
        <f>IFERROR(IF($A3=FALSE,0,INDEX('RPS by State'!BY:BY,MATCH($C3,'RPS by State'!$B:$B,0))),0)</f>
        <v>0</v>
      </c>
      <c r="BO3" s="100">
        <f>IFERROR(IF($A3=FALSE,0,INDEX('RPS by State'!BZ:BZ,MATCH($C3,'RPS by State'!$B:$B,0))),0)</f>
        <v>0</v>
      </c>
      <c r="BP3" s="100">
        <f>IFERROR(IF($A3=FALSE,0,INDEX('RPS by State'!CA:CA,MATCH($C3,'RPS by State'!$B:$B,0))),0)</f>
        <v>0</v>
      </c>
      <c r="BQ3" s="100">
        <f>IFERROR(IF($A3=FALSE,0,INDEX('RPS by State'!CB:CB,MATCH($C3,'RPS by State'!$B:$B,0))),0)</f>
        <v>0</v>
      </c>
      <c r="BR3" s="100">
        <f>IFERROR(IF($A3=FALSE,0,INDEX('RPS by State'!CC:CC,MATCH($C3,'RPS by State'!$B:$B,0))),0)</f>
        <v>0</v>
      </c>
      <c r="BS3" s="100">
        <f>IFERROR(IF($A3=FALSE,0,INDEX('RPS by State'!CD:CD,MATCH($C3,'RPS by State'!$B:$B,0))),0)</f>
        <v>0</v>
      </c>
      <c r="BT3" s="100">
        <f>IFERROR(IF($A3=FALSE,0,INDEX('RPS by State'!CE:CE,MATCH($C3,'RPS by State'!$B:$B,0))),0)</f>
        <v>0</v>
      </c>
      <c r="BU3" s="100">
        <f>IFERROR(IF($A3=FALSE,0,INDEX('RPS by State'!CF:CF,MATCH($C3,'RPS by State'!$B:$B,0))),0)</f>
        <v>0</v>
      </c>
      <c r="BV3" s="100">
        <f>IFERROR(IF($A3=FALSE,0,INDEX('RPS by State'!CG:CG,MATCH($C3,'RPS by State'!$B:$B,0))),0)</f>
        <v>0</v>
      </c>
      <c r="BW3" s="100">
        <f>IFERROR(IF($A3=FALSE,0,INDEX('RPS by State'!CH:CH,MATCH($C3,'RPS by State'!$B:$B,0))),0)</f>
        <v>0</v>
      </c>
      <c r="BX3" s="100">
        <f>IFERROR(IF($A3=FALSE,0,INDEX('RPS by State'!CI:CI,MATCH($C3,'RPS by State'!$B:$B,0))),0)</f>
        <v>0</v>
      </c>
      <c r="BY3" s="100">
        <f>IFERROR(IF($A3=FALSE,0,INDEX('RPS by State'!CJ:CJ,MATCH($C3,'RPS by State'!$B:$B,0))),0)</f>
        <v>0</v>
      </c>
      <c r="BZ3" s="100">
        <f>IFERROR(IF($A3=FALSE,0,INDEX('RPS by State'!CK:CK,MATCH($C3,'RPS by State'!$B:$B,0))),0)</f>
        <v>0</v>
      </c>
      <c r="CA3" s="100">
        <f>IFERROR(IF($A3=FALSE,0,INDEX('RPS by State'!CL:CL,MATCH($C3,'RPS by State'!$B:$B,0))),0)</f>
        <v>0</v>
      </c>
      <c r="CB3" s="100">
        <f>IFERROR(IF($A3=FALSE,0,INDEX('RPS by State'!CM:CM,MATCH($C3,'RPS by State'!$B:$B,0))),0)</f>
        <v>0</v>
      </c>
      <c r="CC3" s="100">
        <f>IFERROR(IF($A3=FALSE,0,INDEX('RPS by State'!CN:CN,MATCH($C3,'RPS by State'!$B:$B,0))),0)</f>
        <v>0</v>
      </c>
      <c r="CD3" s="100">
        <f>IFERROR(IF($A3=FALSE,0,INDEX('RPS by State'!CO:CO,MATCH($C3,'RPS by State'!$B:$B,0))),0)</f>
        <v>0</v>
      </c>
      <c r="CE3" s="100">
        <f>IFERROR(IF($A3=FALSE,0,INDEX('RPS by State'!CP:CP,MATCH($C3,'RPS by State'!$B:$B,0))),0)</f>
        <v>0</v>
      </c>
    </row>
    <row r="4" spans="1:83" x14ac:dyDescent="0.25">
      <c r="A4" t="b">
        <f>IFERROR(INDEX('RPS by State'!G:G,MATCH(B4,'RPS by State'!A:A,0)),0)</f>
        <v>1</v>
      </c>
      <c r="B4" s="120" t="s">
        <v>7</v>
      </c>
      <c r="C4" s="120" t="str">
        <f>IFERROR(INDEX(About!L:L,MATCH(B4,About!K:K,0)),0)</f>
        <v>AZ</v>
      </c>
      <c r="D4" s="100">
        <f>IFERROR(IF($A4=FALSE,0,INDEX('RPS by State'!O:O,MATCH($C4,'RPS by State'!$B:$B,0))),0)</f>
        <v>0.11</v>
      </c>
      <c r="E4" s="100">
        <f>IFERROR(IF($A4=FALSE,0,INDEX('RPS by State'!P:P,MATCH($C4,'RPS by State'!$B:$B,0))),0)</f>
        <v>0.12</v>
      </c>
      <c r="F4" s="100">
        <f>IFERROR(IF($A4=FALSE,0,INDEX('RPS by State'!Q:Q,MATCH($C4,'RPS by State'!$B:$B,0))),0)</f>
        <v>0.13</v>
      </c>
      <c r="G4" s="100">
        <f>IFERROR(IF($A4=FALSE,0,INDEX('RPS by State'!R:R,MATCH($C4,'RPS by State'!$B:$B,0))),0)</f>
        <v>0.14000000000000001</v>
      </c>
      <c r="H4" s="100">
        <f>IFERROR(IF($A4=FALSE,0,INDEX('RPS by State'!S:S,MATCH($C4,'RPS by State'!$B:$B,0))),0)</f>
        <v>0.15</v>
      </c>
      <c r="I4" s="100">
        <f>IFERROR(IF($A4=FALSE,0,INDEX('RPS by State'!T:T,MATCH($C4,'RPS by State'!$B:$B,0))),0)</f>
        <v>0.15</v>
      </c>
      <c r="J4" s="100">
        <f>IFERROR(IF($A4=FALSE,0,INDEX('RPS by State'!U:U,MATCH($C4,'RPS by State'!$B:$B,0))),0)</f>
        <v>0.15</v>
      </c>
      <c r="K4" s="100">
        <f>IFERROR(IF($A4=FALSE,0,INDEX('RPS by State'!V:V,MATCH($C4,'RPS by State'!$B:$B,0))),0)</f>
        <v>0.15</v>
      </c>
      <c r="L4" s="100">
        <f>IFERROR(IF($A4=FALSE,0,INDEX('RPS by State'!W:W,MATCH($C4,'RPS by State'!$B:$B,0))),0)</f>
        <v>0.15</v>
      </c>
      <c r="M4" s="100">
        <f>IFERROR(IF($A4=FALSE,0,INDEX('RPS by State'!X:X,MATCH($C4,'RPS by State'!$B:$B,0))),0)</f>
        <v>0.15</v>
      </c>
      <c r="N4" s="100">
        <f>IFERROR(IF($A4=FALSE,0,INDEX('RPS by State'!Y:Y,MATCH($C4,'RPS by State'!$B:$B,0))),0)</f>
        <v>0.15</v>
      </c>
      <c r="O4" s="100">
        <f>IFERROR(IF($A4=FALSE,0,INDEX('RPS by State'!Z:Z,MATCH($C4,'RPS by State'!$B:$B,0))),0)</f>
        <v>0.15</v>
      </c>
      <c r="P4" s="100">
        <f>IFERROR(IF($A4=FALSE,0,INDEX('RPS by State'!AA:AA,MATCH($C4,'RPS by State'!$B:$B,0))),0)</f>
        <v>0.15</v>
      </c>
      <c r="Q4" s="100">
        <f>IFERROR(IF($A4=FALSE,0,INDEX('RPS by State'!AB:AB,MATCH($C4,'RPS by State'!$B:$B,0))),0)</f>
        <v>0.15</v>
      </c>
      <c r="R4" s="100">
        <f>IFERROR(IF($A4=FALSE,0,INDEX('RPS by State'!AC:AC,MATCH($C4,'RPS by State'!$B:$B,0))),0)</f>
        <v>0.15</v>
      </c>
      <c r="S4" s="100">
        <f>IFERROR(IF($A4=FALSE,0,INDEX('RPS by State'!AD:AD,MATCH($C4,'RPS by State'!$B:$B,0))),0)</f>
        <v>0.15</v>
      </c>
      <c r="T4" s="100">
        <f>IFERROR(IF($A4=FALSE,0,INDEX('RPS by State'!AE:AE,MATCH($C4,'RPS by State'!$B:$B,0))),0)</f>
        <v>0.15</v>
      </c>
      <c r="U4" s="100">
        <f>IFERROR(IF($A4=FALSE,0,INDEX('RPS by State'!AF:AF,MATCH($C4,'RPS by State'!$B:$B,0))),0)</f>
        <v>0.15</v>
      </c>
      <c r="V4" s="100">
        <f>IFERROR(IF($A4=FALSE,0,INDEX('RPS by State'!AG:AG,MATCH($C4,'RPS by State'!$B:$B,0))),0)</f>
        <v>0.15</v>
      </c>
      <c r="W4" s="100">
        <f>IFERROR(IF($A4=FALSE,0,INDEX('RPS by State'!AH:AH,MATCH($C4,'RPS by State'!$B:$B,0))),0)</f>
        <v>0.15</v>
      </c>
      <c r="X4" s="100">
        <f>IFERROR(IF($A4=FALSE,0,INDEX('RPS by State'!AI:AI,MATCH($C4,'RPS by State'!$B:$B,0))),0)</f>
        <v>0.15</v>
      </c>
      <c r="Y4" s="100">
        <f>IFERROR(IF($A4=FALSE,0,INDEX('RPS by State'!AJ:AJ,MATCH($C4,'RPS by State'!$B:$B,0))),0)</f>
        <v>0.15</v>
      </c>
      <c r="Z4" s="100">
        <f>IFERROR(IF($A4=FALSE,0,INDEX('RPS by State'!AK:AK,MATCH($C4,'RPS by State'!$B:$B,0))),0)</f>
        <v>0.15</v>
      </c>
      <c r="AA4" s="100">
        <f>IFERROR(IF($A4=FALSE,0,INDEX('RPS by State'!AL:AL,MATCH($C4,'RPS by State'!$B:$B,0))),0)</f>
        <v>0.15</v>
      </c>
      <c r="AB4" s="100">
        <f>IFERROR(IF($A4=FALSE,0,INDEX('RPS by State'!AM:AM,MATCH($C4,'RPS by State'!$B:$B,0))),0)</f>
        <v>0.15</v>
      </c>
      <c r="AC4" s="100">
        <f>IFERROR(IF($A4=FALSE,0,INDEX('RPS by State'!AN:AN,MATCH($C4,'RPS by State'!$B:$B,0))),0)</f>
        <v>0.15</v>
      </c>
      <c r="AD4" s="100">
        <f>IFERROR(IF($A4=FALSE,0,INDEX('RPS by State'!AO:AO,MATCH($C4,'RPS by State'!$B:$B,0))),0)</f>
        <v>0.15</v>
      </c>
      <c r="AE4" s="100">
        <f>IFERROR(IF($A4=FALSE,0,INDEX('RPS by State'!AP:AP,MATCH($C4,'RPS by State'!$B:$B,0))),0)</f>
        <v>0.15</v>
      </c>
      <c r="AF4" s="100">
        <f>IFERROR(IF($A4=FALSE,0,INDEX('RPS by State'!AQ:AQ,MATCH($C4,'RPS by State'!$B:$B,0))),0)</f>
        <v>0.15</v>
      </c>
      <c r="AG4" s="100">
        <f>IFERROR(IF($A4=FALSE,0,INDEX('RPS by State'!AR:AR,MATCH($C4,'RPS by State'!$B:$B,0))),0)</f>
        <v>0.15</v>
      </c>
      <c r="AH4" s="100">
        <f>IFERROR(IF($A4=FALSE,0,INDEX('RPS by State'!AS:AS,MATCH($C4,'RPS by State'!$B:$B,0))),0)</f>
        <v>0</v>
      </c>
      <c r="AI4" s="100">
        <f>IFERROR(IF($A4=FALSE,0,INDEX('RPS by State'!AT:AT,MATCH($C4,'RPS by State'!$B:$B,0))),0)</f>
        <v>0</v>
      </c>
      <c r="AJ4" s="100">
        <f>IFERROR(IF($A4=FALSE,0,INDEX('RPS by State'!AU:AU,MATCH($C4,'RPS by State'!$B:$B,0))),0)</f>
        <v>0</v>
      </c>
      <c r="AK4" s="100">
        <f>IFERROR(IF($A4=FALSE,0,INDEX('RPS by State'!AV:AV,MATCH($C4,'RPS by State'!$B:$B,0))),0)</f>
        <v>0</v>
      </c>
      <c r="AL4" s="100">
        <f>IFERROR(IF($A4=FALSE,0,INDEX('RPS by State'!AW:AW,MATCH($C4,'RPS by State'!$B:$B,0))),0)</f>
        <v>0</v>
      </c>
      <c r="AM4" s="100">
        <f>IFERROR(IF($A4=FALSE,0,INDEX('RPS by State'!AX:AX,MATCH($C4,'RPS by State'!$B:$B,0))),0)</f>
        <v>0</v>
      </c>
      <c r="AN4" s="100">
        <f>IFERROR(IF($A4=FALSE,0,INDEX('RPS by State'!AY:AY,MATCH($C4,'RPS by State'!$B:$B,0))),0)</f>
        <v>0</v>
      </c>
      <c r="AO4" s="100">
        <f>IFERROR(IF($A4=FALSE,0,INDEX('RPS by State'!AZ:AZ,MATCH($C4,'RPS by State'!$B:$B,0))),0)</f>
        <v>0</v>
      </c>
      <c r="AP4" s="100">
        <f>IFERROR(IF($A4=FALSE,0,INDEX('RPS by State'!BA:BA,MATCH($C4,'RPS by State'!$B:$B,0))),0)</f>
        <v>0</v>
      </c>
      <c r="AQ4" s="100">
        <f>IFERROR(IF($A4=FALSE,0,INDEX('RPS by State'!BB:BB,MATCH($C4,'RPS by State'!$B:$B,0))),0)</f>
        <v>0</v>
      </c>
      <c r="AR4" s="100">
        <f>IFERROR(IF($A4=FALSE,0,INDEX('RPS by State'!BC:BC,MATCH($C4,'RPS by State'!$B:$B,0))),0)</f>
        <v>0</v>
      </c>
      <c r="AS4" s="100">
        <f>IFERROR(IF($A4=FALSE,0,INDEX('RPS by State'!BD:BD,MATCH($C4,'RPS by State'!$B:$B,0))),0)</f>
        <v>0</v>
      </c>
      <c r="AT4" s="100">
        <f>IFERROR(IF($A4=FALSE,0,INDEX('RPS by State'!BE:BE,MATCH($C4,'RPS by State'!$B:$B,0))),0)</f>
        <v>0</v>
      </c>
      <c r="AU4" s="100">
        <f>IFERROR(IF($A4=FALSE,0,INDEX('RPS by State'!BF:BF,MATCH($C4,'RPS by State'!$B:$B,0))),0)</f>
        <v>0</v>
      </c>
      <c r="AV4" s="100">
        <f>IFERROR(IF($A4=FALSE,0,INDEX('RPS by State'!BG:BG,MATCH($C4,'RPS by State'!$B:$B,0))),0)</f>
        <v>0</v>
      </c>
      <c r="AW4" s="100">
        <f>IFERROR(IF($A4=FALSE,0,INDEX('RPS by State'!BH:BH,MATCH($C4,'RPS by State'!$B:$B,0))),0)</f>
        <v>0</v>
      </c>
      <c r="AX4" s="100">
        <f>IFERROR(IF($A4=FALSE,0,INDEX('RPS by State'!BI:BI,MATCH($C4,'RPS by State'!$B:$B,0))),0)</f>
        <v>0</v>
      </c>
      <c r="AY4" s="100">
        <f>IFERROR(IF($A4=FALSE,0,INDEX('RPS by State'!BJ:BJ,MATCH($C4,'RPS by State'!$B:$B,0))),0)</f>
        <v>0</v>
      </c>
      <c r="AZ4" s="100">
        <f>IFERROR(IF($A4=FALSE,0,INDEX('RPS by State'!BK:BK,MATCH($C4,'RPS by State'!$B:$B,0))),0)</f>
        <v>0</v>
      </c>
      <c r="BA4" s="100">
        <f>IFERROR(IF($A4=FALSE,0,INDEX('RPS by State'!BL:BL,MATCH($C4,'RPS by State'!$B:$B,0))),0)</f>
        <v>0</v>
      </c>
      <c r="BB4" s="100">
        <f>IFERROR(IF($A4=FALSE,0,INDEX('RPS by State'!BM:BM,MATCH($C4,'RPS by State'!$B:$B,0))),0)</f>
        <v>0</v>
      </c>
      <c r="BC4" s="100">
        <f>IFERROR(IF($A4=FALSE,0,INDEX('RPS by State'!BN:BN,MATCH($C4,'RPS by State'!$B:$B,0))),0)</f>
        <v>0</v>
      </c>
      <c r="BD4" s="100">
        <f>IFERROR(IF($A4=FALSE,0,INDEX('RPS by State'!BO:BO,MATCH($C4,'RPS by State'!$B:$B,0))),0)</f>
        <v>0</v>
      </c>
      <c r="BE4" s="100">
        <f>IFERROR(IF($A4=FALSE,0,INDEX('RPS by State'!BP:BP,MATCH($C4,'RPS by State'!$B:$B,0))),0)</f>
        <v>0</v>
      </c>
      <c r="BF4" s="100">
        <f>IFERROR(IF($A4=FALSE,0,INDEX('RPS by State'!BQ:BQ,MATCH($C4,'RPS by State'!$B:$B,0))),0)</f>
        <v>0</v>
      </c>
      <c r="BG4" s="100">
        <f>IFERROR(IF($A4=FALSE,0,INDEX('RPS by State'!BR:BR,MATCH($C4,'RPS by State'!$B:$B,0))),0)</f>
        <v>0</v>
      </c>
      <c r="BH4" s="100">
        <f>IFERROR(IF($A4=FALSE,0,INDEX('RPS by State'!BS:BS,MATCH($C4,'RPS by State'!$B:$B,0))),0)</f>
        <v>0</v>
      </c>
      <c r="BI4" s="100">
        <f>IFERROR(IF($A4=FALSE,0,INDEX('RPS by State'!BT:BT,MATCH($C4,'RPS by State'!$B:$B,0))),0)</f>
        <v>0</v>
      </c>
      <c r="BJ4" s="100">
        <f>IFERROR(IF($A4=FALSE,0,INDEX('RPS by State'!BU:BU,MATCH($C4,'RPS by State'!$B:$B,0))),0)</f>
        <v>0</v>
      </c>
      <c r="BK4" s="100">
        <f>IFERROR(IF($A4=FALSE,0,INDEX('RPS by State'!BV:BV,MATCH($C4,'RPS by State'!$B:$B,0))),0)</f>
        <v>0</v>
      </c>
      <c r="BL4" s="100">
        <f>IFERROR(IF($A4=FALSE,0,INDEX('RPS by State'!BW:BW,MATCH($C4,'RPS by State'!$B:$B,0))),0)</f>
        <v>0</v>
      </c>
      <c r="BM4" s="100">
        <f>IFERROR(IF($A4=FALSE,0,INDEX('RPS by State'!BX:BX,MATCH($C4,'RPS by State'!$B:$B,0))),0)</f>
        <v>0</v>
      </c>
      <c r="BN4" s="100">
        <f>IFERROR(IF($A4=FALSE,0,INDEX('RPS by State'!BY:BY,MATCH($C4,'RPS by State'!$B:$B,0))),0)</f>
        <v>0</v>
      </c>
      <c r="BO4" s="100">
        <f>IFERROR(IF($A4=FALSE,0,INDEX('RPS by State'!BZ:BZ,MATCH($C4,'RPS by State'!$B:$B,0))),0)</f>
        <v>0</v>
      </c>
      <c r="BP4" s="100">
        <f>IFERROR(IF($A4=FALSE,0,INDEX('RPS by State'!CA:CA,MATCH($C4,'RPS by State'!$B:$B,0))),0)</f>
        <v>0</v>
      </c>
      <c r="BQ4" s="100">
        <f>IFERROR(IF($A4=FALSE,0,INDEX('RPS by State'!CB:CB,MATCH($C4,'RPS by State'!$B:$B,0))),0)</f>
        <v>0</v>
      </c>
      <c r="BR4" s="100">
        <f>IFERROR(IF($A4=FALSE,0,INDEX('RPS by State'!CC:CC,MATCH($C4,'RPS by State'!$B:$B,0))),0)</f>
        <v>0</v>
      </c>
      <c r="BS4" s="100">
        <f>IFERROR(IF($A4=FALSE,0,INDEX('RPS by State'!CD:CD,MATCH($C4,'RPS by State'!$B:$B,0))),0)</f>
        <v>0</v>
      </c>
      <c r="BT4" s="100">
        <f>IFERROR(IF($A4=FALSE,0,INDEX('RPS by State'!CE:CE,MATCH($C4,'RPS by State'!$B:$B,0))),0)</f>
        <v>0</v>
      </c>
      <c r="BU4" s="100">
        <f>IFERROR(IF($A4=FALSE,0,INDEX('RPS by State'!CF:CF,MATCH($C4,'RPS by State'!$B:$B,0))),0)</f>
        <v>0</v>
      </c>
      <c r="BV4" s="100">
        <f>IFERROR(IF($A4=FALSE,0,INDEX('RPS by State'!CG:CG,MATCH($C4,'RPS by State'!$B:$B,0))),0)</f>
        <v>0</v>
      </c>
      <c r="BW4" s="100">
        <f>IFERROR(IF($A4=FALSE,0,INDEX('RPS by State'!CH:CH,MATCH($C4,'RPS by State'!$B:$B,0))),0)</f>
        <v>0</v>
      </c>
      <c r="BX4" s="100">
        <f>IFERROR(IF($A4=FALSE,0,INDEX('RPS by State'!CI:CI,MATCH($C4,'RPS by State'!$B:$B,0))),0)</f>
        <v>0</v>
      </c>
      <c r="BY4" s="100">
        <f>IFERROR(IF($A4=FALSE,0,INDEX('RPS by State'!CJ:CJ,MATCH($C4,'RPS by State'!$B:$B,0))),0)</f>
        <v>0</v>
      </c>
      <c r="BZ4" s="100">
        <f>IFERROR(IF($A4=FALSE,0,INDEX('RPS by State'!CK:CK,MATCH($C4,'RPS by State'!$B:$B,0))),0)</f>
        <v>0</v>
      </c>
      <c r="CA4" s="100">
        <f>IFERROR(IF($A4=FALSE,0,INDEX('RPS by State'!CL:CL,MATCH($C4,'RPS by State'!$B:$B,0))),0)</f>
        <v>0</v>
      </c>
      <c r="CB4" s="100">
        <f>IFERROR(IF($A4=FALSE,0,INDEX('RPS by State'!CM:CM,MATCH($C4,'RPS by State'!$B:$B,0))),0)</f>
        <v>0</v>
      </c>
      <c r="CC4" s="100">
        <f>IFERROR(IF($A4=FALSE,0,INDEX('RPS by State'!CN:CN,MATCH($C4,'RPS by State'!$B:$B,0))),0)</f>
        <v>0</v>
      </c>
      <c r="CD4" s="100">
        <f>IFERROR(IF($A4=FALSE,0,INDEX('RPS by State'!CO:CO,MATCH($C4,'RPS by State'!$B:$B,0))),0)</f>
        <v>0</v>
      </c>
      <c r="CE4" s="100">
        <f>IFERROR(IF($A4=FALSE,0,INDEX('RPS by State'!CP:CP,MATCH($C4,'RPS by State'!$B:$B,0))),0)</f>
        <v>0</v>
      </c>
    </row>
    <row r="5" spans="1:83" x14ac:dyDescent="0.25">
      <c r="A5" t="b">
        <f>IFERROR(INDEX('RPS by State'!G:G,MATCH(B5,'RPS by State'!A:A,0)),0)</f>
        <v>0</v>
      </c>
      <c r="B5" s="120" t="s">
        <v>11</v>
      </c>
      <c r="C5" s="120" t="str">
        <f>IFERROR(INDEX(About!L:L,MATCH(B5,About!K:K,0)),0)</f>
        <v>AR</v>
      </c>
      <c r="D5" s="100">
        <f>IFERROR(IF($A5=FALSE,0,INDEX('RPS by State'!O:O,MATCH($C5,'RPS by State'!$B:$B,0))),0)</f>
        <v>0</v>
      </c>
      <c r="E5" s="100">
        <f>IFERROR(IF($A5=FALSE,0,INDEX('RPS by State'!P:P,MATCH($C5,'RPS by State'!$B:$B,0))),0)</f>
        <v>0</v>
      </c>
      <c r="F5" s="100">
        <f>IFERROR(IF($A5=FALSE,0,INDEX('RPS by State'!Q:Q,MATCH($C5,'RPS by State'!$B:$B,0))),0)</f>
        <v>0</v>
      </c>
      <c r="G5" s="100">
        <f>IFERROR(IF($A5=FALSE,0,INDEX('RPS by State'!R:R,MATCH($C5,'RPS by State'!$B:$B,0))),0)</f>
        <v>0</v>
      </c>
      <c r="H5" s="100">
        <f>IFERROR(IF($A5=FALSE,0,INDEX('RPS by State'!S:S,MATCH($C5,'RPS by State'!$B:$B,0))),0)</f>
        <v>0</v>
      </c>
      <c r="I5" s="100">
        <f>IFERROR(IF($A5=FALSE,0,INDEX('RPS by State'!T:T,MATCH($C5,'RPS by State'!$B:$B,0))),0)</f>
        <v>0</v>
      </c>
      <c r="J5" s="100">
        <f>IFERROR(IF($A5=FALSE,0,INDEX('RPS by State'!U:U,MATCH($C5,'RPS by State'!$B:$B,0))),0)</f>
        <v>0</v>
      </c>
      <c r="K5" s="100">
        <f>IFERROR(IF($A5=FALSE,0,INDEX('RPS by State'!V:V,MATCH($C5,'RPS by State'!$B:$B,0))),0)</f>
        <v>0</v>
      </c>
      <c r="L5" s="100">
        <f>IFERROR(IF($A5=FALSE,0,INDEX('RPS by State'!W:W,MATCH($C5,'RPS by State'!$B:$B,0))),0)</f>
        <v>0</v>
      </c>
      <c r="M5" s="100">
        <f>IFERROR(IF($A5=FALSE,0,INDEX('RPS by State'!X:X,MATCH($C5,'RPS by State'!$B:$B,0))),0)</f>
        <v>0</v>
      </c>
      <c r="N5" s="100">
        <f>IFERROR(IF($A5=FALSE,0,INDEX('RPS by State'!Y:Y,MATCH($C5,'RPS by State'!$B:$B,0))),0)</f>
        <v>0</v>
      </c>
      <c r="O5" s="100">
        <f>IFERROR(IF($A5=FALSE,0,INDEX('RPS by State'!Z:Z,MATCH($C5,'RPS by State'!$B:$B,0))),0)</f>
        <v>0</v>
      </c>
      <c r="P5" s="100">
        <f>IFERROR(IF($A5=FALSE,0,INDEX('RPS by State'!AA:AA,MATCH($C5,'RPS by State'!$B:$B,0))),0)</f>
        <v>0</v>
      </c>
      <c r="Q5" s="100">
        <f>IFERROR(IF($A5=FALSE,0,INDEX('RPS by State'!AB:AB,MATCH($C5,'RPS by State'!$B:$B,0))),0)</f>
        <v>0</v>
      </c>
      <c r="R5" s="100">
        <f>IFERROR(IF($A5=FALSE,0,INDEX('RPS by State'!AC:AC,MATCH($C5,'RPS by State'!$B:$B,0))),0)</f>
        <v>0</v>
      </c>
      <c r="S5" s="100">
        <f>IFERROR(IF($A5=FALSE,0,INDEX('RPS by State'!AD:AD,MATCH($C5,'RPS by State'!$B:$B,0))),0)</f>
        <v>0</v>
      </c>
      <c r="T5" s="100">
        <f>IFERROR(IF($A5=FALSE,0,INDEX('RPS by State'!AE:AE,MATCH($C5,'RPS by State'!$B:$B,0))),0)</f>
        <v>0</v>
      </c>
      <c r="U5" s="100">
        <f>IFERROR(IF($A5=FALSE,0,INDEX('RPS by State'!AF:AF,MATCH($C5,'RPS by State'!$B:$B,0))),0)</f>
        <v>0</v>
      </c>
      <c r="V5" s="100">
        <f>IFERROR(IF($A5=FALSE,0,INDEX('RPS by State'!AG:AG,MATCH($C5,'RPS by State'!$B:$B,0))),0)</f>
        <v>0</v>
      </c>
      <c r="W5" s="100">
        <f>IFERROR(IF($A5=FALSE,0,INDEX('RPS by State'!AH:AH,MATCH($C5,'RPS by State'!$B:$B,0))),0)</f>
        <v>0</v>
      </c>
      <c r="X5" s="100">
        <f>IFERROR(IF($A5=FALSE,0,INDEX('RPS by State'!AI:AI,MATCH($C5,'RPS by State'!$B:$B,0))),0)</f>
        <v>0</v>
      </c>
      <c r="Y5" s="100">
        <f>IFERROR(IF($A5=FALSE,0,INDEX('RPS by State'!AJ:AJ,MATCH($C5,'RPS by State'!$B:$B,0))),0)</f>
        <v>0</v>
      </c>
      <c r="Z5" s="100">
        <f>IFERROR(IF($A5=FALSE,0,INDEX('RPS by State'!AK:AK,MATCH($C5,'RPS by State'!$B:$B,0))),0)</f>
        <v>0</v>
      </c>
      <c r="AA5" s="100">
        <f>IFERROR(IF($A5=FALSE,0,INDEX('RPS by State'!AL:AL,MATCH($C5,'RPS by State'!$B:$B,0))),0)</f>
        <v>0</v>
      </c>
      <c r="AB5" s="100">
        <f>IFERROR(IF($A5=FALSE,0,INDEX('RPS by State'!AM:AM,MATCH($C5,'RPS by State'!$B:$B,0))),0)</f>
        <v>0</v>
      </c>
      <c r="AC5" s="100">
        <f>IFERROR(IF($A5=FALSE,0,INDEX('RPS by State'!AN:AN,MATCH($C5,'RPS by State'!$B:$B,0))),0)</f>
        <v>0</v>
      </c>
      <c r="AD5" s="100">
        <f>IFERROR(IF($A5=FALSE,0,INDEX('RPS by State'!AO:AO,MATCH($C5,'RPS by State'!$B:$B,0))),0)</f>
        <v>0</v>
      </c>
      <c r="AE5" s="100">
        <f>IFERROR(IF($A5=FALSE,0,INDEX('RPS by State'!AP:AP,MATCH($C5,'RPS by State'!$B:$B,0))),0)</f>
        <v>0</v>
      </c>
      <c r="AF5" s="100">
        <f>IFERROR(IF($A5=FALSE,0,INDEX('RPS by State'!AQ:AQ,MATCH($C5,'RPS by State'!$B:$B,0))),0)</f>
        <v>0</v>
      </c>
      <c r="AG5" s="100">
        <f>IFERROR(IF($A5=FALSE,0,INDEX('RPS by State'!AR:AR,MATCH($C5,'RPS by State'!$B:$B,0))),0)</f>
        <v>0</v>
      </c>
      <c r="AH5" s="100">
        <f>IFERROR(IF($A5=FALSE,0,INDEX('RPS by State'!AS:AS,MATCH($C5,'RPS by State'!$B:$B,0))),0)</f>
        <v>0</v>
      </c>
      <c r="AI5" s="100">
        <f>IFERROR(IF($A5=FALSE,0,INDEX('RPS by State'!AT:AT,MATCH($C5,'RPS by State'!$B:$B,0))),0)</f>
        <v>0</v>
      </c>
      <c r="AJ5" s="100">
        <f>IFERROR(IF($A5=FALSE,0,INDEX('RPS by State'!AU:AU,MATCH($C5,'RPS by State'!$B:$B,0))),0)</f>
        <v>0</v>
      </c>
      <c r="AK5" s="100">
        <f>IFERROR(IF($A5=FALSE,0,INDEX('RPS by State'!AV:AV,MATCH($C5,'RPS by State'!$B:$B,0))),0)</f>
        <v>0</v>
      </c>
      <c r="AL5" s="100">
        <f>IFERROR(IF($A5=FALSE,0,INDEX('RPS by State'!AW:AW,MATCH($C5,'RPS by State'!$B:$B,0))),0)</f>
        <v>0</v>
      </c>
      <c r="AM5" s="100">
        <f>IFERROR(IF($A5=FALSE,0,INDEX('RPS by State'!AX:AX,MATCH($C5,'RPS by State'!$B:$B,0))),0)</f>
        <v>0</v>
      </c>
      <c r="AN5" s="100">
        <f>IFERROR(IF($A5=FALSE,0,INDEX('RPS by State'!AY:AY,MATCH($C5,'RPS by State'!$B:$B,0))),0)</f>
        <v>0</v>
      </c>
      <c r="AO5" s="100">
        <f>IFERROR(IF($A5=FALSE,0,INDEX('RPS by State'!AZ:AZ,MATCH($C5,'RPS by State'!$B:$B,0))),0)</f>
        <v>0</v>
      </c>
      <c r="AP5" s="100">
        <f>IFERROR(IF($A5=FALSE,0,INDEX('RPS by State'!BA:BA,MATCH($C5,'RPS by State'!$B:$B,0))),0)</f>
        <v>0</v>
      </c>
      <c r="AQ5" s="100">
        <f>IFERROR(IF($A5=FALSE,0,INDEX('RPS by State'!BB:BB,MATCH($C5,'RPS by State'!$B:$B,0))),0)</f>
        <v>0</v>
      </c>
      <c r="AR5" s="100">
        <f>IFERROR(IF($A5=FALSE,0,INDEX('RPS by State'!BC:BC,MATCH($C5,'RPS by State'!$B:$B,0))),0)</f>
        <v>0</v>
      </c>
      <c r="AS5" s="100">
        <f>IFERROR(IF($A5=FALSE,0,INDEX('RPS by State'!BD:BD,MATCH($C5,'RPS by State'!$B:$B,0))),0)</f>
        <v>0</v>
      </c>
      <c r="AT5" s="100">
        <f>IFERROR(IF($A5=FALSE,0,INDEX('RPS by State'!BE:BE,MATCH($C5,'RPS by State'!$B:$B,0))),0)</f>
        <v>0</v>
      </c>
      <c r="AU5" s="100">
        <f>IFERROR(IF($A5=FALSE,0,INDEX('RPS by State'!BF:BF,MATCH($C5,'RPS by State'!$B:$B,0))),0)</f>
        <v>0</v>
      </c>
      <c r="AV5" s="100">
        <f>IFERROR(IF($A5=FALSE,0,INDEX('RPS by State'!BG:BG,MATCH($C5,'RPS by State'!$B:$B,0))),0)</f>
        <v>0</v>
      </c>
      <c r="AW5" s="100">
        <f>IFERROR(IF($A5=FALSE,0,INDEX('RPS by State'!BH:BH,MATCH($C5,'RPS by State'!$B:$B,0))),0)</f>
        <v>0</v>
      </c>
      <c r="AX5" s="100">
        <f>IFERROR(IF($A5=FALSE,0,INDEX('RPS by State'!BI:BI,MATCH($C5,'RPS by State'!$B:$B,0))),0)</f>
        <v>0</v>
      </c>
      <c r="AY5" s="100">
        <f>IFERROR(IF($A5=FALSE,0,INDEX('RPS by State'!BJ:BJ,MATCH($C5,'RPS by State'!$B:$B,0))),0)</f>
        <v>0</v>
      </c>
      <c r="AZ5" s="100">
        <f>IFERROR(IF($A5=FALSE,0,INDEX('RPS by State'!BK:BK,MATCH($C5,'RPS by State'!$B:$B,0))),0)</f>
        <v>0</v>
      </c>
      <c r="BA5" s="100">
        <f>IFERROR(IF($A5=FALSE,0,INDEX('RPS by State'!BL:BL,MATCH($C5,'RPS by State'!$B:$B,0))),0)</f>
        <v>0</v>
      </c>
      <c r="BB5" s="100">
        <f>IFERROR(IF($A5=FALSE,0,INDEX('RPS by State'!BM:BM,MATCH($C5,'RPS by State'!$B:$B,0))),0)</f>
        <v>0</v>
      </c>
      <c r="BC5" s="100">
        <f>IFERROR(IF($A5=FALSE,0,INDEX('RPS by State'!BN:BN,MATCH($C5,'RPS by State'!$B:$B,0))),0)</f>
        <v>0</v>
      </c>
      <c r="BD5" s="100">
        <f>IFERROR(IF($A5=FALSE,0,INDEX('RPS by State'!BO:BO,MATCH($C5,'RPS by State'!$B:$B,0))),0)</f>
        <v>0</v>
      </c>
      <c r="BE5" s="100">
        <f>IFERROR(IF($A5=FALSE,0,INDEX('RPS by State'!BP:BP,MATCH($C5,'RPS by State'!$B:$B,0))),0)</f>
        <v>0</v>
      </c>
      <c r="BF5" s="100">
        <f>IFERROR(IF($A5=FALSE,0,INDEX('RPS by State'!BQ:BQ,MATCH($C5,'RPS by State'!$B:$B,0))),0)</f>
        <v>0</v>
      </c>
      <c r="BG5" s="100">
        <f>IFERROR(IF($A5=FALSE,0,INDEX('RPS by State'!BR:BR,MATCH($C5,'RPS by State'!$B:$B,0))),0)</f>
        <v>0</v>
      </c>
      <c r="BH5" s="100">
        <f>IFERROR(IF($A5=FALSE,0,INDEX('RPS by State'!BS:BS,MATCH($C5,'RPS by State'!$B:$B,0))),0)</f>
        <v>0</v>
      </c>
      <c r="BI5" s="100">
        <f>IFERROR(IF($A5=FALSE,0,INDEX('RPS by State'!BT:BT,MATCH($C5,'RPS by State'!$B:$B,0))),0)</f>
        <v>0</v>
      </c>
      <c r="BJ5" s="100">
        <f>IFERROR(IF($A5=FALSE,0,INDEX('RPS by State'!BU:BU,MATCH($C5,'RPS by State'!$B:$B,0))),0)</f>
        <v>0</v>
      </c>
      <c r="BK5" s="100">
        <f>IFERROR(IF($A5=FALSE,0,INDEX('RPS by State'!BV:BV,MATCH($C5,'RPS by State'!$B:$B,0))),0)</f>
        <v>0</v>
      </c>
      <c r="BL5" s="100">
        <f>IFERROR(IF($A5=FALSE,0,INDEX('RPS by State'!BW:BW,MATCH($C5,'RPS by State'!$B:$B,0))),0)</f>
        <v>0</v>
      </c>
      <c r="BM5" s="100">
        <f>IFERROR(IF($A5=FALSE,0,INDEX('RPS by State'!BX:BX,MATCH($C5,'RPS by State'!$B:$B,0))),0)</f>
        <v>0</v>
      </c>
      <c r="BN5" s="100">
        <f>IFERROR(IF($A5=FALSE,0,INDEX('RPS by State'!BY:BY,MATCH($C5,'RPS by State'!$B:$B,0))),0)</f>
        <v>0</v>
      </c>
      <c r="BO5" s="100">
        <f>IFERROR(IF($A5=FALSE,0,INDEX('RPS by State'!BZ:BZ,MATCH($C5,'RPS by State'!$B:$B,0))),0)</f>
        <v>0</v>
      </c>
      <c r="BP5" s="100">
        <f>IFERROR(IF($A5=FALSE,0,INDEX('RPS by State'!CA:CA,MATCH($C5,'RPS by State'!$B:$B,0))),0)</f>
        <v>0</v>
      </c>
      <c r="BQ5" s="100">
        <f>IFERROR(IF($A5=FALSE,0,INDEX('RPS by State'!CB:CB,MATCH($C5,'RPS by State'!$B:$B,0))),0)</f>
        <v>0</v>
      </c>
      <c r="BR5" s="100">
        <f>IFERROR(IF($A5=FALSE,0,INDEX('RPS by State'!CC:CC,MATCH($C5,'RPS by State'!$B:$B,0))),0)</f>
        <v>0</v>
      </c>
      <c r="BS5" s="100">
        <f>IFERROR(IF($A5=FALSE,0,INDEX('RPS by State'!CD:CD,MATCH($C5,'RPS by State'!$B:$B,0))),0)</f>
        <v>0</v>
      </c>
      <c r="BT5" s="100">
        <f>IFERROR(IF($A5=FALSE,0,INDEX('RPS by State'!CE:CE,MATCH($C5,'RPS by State'!$B:$B,0))),0)</f>
        <v>0</v>
      </c>
      <c r="BU5" s="100">
        <f>IFERROR(IF($A5=FALSE,0,INDEX('RPS by State'!CF:CF,MATCH($C5,'RPS by State'!$B:$B,0))),0)</f>
        <v>0</v>
      </c>
      <c r="BV5" s="100">
        <f>IFERROR(IF($A5=FALSE,0,INDEX('RPS by State'!CG:CG,MATCH($C5,'RPS by State'!$B:$B,0))),0)</f>
        <v>0</v>
      </c>
      <c r="BW5" s="100">
        <f>IFERROR(IF($A5=FALSE,0,INDEX('RPS by State'!CH:CH,MATCH($C5,'RPS by State'!$B:$B,0))),0)</f>
        <v>0</v>
      </c>
      <c r="BX5" s="100">
        <f>IFERROR(IF($A5=FALSE,0,INDEX('RPS by State'!CI:CI,MATCH($C5,'RPS by State'!$B:$B,0))),0)</f>
        <v>0</v>
      </c>
      <c r="BY5" s="100">
        <f>IFERROR(IF($A5=FALSE,0,INDEX('RPS by State'!CJ:CJ,MATCH($C5,'RPS by State'!$B:$B,0))),0)</f>
        <v>0</v>
      </c>
      <c r="BZ5" s="100">
        <f>IFERROR(IF($A5=FALSE,0,INDEX('RPS by State'!CK:CK,MATCH($C5,'RPS by State'!$B:$B,0))),0)</f>
        <v>0</v>
      </c>
      <c r="CA5" s="100">
        <f>IFERROR(IF($A5=FALSE,0,INDEX('RPS by State'!CL:CL,MATCH($C5,'RPS by State'!$B:$B,0))),0)</f>
        <v>0</v>
      </c>
      <c r="CB5" s="100">
        <f>IFERROR(IF($A5=FALSE,0,INDEX('RPS by State'!CM:CM,MATCH($C5,'RPS by State'!$B:$B,0))),0)</f>
        <v>0</v>
      </c>
      <c r="CC5" s="100">
        <f>IFERROR(IF($A5=FALSE,0,INDEX('RPS by State'!CN:CN,MATCH($C5,'RPS by State'!$B:$B,0))),0)</f>
        <v>0</v>
      </c>
      <c r="CD5" s="100">
        <f>IFERROR(IF($A5=FALSE,0,INDEX('RPS by State'!CO:CO,MATCH($C5,'RPS by State'!$B:$B,0))),0)</f>
        <v>0</v>
      </c>
      <c r="CE5" s="100">
        <f>IFERROR(IF($A5=FALSE,0,INDEX('RPS by State'!CP:CP,MATCH($C5,'RPS by State'!$B:$B,0))),0)</f>
        <v>0</v>
      </c>
    </row>
    <row r="6" spans="1:83" x14ac:dyDescent="0.25">
      <c r="A6" t="b">
        <f>IFERROR(INDEX('RPS by State'!G:G,MATCH(B6,'RPS by State'!A:A,0)),0)</f>
        <v>1</v>
      </c>
      <c r="B6" s="120" t="s">
        <v>14</v>
      </c>
      <c r="C6" s="120" t="str">
        <f>IFERROR(INDEX(About!L:L,MATCH(B6,About!K:K,0)),0)</f>
        <v>CA</v>
      </c>
      <c r="D6" s="100">
        <f>IFERROR(IF($A6=FALSE,0,INDEX('RPS by State'!O:O,MATCH($C6,'RPS by State'!$B:$B,0))),0)</f>
        <v>0.31444063052963289</v>
      </c>
      <c r="E6" s="100">
        <f>IFERROR(IF($A6=FALSE,0,INDEX('RPS by State'!P:P,MATCH($C6,'RPS by State'!$B:$B,0))),0)</f>
        <v>0.33862837133960466</v>
      </c>
      <c r="F6" s="100">
        <f>IFERROR(IF($A6=FALSE,0,INDEX('RPS by State'!Q:Q,MATCH($C6,'RPS by State'!$B:$B,0))),0)</f>
        <v>0.36281611214957638</v>
      </c>
      <c r="G6" s="100">
        <f>IFERROR(IF($A6=FALSE,0,INDEX('RPS by State'!R:R,MATCH($C6,'RPS by State'!$B:$B,0))),0)</f>
        <v>0.38700385295954814</v>
      </c>
      <c r="H6" s="100">
        <f>IFERROR(IF($A6=FALSE,0,INDEX('RPS by State'!S:S,MATCH($C6,'RPS by State'!$B:$B,0))),0)</f>
        <v>0.41045863192679349</v>
      </c>
      <c r="I6" s="100">
        <f>IFERROR(IF($A6=FALSE,0,INDEX('RPS by State'!T:T,MATCH($C6,'RPS by State'!$B:$B,0))),0)</f>
        <v>0.43391341089403884</v>
      </c>
      <c r="J6" s="100">
        <f>IFERROR(IF($A6=FALSE,0,INDEX('RPS by State'!U:U,MATCH($C6,'RPS by State'!$B:$B,0))),0)</f>
        <v>0.45736818986128419</v>
      </c>
      <c r="K6" s="100">
        <f>IFERROR(IF($A6=FALSE,0,INDEX('RPS by State'!V:V,MATCH($C6,'RPS by State'!$B:$B,0))),0)</f>
        <v>0.48082296882852954</v>
      </c>
      <c r="L6" s="100">
        <f>IFERROR(IF($A6=FALSE,0,INDEX('RPS by State'!W:W,MATCH($C6,'RPS by State'!$B:$B,0))),0)</f>
        <v>0.50427774779577483</v>
      </c>
      <c r="M6" s="100">
        <f>IFERROR(IF($A6=FALSE,0,INDEX('RPS by State'!X:X,MATCH($C6,'RPS by State'!$B:$B,0))),0)</f>
        <v>0.52773252676302018</v>
      </c>
      <c r="N6" s="100">
        <f>IFERROR(IF($A6=FALSE,0,INDEX('RPS by State'!Y:Y,MATCH($C6,'RPS by State'!$B:$B,0))),0)</f>
        <v>0.58050577943932224</v>
      </c>
      <c r="O6" s="100">
        <f>IFERROR(IF($A6=FALSE,0,INDEX('RPS by State'!Z:Z,MATCH($C6,'RPS by State'!$B:$B,0))),0)</f>
        <v>0.63327903211562431</v>
      </c>
      <c r="P6" s="100">
        <f>IFERROR(IF($A6=FALSE,0,INDEX('RPS by State'!AA:AA,MATCH($C6,'RPS by State'!$B:$B,0))),0)</f>
        <v>0.68605228479192637</v>
      </c>
      <c r="Q6" s="100">
        <f>IFERROR(IF($A6=FALSE,0,INDEX('RPS by State'!AB:AB,MATCH($C6,'RPS by State'!$B:$B,0))),0)</f>
        <v>0.73882553746822843</v>
      </c>
      <c r="R6" s="100">
        <f>IFERROR(IF($A6=FALSE,0,INDEX('RPS by State'!AC:AC,MATCH($C6,'RPS by State'!$B:$B,0))),0)</f>
        <v>0.79159879014453038</v>
      </c>
      <c r="S6" s="100">
        <f>IFERROR(IF($A6=FALSE,0,INDEX('RPS by State'!AD:AD,MATCH($C6,'RPS by State'!$B:$B,0))),0)</f>
        <v>0.79892840857179459</v>
      </c>
      <c r="T6" s="100">
        <f>IFERROR(IF($A6=FALSE,0,INDEX('RPS by State'!AE:AE,MATCH($C6,'RPS by State'!$B:$B,0))),0)</f>
        <v>0.8062580269990588</v>
      </c>
      <c r="U6" s="100">
        <f>IFERROR(IF($A6=FALSE,0,INDEX('RPS by State'!AF:AF,MATCH($C6,'RPS by State'!$B:$B,0))),0)</f>
        <v>0.813587645426323</v>
      </c>
      <c r="V6" s="100">
        <f>IFERROR(IF($A6=FALSE,0,INDEX('RPS by State'!AG:AG,MATCH($C6,'RPS by State'!$B:$B,0))),0)</f>
        <v>0.82091726385358721</v>
      </c>
      <c r="W6" s="100">
        <f>IFERROR(IF($A6=FALSE,0,INDEX('RPS by State'!AH:AH,MATCH($C6,'RPS by State'!$B:$B,0))),0)</f>
        <v>0.8355765007081154</v>
      </c>
      <c r="X6" s="100">
        <f>IFERROR(IF($A6=FALSE,0,INDEX('RPS by State'!AI:AI,MATCH($C6,'RPS by State'!$B:$B,0))),0)</f>
        <v>0.84290611913537961</v>
      </c>
      <c r="Y6" s="100">
        <f>IFERROR(IF($A6=FALSE,0,INDEX('RPS by State'!AJ:AJ,MATCH($C6,'RPS by State'!$B:$B,0))),0)</f>
        <v>0.85023573756264381</v>
      </c>
      <c r="Z6" s="100">
        <f>IFERROR(IF($A6=FALSE,0,INDEX('RPS by State'!AK:AK,MATCH($C6,'RPS by State'!$B:$B,0))),0)</f>
        <v>0.85756535598990802</v>
      </c>
      <c r="AA6" s="100">
        <f>IFERROR(IF($A6=FALSE,0,INDEX('RPS by State'!AL:AL,MATCH($C6,'RPS by State'!$B:$B,0))),0)</f>
        <v>0.86489497441717222</v>
      </c>
      <c r="AB6" s="100">
        <f>IFERROR(IF($A6=FALSE,0,INDEX('RPS by State'!AM:AM,MATCH($C6,'RPS by State'!$B:$B,0))),0)</f>
        <v>0.87955421127170041</v>
      </c>
      <c r="AC6" s="100">
        <f>IFERROR(IF($A6=FALSE,0,INDEX('RPS by State'!AN:AN,MATCH($C6,'RPS by State'!$B:$B,0))),0)</f>
        <v>0.87955421127170041</v>
      </c>
      <c r="AD6" s="100">
        <f>IFERROR(IF($A6=FALSE,0,INDEX('RPS by State'!AO:AO,MATCH($C6,'RPS by State'!$B:$B,0))),0)</f>
        <v>0.87955421127170041</v>
      </c>
      <c r="AE6" s="100">
        <f>IFERROR(IF($A6=FALSE,0,INDEX('RPS by State'!AP:AP,MATCH($C6,'RPS by State'!$B:$B,0))),0)</f>
        <v>0.87955421127170041</v>
      </c>
      <c r="AF6" s="100">
        <f>IFERROR(IF($A6=FALSE,0,INDEX('RPS by State'!AQ:AQ,MATCH($C6,'RPS by State'!$B:$B,0))),0)</f>
        <v>0.87955421127170041</v>
      </c>
      <c r="AG6" s="100">
        <f>IFERROR(IF($A6=FALSE,0,INDEX('RPS by State'!AR:AR,MATCH($C6,'RPS by State'!$B:$B,0))),0)</f>
        <v>0.87955421127170041</v>
      </c>
      <c r="AH6" s="100">
        <f>IFERROR(IF($A6=FALSE,0,INDEX('RPS by State'!AS:AS,MATCH($C6,'RPS by State'!$B:$B,0))),0)</f>
        <v>0</v>
      </c>
      <c r="AI6" s="100">
        <f>IFERROR(IF($A6=FALSE,0,INDEX('RPS by State'!AT:AT,MATCH($C6,'RPS by State'!$B:$B,0))),0)</f>
        <v>0</v>
      </c>
      <c r="AJ6" s="100">
        <f>IFERROR(IF($A6=FALSE,0,INDEX('RPS by State'!AU:AU,MATCH($C6,'RPS by State'!$B:$B,0))),0)</f>
        <v>0</v>
      </c>
      <c r="AK6" s="100">
        <f>IFERROR(IF($A6=FALSE,0,INDEX('RPS by State'!AV:AV,MATCH($C6,'RPS by State'!$B:$B,0))),0)</f>
        <v>0</v>
      </c>
      <c r="AL6" s="100">
        <f>IFERROR(IF($A6=FALSE,0,INDEX('RPS by State'!AW:AW,MATCH($C6,'RPS by State'!$B:$B,0))),0)</f>
        <v>0</v>
      </c>
      <c r="AM6" s="100">
        <f>IFERROR(IF($A6=FALSE,0,INDEX('RPS by State'!AX:AX,MATCH($C6,'RPS by State'!$B:$B,0))),0)</f>
        <v>0</v>
      </c>
      <c r="AN6" s="100">
        <f>IFERROR(IF($A6=FALSE,0,INDEX('RPS by State'!AY:AY,MATCH($C6,'RPS by State'!$B:$B,0))),0)</f>
        <v>0</v>
      </c>
      <c r="AO6" s="100">
        <f>IFERROR(IF($A6=FALSE,0,INDEX('RPS by State'!AZ:AZ,MATCH($C6,'RPS by State'!$B:$B,0))),0)</f>
        <v>0</v>
      </c>
      <c r="AP6" s="100">
        <f>IFERROR(IF($A6=FALSE,0,INDEX('RPS by State'!BA:BA,MATCH($C6,'RPS by State'!$B:$B,0))),0)</f>
        <v>0</v>
      </c>
      <c r="AQ6" s="100">
        <f>IFERROR(IF($A6=FALSE,0,INDEX('RPS by State'!BB:BB,MATCH($C6,'RPS by State'!$B:$B,0))),0)</f>
        <v>0</v>
      </c>
      <c r="AR6" s="100">
        <f>IFERROR(IF($A6=FALSE,0,INDEX('RPS by State'!BC:BC,MATCH($C6,'RPS by State'!$B:$B,0))),0)</f>
        <v>0</v>
      </c>
      <c r="AS6" s="100">
        <f>IFERROR(IF($A6=FALSE,0,INDEX('RPS by State'!BD:BD,MATCH($C6,'RPS by State'!$B:$B,0))),0)</f>
        <v>0</v>
      </c>
      <c r="AT6" s="100">
        <f>IFERROR(IF($A6=FALSE,0,INDEX('RPS by State'!BE:BE,MATCH($C6,'RPS by State'!$B:$B,0))),0)</f>
        <v>0</v>
      </c>
      <c r="AU6" s="100">
        <f>IFERROR(IF($A6=FALSE,0,INDEX('RPS by State'!BF:BF,MATCH($C6,'RPS by State'!$B:$B,0))),0)</f>
        <v>0</v>
      </c>
      <c r="AV6" s="100">
        <f>IFERROR(IF($A6=FALSE,0,INDEX('RPS by State'!BG:BG,MATCH($C6,'RPS by State'!$B:$B,0))),0)</f>
        <v>0</v>
      </c>
      <c r="AW6" s="100">
        <f>IFERROR(IF($A6=FALSE,0,INDEX('RPS by State'!BH:BH,MATCH($C6,'RPS by State'!$B:$B,0))),0)</f>
        <v>0</v>
      </c>
      <c r="AX6" s="100">
        <f>IFERROR(IF($A6=FALSE,0,INDEX('RPS by State'!BI:BI,MATCH($C6,'RPS by State'!$B:$B,0))),0)</f>
        <v>0</v>
      </c>
      <c r="AY6" s="100">
        <f>IFERROR(IF($A6=FALSE,0,INDEX('RPS by State'!BJ:BJ,MATCH($C6,'RPS by State'!$B:$B,0))),0)</f>
        <v>0</v>
      </c>
      <c r="AZ6" s="100">
        <f>IFERROR(IF($A6=FALSE,0,INDEX('RPS by State'!BK:BK,MATCH($C6,'RPS by State'!$B:$B,0))),0)</f>
        <v>0</v>
      </c>
      <c r="BA6" s="100">
        <f>IFERROR(IF($A6=FALSE,0,INDEX('RPS by State'!BL:BL,MATCH($C6,'RPS by State'!$B:$B,0))),0)</f>
        <v>0</v>
      </c>
      <c r="BB6" s="100">
        <f>IFERROR(IF($A6=FALSE,0,INDEX('RPS by State'!BM:BM,MATCH($C6,'RPS by State'!$B:$B,0))),0)</f>
        <v>0</v>
      </c>
      <c r="BC6" s="100">
        <f>IFERROR(IF($A6=FALSE,0,INDEX('RPS by State'!BN:BN,MATCH($C6,'RPS by State'!$B:$B,0))),0)</f>
        <v>0</v>
      </c>
      <c r="BD6" s="100">
        <f>IFERROR(IF($A6=FALSE,0,INDEX('RPS by State'!BO:BO,MATCH($C6,'RPS by State'!$B:$B,0))),0)</f>
        <v>0</v>
      </c>
      <c r="BE6" s="100">
        <f>IFERROR(IF($A6=FALSE,0,INDEX('RPS by State'!BP:BP,MATCH($C6,'RPS by State'!$B:$B,0))),0)</f>
        <v>0</v>
      </c>
      <c r="BF6" s="100">
        <f>IFERROR(IF($A6=FALSE,0,INDEX('RPS by State'!BQ:BQ,MATCH($C6,'RPS by State'!$B:$B,0))),0)</f>
        <v>0</v>
      </c>
      <c r="BG6" s="100">
        <f>IFERROR(IF($A6=FALSE,0,INDEX('RPS by State'!BR:BR,MATCH($C6,'RPS by State'!$B:$B,0))),0)</f>
        <v>0</v>
      </c>
      <c r="BH6" s="100">
        <f>IFERROR(IF($A6=FALSE,0,INDEX('RPS by State'!BS:BS,MATCH($C6,'RPS by State'!$B:$B,0))),0)</f>
        <v>0</v>
      </c>
      <c r="BI6" s="100">
        <f>IFERROR(IF($A6=FALSE,0,INDEX('RPS by State'!BT:BT,MATCH($C6,'RPS by State'!$B:$B,0))),0)</f>
        <v>0</v>
      </c>
      <c r="BJ6" s="100">
        <f>IFERROR(IF($A6=FALSE,0,INDEX('RPS by State'!BU:BU,MATCH($C6,'RPS by State'!$B:$B,0))),0)</f>
        <v>0</v>
      </c>
      <c r="BK6" s="100">
        <f>IFERROR(IF($A6=FALSE,0,INDEX('RPS by State'!BV:BV,MATCH($C6,'RPS by State'!$B:$B,0))),0)</f>
        <v>0</v>
      </c>
      <c r="BL6" s="100">
        <f>IFERROR(IF($A6=FALSE,0,INDEX('RPS by State'!BW:BW,MATCH($C6,'RPS by State'!$B:$B,0))),0)</f>
        <v>0</v>
      </c>
      <c r="BM6" s="100">
        <f>IFERROR(IF($A6=FALSE,0,INDEX('RPS by State'!BX:BX,MATCH($C6,'RPS by State'!$B:$B,0))),0)</f>
        <v>0</v>
      </c>
      <c r="BN6" s="100">
        <f>IFERROR(IF($A6=FALSE,0,INDEX('RPS by State'!BY:BY,MATCH($C6,'RPS by State'!$B:$B,0))),0)</f>
        <v>0</v>
      </c>
      <c r="BO6" s="100">
        <f>IFERROR(IF($A6=FALSE,0,INDEX('RPS by State'!BZ:BZ,MATCH($C6,'RPS by State'!$B:$B,0))),0)</f>
        <v>0</v>
      </c>
      <c r="BP6" s="100">
        <f>IFERROR(IF($A6=FALSE,0,INDEX('RPS by State'!CA:CA,MATCH($C6,'RPS by State'!$B:$B,0))),0)</f>
        <v>0</v>
      </c>
      <c r="BQ6" s="100">
        <f>IFERROR(IF($A6=FALSE,0,INDEX('RPS by State'!CB:CB,MATCH($C6,'RPS by State'!$B:$B,0))),0)</f>
        <v>0</v>
      </c>
      <c r="BR6" s="100">
        <f>IFERROR(IF($A6=FALSE,0,INDEX('RPS by State'!CC:CC,MATCH($C6,'RPS by State'!$B:$B,0))),0)</f>
        <v>0</v>
      </c>
      <c r="BS6" s="100">
        <f>IFERROR(IF($A6=FALSE,0,INDEX('RPS by State'!CD:CD,MATCH($C6,'RPS by State'!$B:$B,0))),0)</f>
        <v>0</v>
      </c>
      <c r="BT6" s="100">
        <f>IFERROR(IF($A6=FALSE,0,INDEX('RPS by State'!CE:CE,MATCH($C6,'RPS by State'!$B:$B,0))),0)</f>
        <v>0</v>
      </c>
      <c r="BU6" s="100">
        <f>IFERROR(IF($A6=FALSE,0,INDEX('RPS by State'!CF:CF,MATCH($C6,'RPS by State'!$B:$B,0))),0)</f>
        <v>0</v>
      </c>
      <c r="BV6" s="100">
        <f>IFERROR(IF($A6=FALSE,0,INDEX('RPS by State'!CG:CG,MATCH($C6,'RPS by State'!$B:$B,0))),0)</f>
        <v>0</v>
      </c>
      <c r="BW6" s="100">
        <f>IFERROR(IF($A6=FALSE,0,INDEX('RPS by State'!CH:CH,MATCH($C6,'RPS by State'!$B:$B,0))),0)</f>
        <v>0</v>
      </c>
      <c r="BX6" s="100">
        <f>IFERROR(IF($A6=FALSE,0,INDEX('RPS by State'!CI:CI,MATCH($C6,'RPS by State'!$B:$B,0))),0)</f>
        <v>0</v>
      </c>
      <c r="BY6" s="100">
        <f>IFERROR(IF($A6=FALSE,0,INDEX('RPS by State'!CJ:CJ,MATCH($C6,'RPS by State'!$B:$B,0))),0)</f>
        <v>0</v>
      </c>
      <c r="BZ6" s="100">
        <f>IFERROR(IF($A6=FALSE,0,INDEX('RPS by State'!CK:CK,MATCH($C6,'RPS by State'!$B:$B,0))),0)</f>
        <v>0</v>
      </c>
      <c r="CA6" s="100">
        <f>IFERROR(IF($A6=FALSE,0,INDEX('RPS by State'!CL:CL,MATCH($C6,'RPS by State'!$B:$B,0))),0)</f>
        <v>0</v>
      </c>
      <c r="CB6" s="100">
        <f>IFERROR(IF($A6=FALSE,0,INDEX('RPS by State'!CM:CM,MATCH($C6,'RPS by State'!$B:$B,0))),0)</f>
        <v>0</v>
      </c>
      <c r="CC6" s="100">
        <f>IFERROR(IF($A6=FALSE,0,INDEX('RPS by State'!CN:CN,MATCH($C6,'RPS by State'!$B:$B,0))),0)</f>
        <v>0</v>
      </c>
      <c r="CD6" s="100">
        <f>IFERROR(IF($A6=FALSE,0,INDEX('RPS by State'!CO:CO,MATCH($C6,'RPS by State'!$B:$B,0))),0)</f>
        <v>0</v>
      </c>
      <c r="CE6" s="100">
        <f>IFERROR(IF($A6=FALSE,0,INDEX('RPS by State'!CP:CP,MATCH($C6,'RPS by State'!$B:$B,0))),0)</f>
        <v>0</v>
      </c>
    </row>
    <row r="7" spans="1:83" x14ac:dyDescent="0.25">
      <c r="A7" t="b">
        <f>IFERROR(INDEX('RPS by State'!G:G,MATCH(B7,'RPS by State'!A:A,0)),0)</f>
        <v>1</v>
      </c>
      <c r="B7" s="120" t="s">
        <v>1</v>
      </c>
      <c r="C7" s="120" t="str">
        <f>IFERROR(INDEX(About!L:L,MATCH(B7,About!K:K,0)),0)</f>
        <v>CO</v>
      </c>
      <c r="D7" s="100">
        <f>IFERROR(IF($A7=FALSE,0,INDEX('RPS by State'!O:O,MATCH($C7,'RPS by State'!$B:$B,0))),0)</f>
        <v>0.24459804811642005</v>
      </c>
      <c r="E7" s="100">
        <f>IFERROR(IF($A7=FALSE,0,INDEX('RPS by State'!P:P,MATCH($C7,'RPS by State'!$B:$B,0))),0)</f>
        <v>0.25422319288938283</v>
      </c>
      <c r="F7" s="100">
        <f>IFERROR(IF($A7=FALSE,0,INDEX('RPS by State'!Q:Q,MATCH($C7,'RPS by State'!$B:$B,0))),0)</f>
        <v>0.26384833766234561</v>
      </c>
      <c r="G7" s="100">
        <f>IFERROR(IF($A7=FALSE,0,INDEX('RPS by State'!R:R,MATCH($C7,'RPS by State'!$B:$B,0))),0)</f>
        <v>0.27347348243530839</v>
      </c>
      <c r="H7" s="100">
        <f>IFERROR(IF($A7=FALSE,0,INDEX('RPS by State'!S:S,MATCH($C7,'RPS by State'!$B:$B,0))),0)</f>
        <v>0.28309862720827117</v>
      </c>
      <c r="I7" s="100">
        <f>IFERROR(IF($A7=FALSE,0,INDEX('RPS by State'!T:T,MATCH($C7,'RPS by State'!$B:$B,0))),0)</f>
        <v>0.29272377198123395</v>
      </c>
      <c r="J7" s="100">
        <f>IFERROR(IF($A7=FALSE,0,INDEX('RPS by State'!U:U,MATCH($C7,'RPS by State'!$B:$B,0))),0)</f>
        <v>0.30234891675419673</v>
      </c>
      <c r="K7" s="100">
        <f>IFERROR(IF($A7=FALSE,0,INDEX('RPS by State'!V:V,MATCH($C7,'RPS by State'!$B:$B,0))),0)</f>
        <v>0.31197406152715951</v>
      </c>
      <c r="L7" s="100">
        <f>IFERROR(IF($A7=FALSE,0,INDEX('RPS by State'!W:W,MATCH($C7,'RPS by State'!$B:$B,0))),0)</f>
        <v>0.32159920630012229</v>
      </c>
      <c r="M7" s="100">
        <f>IFERROR(IF($A7=FALSE,0,INDEX('RPS by State'!X:X,MATCH($C7,'RPS by State'!$B:$B,0))),0)</f>
        <v>0.33122435107308507</v>
      </c>
      <c r="N7" s="100">
        <f>IFERROR(IF($A7=FALSE,0,INDEX('RPS by State'!Y:Y,MATCH($C7,'RPS by State'!$B:$B,0))),0)</f>
        <v>0.34084949584604785</v>
      </c>
      <c r="O7" s="100">
        <f>IFERROR(IF($A7=FALSE,0,INDEX('RPS by State'!Z:Z,MATCH($C7,'RPS by State'!$B:$B,0))),0)</f>
        <v>0.35047464061901062</v>
      </c>
      <c r="P7" s="100">
        <f>IFERROR(IF($A7=FALSE,0,INDEX('RPS by State'!AA:AA,MATCH($C7,'RPS by State'!$B:$B,0))),0)</f>
        <v>0.3600997853919734</v>
      </c>
      <c r="Q7" s="100">
        <f>IFERROR(IF($A7=FALSE,0,INDEX('RPS by State'!AB:AB,MATCH($C7,'RPS by State'!$B:$B,0))),0)</f>
        <v>0.36972493016493618</v>
      </c>
      <c r="R7" s="100">
        <f>IFERROR(IF($A7=FALSE,0,INDEX('RPS by State'!AC:AC,MATCH($C7,'RPS by State'!$B:$B,0))),0)</f>
        <v>0.37935007493789896</v>
      </c>
      <c r="S7" s="100">
        <f>IFERROR(IF($A7=FALSE,0,INDEX('RPS by State'!AD:AD,MATCH($C7,'RPS by State'!$B:$B,0))),0)</f>
        <v>0.38897521971086174</v>
      </c>
      <c r="T7" s="100">
        <f>IFERROR(IF($A7=FALSE,0,INDEX('RPS by State'!AE:AE,MATCH($C7,'RPS by State'!$B:$B,0))),0)</f>
        <v>0.39860036448382452</v>
      </c>
      <c r="U7" s="100">
        <f>IFERROR(IF($A7=FALSE,0,INDEX('RPS by State'!AF:AF,MATCH($C7,'RPS by State'!$B:$B,0))),0)</f>
        <v>0.4082255092567873</v>
      </c>
      <c r="V7" s="100">
        <f>IFERROR(IF($A7=FALSE,0,INDEX('RPS by State'!AG:AG,MATCH($C7,'RPS by State'!$B:$B,0))),0)</f>
        <v>0.41785065402975008</v>
      </c>
      <c r="W7" s="100">
        <f>IFERROR(IF($A7=FALSE,0,INDEX('RPS by State'!AH:AH,MATCH($C7,'RPS by State'!$B:$B,0))),0)</f>
        <v>0.42747579880271286</v>
      </c>
      <c r="X7" s="100">
        <f>IFERROR(IF($A7=FALSE,0,INDEX('RPS by State'!AI:AI,MATCH($C7,'RPS by State'!$B:$B,0))),0)</f>
        <v>0.43710094357567564</v>
      </c>
      <c r="Y7" s="100">
        <f>IFERROR(IF($A7=FALSE,0,INDEX('RPS by State'!AJ:AJ,MATCH($C7,'RPS by State'!$B:$B,0))),0)</f>
        <v>0.44672608834863842</v>
      </c>
      <c r="Z7" s="100">
        <f>IFERROR(IF($A7=FALSE,0,INDEX('RPS by State'!AK:AK,MATCH($C7,'RPS by State'!$B:$B,0))),0)</f>
        <v>0.4563512331216012</v>
      </c>
      <c r="AA7" s="100">
        <f>IFERROR(IF($A7=FALSE,0,INDEX('RPS by State'!AL:AL,MATCH($C7,'RPS by State'!$B:$B,0))),0)</f>
        <v>0.46597637789456398</v>
      </c>
      <c r="AB7" s="100">
        <f>IFERROR(IF($A7=FALSE,0,INDEX('RPS by State'!AM:AM,MATCH($C7,'RPS by State'!$B:$B,0))),0)</f>
        <v>0.47560152266752675</v>
      </c>
      <c r="AC7" s="100">
        <f>IFERROR(IF($A7=FALSE,0,INDEX('RPS by State'!AN:AN,MATCH($C7,'RPS by State'!$B:$B,0))),0)</f>
        <v>0.48522666744048953</v>
      </c>
      <c r="AD7" s="100">
        <f>IFERROR(IF($A7=FALSE,0,INDEX('RPS by State'!AO:AO,MATCH($C7,'RPS by State'!$B:$B,0))),0)</f>
        <v>0.49485181221345231</v>
      </c>
      <c r="AE7" s="100">
        <f>IFERROR(IF($A7=FALSE,0,INDEX('RPS by State'!AP:AP,MATCH($C7,'RPS by State'!$B:$B,0))),0)</f>
        <v>0.50447695698641504</v>
      </c>
      <c r="AF7" s="100">
        <f>IFERROR(IF($A7=FALSE,0,INDEX('RPS by State'!AQ:AQ,MATCH($C7,'RPS by State'!$B:$B,0))),0)</f>
        <v>0.51410210175937776</v>
      </c>
      <c r="AG7" s="100">
        <f>IFERROR(IF($A7=FALSE,0,INDEX('RPS by State'!AR:AR,MATCH($C7,'RPS by State'!$B:$B,0))),0)</f>
        <v>0.52372724653233993</v>
      </c>
      <c r="AH7" s="100">
        <f>IFERROR(IF($A7=FALSE,0,INDEX('RPS by State'!AS:AS,MATCH($C7,'RPS by State'!$B:$B,0))),0)</f>
        <v>0</v>
      </c>
      <c r="AI7" s="100">
        <f>IFERROR(IF($A7=FALSE,0,INDEX('RPS by State'!AT:AT,MATCH($C7,'RPS by State'!$B:$B,0))),0)</f>
        <v>0</v>
      </c>
      <c r="AJ7" s="100">
        <f>IFERROR(IF($A7=FALSE,0,INDEX('RPS by State'!AU:AU,MATCH($C7,'RPS by State'!$B:$B,0))),0)</f>
        <v>0</v>
      </c>
      <c r="AK7" s="100">
        <f>IFERROR(IF($A7=FALSE,0,INDEX('RPS by State'!AV:AV,MATCH($C7,'RPS by State'!$B:$B,0))),0)</f>
        <v>0</v>
      </c>
      <c r="AL7" s="100">
        <f>IFERROR(IF($A7=FALSE,0,INDEX('RPS by State'!AW:AW,MATCH($C7,'RPS by State'!$B:$B,0))),0)</f>
        <v>0</v>
      </c>
      <c r="AM7" s="100">
        <f>IFERROR(IF($A7=FALSE,0,INDEX('RPS by State'!AX:AX,MATCH($C7,'RPS by State'!$B:$B,0))),0)</f>
        <v>0</v>
      </c>
      <c r="AN7" s="100">
        <f>IFERROR(IF($A7=FALSE,0,INDEX('RPS by State'!AY:AY,MATCH($C7,'RPS by State'!$B:$B,0))),0)</f>
        <v>0</v>
      </c>
      <c r="AO7" s="100">
        <f>IFERROR(IF($A7=FALSE,0,INDEX('RPS by State'!AZ:AZ,MATCH($C7,'RPS by State'!$B:$B,0))),0)</f>
        <v>0</v>
      </c>
      <c r="AP7" s="100">
        <f>IFERROR(IF($A7=FALSE,0,INDEX('RPS by State'!BA:BA,MATCH($C7,'RPS by State'!$B:$B,0))),0)</f>
        <v>0</v>
      </c>
      <c r="AQ7" s="100">
        <f>IFERROR(IF($A7=FALSE,0,INDEX('RPS by State'!BB:BB,MATCH($C7,'RPS by State'!$B:$B,0))),0)</f>
        <v>0</v>
      </c>
      <c r="AR7" s="100">
        <f>IFERROR(IF($A7=FALSE,0,INDEX('RPS by State'!BC:BC,MATCH($C7,'RPS by State'!$B:$B,0))),0)</f>
        <v>0</v>
      </c>
      <c r="AS7" s="100">
        <f>IFERROR(IF($A7=FALSE,0,INDEX('RPS by State'!BD:BD,MATCH($C7,'RPS by State'!$B:$B,0))),0)</f>
        <v>0</v>
      </c>
      <c r="AT7" s="100">
        <f>IFERROR(IF($A7=FALSE,0,INDEX('RPS by State'!BE:BE,MATCH($C7,'RPS by State'!$B:$B,0))),0)</f>
        <v>0</v>
      </c>
      <c r="AU7" s="100">
        <f>IFERROR(IF($A7=FALSE,0,INDEX('RPS by State'!BF:BF,MATCH($C7,'RPS by State'!$B:$B,0))),0)</f>
        <v>0</v>
      </c>
      <c r="AV7" s="100">
        <f>IFERROR(IF($A7=FALSE,0,INDEX('RPS by State'!BG:BG,MATCH($C7,'RPS by State'!$B:$B,0))),0)</f>
        <v>0</v>
      </c>
      <c r="AW7" s="100">
        <f>IFERROR(IF($A7=FALSE,0,INDEX('RPS by State'!BH:BH,MATCH($C7,'RPS by State'!$B:$B,0))),0)</f>
        <v>0</v>
      </c>
      <c r="AX7" s="100">
        <f>IFERROR(IF($A7=FALSE,0,INDEX('RPS by State'!BI:BI,MATCH($C7,'RPS by State'!$B:$B,0))),0)</f>
        <v>0</v>
      </c>
      <c r="AY7" s="100">
        <f>IFERROR(IF($A7=FALSE,0,INDEX('RPS by State'!BJ:BJ,MATCH($C7,'RPS by State'!$B:$B,0))),0)</f>
        <v>0</v>
      </c>
      <c r="AZ7" s="100">
        <f>IFERROR(IF($A7=FALSE,0,INDEX('RPS by State'!BK:BK,MATCH($C7,'RPS by State'!$B:$B,0))),0)</f>
        <v>0</v>
      </c>
      <c r="BA7" s="100">
        <f>IFERROR(IF($A7=FALSE,0,INDEX('RPS by State'!BL:BL,MATCH($C7,'RPS by State'!$B:$B,0))),0)</f>
        <v>0</v>
      </c>
      <c r="BB7" s="100">
        <f>IFERROR(IF($A7=FALSE,0,INDEX('RPS by State'!BM:BM,MATCH($C7,'RPS by State'!$B:$B,0))),0)</f>
        <v>0</v>
      </c>
      <c r="BC7" s="100">
        <f>IFERROR(IF($A7=FALSE,0,INDEX('RPS by State'!BN:BN,MATCH($C7,'RPS by State'!$B:$B,0))),0)</f>
        <v>0</v>
      </c>
      <c r="BD7" s="100">
        <f>IFERROR(IF($A7=FALSE,0,INDEX('RPS by State'!BO:BO,MATCH($C7,'RPS by State'!$B:$B,0))),0)</f>
        <v>0</v>
      </c>
      <c r="BE7" s="100">
        <f>IFERROR(IF($A7=FALSE,0,INDEX('RPS by State'!BP:BP,MATCH($C7,'RPS by State'!$B:$B,0))),0)</f>
        <v>0</v>
      </c>
      <c r="BF7" s="100">
        <f>IFERROR(IF($A7=FALSE,0,INDEX('RPS by State'!BQ:BQ,MATCH($C7,'RPS by State'!$B:$B,0))),0)</f>
        <v>0</v>
      </c>
      <c r="BG7" s="100">
        <f>IFERROR(IF($A7=FALSE,0,INDEX('RPS by State'!BR:BR,MATCH($C7,'RPS by State'!$B:$B,0))),0)</f>
        <v>0</v>
      </c>
      <c r="BH7" s="100">
        <f>IFERROR(IF($A7=FALSE,0,INDEX('RPS by State'!BS:BS,MATCH($C7,'RPS by State'!$B:$B,0))),0)</f>
        <v>0</v>
      </c>
      <c r="BI7" s="100">
        <f>IFERROR(IF($A7=FALSE,0,INDEX('RPS by State'!BT:BT,MATCH($C7,'RPS by State'!$B:$B,0))),0)</f>
        <v>0</v>
      </c>
      <c r="BJ7" s="100">
        <f>IFERROR(IF($A7=FALSE,0,INDEX('RPS by State'!BU:BU,MATCH($C7,'RPS by State'!$B:$B,0))),0)</f>
        <v>0</v>
      </c>
      <c r="BK7" s="100">
        <f>IFERROR(IF($A7=FALSE,0,INDEX('RPS by State'!BV:BV,MATCH($C7,'RPS by State'!$B:$B,0))),0)</f>
        <v>0</v>
      </c>
      <c r="BL7" s="100">
        <f>IFERROR(IF($A7=FALSE,0,INDEX('RPS by State'!BW:BW,MATCH($C7,'RPS by State'!$B:$B,0))),0)</f>
        <v>0</v>
      </c>
      <c r="BM7" s="100">
        <f>IFERROR(IF($A7=FALSE,0,INDEX('RPS by State'!BX:BX,MATCH($C7,'RPS by State'!$B:$B,0))),0)</f>
        <v>0</v>
      </c>
      <c r="BN7" s="100">
        <f>IFERROR(IF($A7=FALSE,0,INDEX('RPS by State'!BY:BY,MATCH($C7,'RPS by State'!$B:$B,0))),0)</f>
        <v>0</v>
      </c>
      <c r="BO7" s="100">
        <f>IFERROR(IF($A7=FALSE,0,INDEX('RPS by State'!BZ:BZ,MATCH($C7,'RPS by State'!$B:$B,0))),0)</f>
        <v>0</v>
      </c>
      <c r="BP7" s="100">
        <f>IFERROR(IF($A7=FALSE,0,INDEX('RPS by State'!CA:CA,MATCH($C7,'RPS by State'!$B:$B,0))),0)</f>
        <v>0</v>
      </c>
      <c r="BQ7" s="100">
        <f>IFERROR(IF($A7=FALSE,0,INDEX('RPS by State'!CB:CB,MATCH($C7,'RPS by State'!$B:$B,0))),0)</f>
        <v>0</v>
      </c>
      <c r="BR7" s="100">
        <f>IFERROR(IF($A7=FALSE,0,INDEX('RPS by State'!CC:CC,MATCH($C7,'RPS by State'!$B:$B,0))),0)</f>
        <v>0</v>
      </c>
      <c r="BS7" s="100">
        <f>IFERROR(IF($A7=FALSE,0,INDEX('RPS by State'!CD:CD,MATCH($C7,'RPS by State'!$B:$B,0))),0)</f>
        <v>0</v>
      </c>
      <c r="BT7" s="100">
        <f>IFERROR(IF($A7=FALSE,0,INDEX('RPS by State'!CE:CE,MATCH($C7,'RPS by State'!$B:$B,0))),0)</f>
        <v>0</v>
      </c>
      <c r="BU7" s="100">
        <f>IFERROR(IF($A7=FALSE,0,INDEX('RPS by State'!CF:CF,MATCH($C7,'RPS by State'!$B:$B,0))),0)</f>
        <v>0</v>
      </c>
      <c r="BV7" s="100">
        <f>IFERROR(IF($A7=FALSE,0,INDEX('RPS by State'!CG:CG,MATCH($C7,'RPS by State'!$B:$B,0))),0)</f>
        <v>0</v>
      </c>
      <c r="BW7" s="100">
        <f>IFERROR(IF($A7=FALSE,0,INDEX('RPS by State'!CH:CH,MATCH($C7,'RPS by State'!$B:$B,0))),0)</f>
        <v>0</v>
      </c>
      <c r="BX7" s="100">
        <f>IFERROR(IF($A7=FALSE,0,INDEX('RPS by State'!CI:CI,MATCH($C7,'RPS by State'!$B:$B,0))),0)</f>
        <v>0</v>
      </c>
      <c r="BY7" s="100">
        <f>IFERROR(IF($A7=FALSE,0,INDEX('RPS by State'!CJ:CJ,MATCH($C7,'RPS by State'!$B:$B,0))),0)</f>
        <v>0</v>
      </c>
      <c r="BZ7" s="100">
        <f>IFERROR(IF($A7=FALSE,0,INDEX('RPS by State'!CK:CK,MATCH($C7,'RPS by State'!$B:$B,0))),0)</f>
        <v>0</v>
      </c>
      <c r="CA7" s="100">
        <f>IFERROR(IF($A7=FALSE,0,INDEX('RPS by State'!CL:CL,MATCH($C7,'RPS by State'!$B:$B,0))),0)</f>
        <v>0</v>
      </c>
      <c r="CB7" s="100">
        <f>IFERROR(IF($A7=FALSE,0,INDEX('RPS by State'!CM:CM,MATCH($C7,'RPS by State'!$B:$B,0))),0)</f>
        <v>0</v>
      </c>
      <c r="CC7" s="100">
        <f>IFERROR(IF($A7=FALSE,0,INDEX('RPS by State'!CN:CN,MATCH($C7,'RPS by State'!$B:$B,0))),0)</f>
        <v>0</v>
      </c>
      <c r="CD7" s="100">
        <f>IFERROR(IF($A7=FALSE,0,INDEX('RPS by State'!CO:CO,MATCH($C7,'RPS by State'!$B:$B,0))),0)</f>
        <v>0</v>
      </c>
      <c r="CE7" s="100">
        <f>IFERROR(IF($A7=FALSE,0,INDEX('RPS by State'!CP:CP,MATCH($C7,'RPS by State'!$B:$B,0))),0)</f>
        <v>0</v>
      </c>
    </row>
    <row r="8" spans="1:83" x14ac:dyDescent="0.25">
      <c r="A8" t="b">
        <f>IFERROR(INDEX('RPS by State'!G:G,MATCH(B8,'RPS by State'!A:A,0)),0)</f>
        <v>1</v>
      </c>
      <c r="B8" s="120" t="s">
        <v>18</v>
      </c>
      <c r="C8" s="120" t="str">
        <f>IFERROR(INDEX(About!L:L,MATCH(B8,About!K:K,0)),0)</f>
        <v>CT</v>
      </c>
      <c r="D8" s="100">
        <f>IFERROR(IF($A8=FALSE,0,INDEX('RPS by State'!O:O,MATCH($C8,'RPS by State'!$B:$B,0))),0)</f>
        <v>0.30499999999999999</v>
      </c>
      <c r="E8" s="100">
        <f>IFERROR(IF($A8=FALSE,0,INDEX('RPS by State'!P:P,MATCH($C8,'RPS by State'!$B:$B,0))),0)</f>
        <v>0.32</v>
      </c>
      <c r="F8" s="100">
        <f>IFERROR(IF($A8=FALSE,0,INDEX('RPS by State'!Q:Q,MATCH($C8,'RPS by State'!$B:$B,0))),0)</f>
        <v>0.34</v>
      </c>
      <c r="G8" s="100">
        <f>IFERROR(IF($A8=FALSE,0,INDEX('RPS by State'!R:R,MATCH($C8,'RPS by State'!$B:$B,0))),0)</f>
        <v>0.36</v>
      </c>
      <c r="H8" s="100">
        <f>IFERROR(IF($A8=FALSE,0,INDEX('RPS by State'!S:S,MATCH($C8,'RPS by State'!$B:$B,0))),0)</f>
        <v>0.38</v>
      </c>
      <c r="I8" s="100">
        <f>IFERROR(IF($A8=FALSE,0,INDEX('RPS by State'!T:T,MATCH($C8,'RPS by State'!$B:$B,0))),0)</f>
        <v>0.4</v>
      </c>
      <c r="J8" s="100">
        <f>IFERROR(IF($A8=FALSE,0,INDEX('RPS by State'!U:U,MATCH($C8,'RPS by State'!$B:$B,0))),0)</f>
        <v>0.42000000000000004</v>
      </c>
      <c r="K8" s="100">
        <f>IFERROR(IF($A8=FALSE,0,INDEX('RPS by State'!V:V,MATCH($C8,'RPS by State'!$B:$B,0))),0)</f>
        <v>0.44000000000000006</v>
      </c>
      <c r="L8" s="100">
        <f>IFERROR(IF($A8=FALSE,0,INDEX('RPS by State'!W:W,MATCH($C8,'RPS by State'!$B:$B,0))),0)</f>
        <v>0.46000000000000008</v>
      </c>
      <c r="M8" s="100">
        <f>IFERROR(IF($A8=FALSE,0,INDEX('RPS by State'!X:X,MATCH($C8,'RPS by State'!$B:$B,0))),0)</f>
        <v>0.48</v>
      </c>
      <c r="N8" s="100">
        <f>IFERROR(IF($A8=FALSE,0,INDEX('RPS by State'!Y:Y,MATCH($C8,'RPS by State'!$B:$B,0))),0)</f>
        <v>0.28999999999999998</v>
      </c>
      <c r="O8" s="100">
        <f>IFERROR(IF($A8=FALSE,0,INDEX('RPS by State'!Z:Z,MATCH($C8,'RPS by State'!$B:$B,0))),0)</f>
        <v>0.28999999999999998</v>
      </c>
      <c r="P8" s="100">
        <f>IFERROR(IF($A8=FALSE,0,INDEX('RPS by State'!AA:AA,MATCH($C8,'RPS by State'!$B:$B,0))),0)</f>
        <v>0.28999999999999998</v>
      </c>
      <c r="Q8" s="100">
        <f>IFERROR(IF($A8=FALSE,0,INDEX('RPS by State'!AB:AB,MATCH($C8,'RPS by State'!$B:$B,0))),0)</f>
        <v>0.28999999999999998</v>
      </c>
      <c r="R8" s="100">
        <f>IFERROR(IF($A8=FALSE,0,INDEX('RPS by State'!AC:AC,MATCH($C8,'RPS by State'!$B:$B,0))),0)</f>
        <v>0.28999999999999998</v>
      </c>
      <c r="S8" s="100">
        <f>IFERROR(IF($A8=FALSE,0,INDEX('RPS by State'!AD:AD,MATCH($C8,'RPS by State'!$B:$B,0))),0)</f>
        <v>0.28999999999999998</v>
      </c>
      <c r="T8" s="100">
        <f>IFERROR(IF($A8=FALSE,0,INDEX('RPS by State'!AE:AE,MATCH($C8,'RPS by State'!$B:$B,0))),0)</f>
        <v>0.28999999999999998</v>
      </c>
      <c r="U8" s="100">
        <f>IFERROR(IF($A8=FALSE,0,INDEX('RPS by State'!AF:AF,MATCH($C8,'RPS by State'!$B:$B,0))),0)</f>
        <v>0.28999999999999998</v>
      </c>
      <c r="V8" s="100">
        <f>IFERROR(IF($A8=FALSE,0,INDEX('RPS by State'!AG:AG,MATCH($C8,'RPS by State'!$B:$B,0))),0)</f>
        <v>0.28999999999999998</v>
      </c>
      <c r="W8" s="100">
        <f>IFERROR(IF($A8=FALSE,0,INDEX('RPS by State'!AH:AH,MATCH($C8,'RPS by State'!$B:$B,0))),0)</f>
        <v>0.28999999999999998</v>
      </c>
      <c r="X8" s="100">
        <f>IFERROR(IF($A8=FALSE,0,INDEX('RPS by State'!AI:AI,MATCH($C8,'RPS by State'!$B:$B,0))),0)</f>
        <v>0.28999999999999998</v>
      </c>
      <c r="Y8" s="100">
        <f>IFERROR(IF($A8=FALSE,0,INDEX('RPS by State'!AJ:AJ,MATCH($C8,'RPS by State'!$B:$B,0))),0)</f>
        <v>0.28999999999999998</v>
      </c>
      <c r="Z8" s="100">
        <f>IFERROR(IF($A8=FALSE,0,INDEX('RPS by State'!AK:AK,MATCH($C8,'RPS by State'!$B:$B,0))),0)</f>
        <v>0.28999999999999998</v>
      </c>
      <c r="AA8" s="100">
        <f>IFERROR(IF($A8=FALSE,0,INDEX('RPS by State'!AL:AL,MATCH($C8,'RPS by State'!$B:$B,0))),0)</f>
        <v>0.28999999999999998</v>
      </c>
      <c r="AB8" s="100">
        <f>IFERROR(IF($A8=FALSE,0,INDEX('RPS by State'!AM:AM,MATCH($C8,'RPS by State'!$B:$B,0))),0)</f>
        <v>0.28999999999999998</v>
      </c>
      <c r="AC8" s="100">
        <f>IFERROR(IF($A8=FALSE,0,INDEX('RPS by State'!AN:AN,MATCH($C8,'RPS by State'!$B:$B,0))),0)</f>
        <v>0.28999999999999998</v>
      </c>
      <c r="AD8" s="100">
        <f>IFERROR(IF($A8=FALSE,0,INDEX('RPS by State'!AO:AO,MATCH($C8,'RPS by State'!$B:$B,0))),0)</f>
        <v>0.28999999999999998</v>
      </c>
      <c r="AE8" s="100">
        <f>IFERROR(IF($A8=FALSE,0,INDEX('RPS by State'!AP:AP,MATCH($C8,'RPS by State'!$B:$B,0))),0)</f>
        <v>0.28999999999999998</v>
      </c>
      <c r="AF8" s="100">
        <f>IFERROR(IF($A8=FALSE,0,INDEX('RPS by State'!AQ:AQ,MATCH($C8,'RPS by State'!$B:$B,0))),0)</f>
        <v>0.28999999999999998</v>
      </c>
      <c r="AG8" s="100">
        <f>IFERROR(IF($A8=FALSE,0,INDEX('RPS by State'!AR:AR,MATCH($C8,'RPS by State'!$B:$B,0))),0)</f>
        <v>0.28999999999999998</v>
      </c>
      <c r="AH8" s="100">
        <f>IFERROR(IF($A8=FALSE,0,INDEX('RPS by State'!AS:AS,MATCH($C8,'RPS by State'!$B:$B,0))),0)</f>
        <v>0</v>
      </c>
      <c r="AI8" s="100">
        <f>IFERROR(IF($A8=FALSE,0,INDEX('RPS by State'!AT:AT,MATCH($C8,'RPS by State'!$B:$B,0))),0)</f>
        <v>0</v>
      </c>
      <c r="AJ8" s="100">
        <f>IFERROR(IF($A8=FALSE,0,INDEX('RPS by State'!AU:AU,MATCH($C8,'RPS by State'!$B:$B,0))),0)</f>
        <v>0</v>
      </c>
      <c r="AK8" s="100">
        <f>IFERROR(IF($A8=FALSE,0,INDEX('RPS by State'!AV:AV,MATCH($C8,'RPS by State'!$B:$B,0))),0)</f>
        <v>0</v>
      </c>
      <c r="AL8" s="100">
        <f>IFERROR(IF($A8=FALSE,0,INDEX('RPS by State'!AW:AW,MATCH($C8,'RPS by State'!$B:$B,0))),0)</f>
        <v>0</v>
      </c>
      <c r="AM8" s="100">
        <f>IFERROR(IF($A8=FALSE,0,INDEX('RPS by State'!AX:AX,MATCH($C8,'RPS by State'!$B:$B,0))),0)</f>
        <v>0</v>
      </c>
      <c r="AN8" s="100">
        <f>IFERROR(IF($A8=FALSE,0,INDEX('RPS by State'!AY:AY,MATCH($C8,'RPS by State'!$B:$B,0))),0)</f>
        <v>0</v>
      </c>
      <c r="AO8" s="100">
        <f>IFERROR(IF($A8=FALSE,0,INDEX('RPS by State'!AZ:AZ,MATCH($C8,'RPS by State'!$B:$B,0))),0)</f>
        <v>0</v>
      </c>
      <c r="AP8" s="100">
        <f>IFERROR(IF($A8=FALSE,0,INDEX('RPS by State'!BA:BA,MATCH($C8,'RPS by State'!$B:$B,0))),0)</f>
        <v>0</v>
      </c>
      <c r="AQ8" s="100">
        <f>IFERROR(IF($A8=FALSE,0,INDEX('RPS by State'!BB:BB,MATCH($C8,'RPS by State'!$B:$B,0))),0)</f>
        <v>0</v>
      </c>
      <c r="AR8" s="100">
        <f>IFERROR(IF($A8=FALSE,0,INDEX('RPS by State'!BC:BC,MATCH($C8,'RPS by State'!$B:$B,0))),0)</f>
        <v>0</v>
      </c>
      <c r="AS8" s="100">
        <f>IFERROR(IF($A8=FALSE,0,INDEX('RPS by State'!BD:BD,MATCH($C8,'RPS by State'!$B:$B,0))),0)</f>
        <v>0</v>
      </c>
      <c r="AT8" s="100">
        <f>IFERROR(IF($A8=FALSE,0,INDEX('RPS by State'!BE:BE,MATCH($C8,'RPS by State'!$B:$B,0))),0)</f>
        <v>0</v>
      </c>
      <c r="AU8" s="100">
        <f>IFERROR(IF($A8=FALSE,0,INDEX('RPS by State'!BF:BF,MATCH($C8,'RPS by State'!$B:$B,0))),0)</f>
        <v>0</v>
      </c>
      <c r="AV8" s="100">
        <f>IFERROR(IF($A8=FALSE,0,INDEX('RPS by State'!BG:BG,MATCH($C8,'RPS by State'!$B:$B,0))),0)</f>
        <v>0</v>
      </c>
      <c r="AW8" s="100">
        <f>IFERROR(IF($A8=FALSE,0,INDEX('RPS by State'!BH:BH,MATCH($C8,'RPS by State'!$B:$B,0))),0)</f>
        <v>0</v>
      </c>
      <c r="AX8" s="100">
        <f>IFERROR(IF($A8=FALSE,0,INDEX('RPS by State'!BI:BI,MATCH($C8,'RPS by State'!$B:$B,0))),0)</f>
        <v>0</v>
      </c>
      <c r="AY8" s="100">
        <f>IFERROR(IF($A8=FALSE,0,INDEX('RPS by State'!BJ:BJ,MATCH($C8,'RPS by State'!$B:$B,0))),0)</f>
        <v>0</v>
      </c>
      <c r="AZ8" s="100">
        <f>IFERROR(IF($A8=FALSE,0,INDEX('RPS by State'!BK:BK,MATCH($C8,'RPS by State'!$B:$B,0))),0)</f>
        <v>0</v>
      </c>
      <c r="BA8" s="100">
        <f>IFERROR(IF($A8=FALSE,0,INDEX('RPS by State'!BL:BL,MATCH($C8,'RPS by State'!$B:$B,0))),0)</f>
        <v>0</v>
      </c>
      <c r="BB8" s="100">
        <f>IFERROR(IF($A8=FALSE,0,INDEX('RPS by State'!BM:BM,MATCH($C8,'RPS by State'!$B:$B,0))),0)</f>
        <v>0</v>
      </c>
      <c r="BC8" s="100">
        <f>IFERROR(IF($A8=FALSE,0,INDEX('RPS by State'!BN:BN,MATCH($C8,'RPS by State'!$B:$B,0))),0)</f>
        <v>0</v>
      </c>
      <c r="BD8" s="100">
        <f>IFERROR(IF($A8=FALSE,0,INDEX('RPS by State'!BO:BO,MATCH($C8,'RPS by State'!$B:$B,0))),0)</f>
        <v>0</v>
      </c>
      <c r="BE8" s="100">
        <f>IFERROR(IF($A8=FALSE,0,INDEX('RPS by State'!BP:BP,MATCH($C8,'RPS by State'!$B:$B,0))),0)</f>
        <v>0</v>
      </c>
      <c r="BF8" s="100">
        <f>IFERROR(IF($A8=FALSE,0,INDEX('RPS by State'!BQ:BQ,MATCH($C8,'RPS by State'!$B:$B,0))),0)</f>
        <v>0</v>
      </c>
      <c r="BG8" s="100">
        <f>IFERROR(IF($A8=FALSE,0,INDEX('RPS by State'!BR:BR,MATCH($C8,'RPS by State'!$B:$B,0))),0)</f>
        <v>0</v>
      </c>
      <c r="BH8" s="100">
        <f>IFERROR(IF($A8=FALSE,0,INDEX('RPS by State'!BS:BS,MATCH($C8,'RPS by State'!$B:$B,0))),0)</f>
        <v>0</v>
      </c>
      <c r="BI8" s="100">
        <f>IFERROR(IF($A8=FALSE,0,INDEX('RPS by State'!BT:BT,MATCH($C8,'RPS by State'!$B:$B,0))),0)</f>
        <v>0</v>
      </c>
      <c r="BJ8" s="100">
        <f>IFERROR(IF($A8=FALSE,0,INDEX('RPS by State'!BU:BU,MATCH($C8,'RPS by State'!$B:$B,0))),0)</f>
        <v>0</v>
      </c>
      <c r="BK8" s="100">
        <f>IFERROR(IF($A8=FALSE,0,INDEX('RPS by State'!BV:BV,MATCH($C8,'RPS by State'!$B:$B,0))),0)</f>
        <v>0</v>
      </c>
      <c r="BL8" s="100">
        <f>IFERROR(IF($A8=FALSE,0,INDEX('RPS by State'!BW:BW,MATCH($C8,'RPS by State'!$B:$B,0))),0)</f>
        <v>0</v>
      </c>
      <c r="BM8" s="100">
        <f>IFERROR(IF($A8=FALSE,0,INDEX('RPS by State'!BX:BX,MATCH($C8,'RPS by State'!$B:$B,0))),0)</f>
        <v>0</v>
      </c>
      <c r="BN8" s="100">
        <f>IFERROR(IF($A8=FALSE,0,INDEX('RPS by State'!BY:BY,MATCH($C8,'RPS by State'!$B:$B,0))),0)</f>
        <v>0</v>
      </c>
      <c r="BO8" s="100">
        <f>IFERROR(IF($A8=FALSE,0,INDEX('RPS by State'!BZ:BZ,MATCH($C8,'RPS by State'!$B:$B,0))),0)</f>
        <v>0</v>
      </c>
      <c r="BP8" s="100">
        <f>IFERROR(IF($A8=FALSE,0,INDEX('RPS by State'!CA:CA,MATCH($C8,'RPS by State'!$B:$B,0))),0)</f>
        <v>0</v>
      </c>
      <c r="BQ8" s="100">
        <f>IFERROR(IF($A8=FALSE,0,INDEX('RPS by State'!CB:CB,MATCH($C8,'RPS by State'!$B:$B,0))),0)</f>
        <v>0</v>
      </c>
      <c r="BR8" s="100">
        <f>IFERROR(IF($A8=FALSE,0,INDEX('RPS by State'!CC:CC,MATCH($C8,'RPS by State'!$B:$B,0))),0)</f>
        <v>0</v>
      </c>
      <c r="BS8" s="100">
        <f>IFERROR(IF($A8=FALSE,0,INDEX('RPS by State'!CD:CD,MATCH($C8,'RPS by State'!$B:$B,0))),0)</f>
        <v>0</v>
      </c>
      <c r="BT8" s="100">
        <f>IFERROR(IF($A8=FALSE,0,INDEX('RPS by State'!CE:CE,MATCH($C8,'RPS by State'!$B:$B,0))),0)</f>
        <v>0</v>
      </c>
      <c r="BU8" s="100">
        <f>IFERROR(IF($A8=FALSE,0,INDEX('RPS by State'!CF:CF,MATCH($C8,'RPS by State'!$B:$B,0))),0)</f>
        <v>0</v>
      </c>
      <c r="BV8" s="100">
        <f>IFERROR(IF($A8=FALSE,0,INDEX('RPS by State'!CG:CG,MATCH($C8,'RPS by State'!$B:$B,0))),0)</f>
        <v>0</v>
      </c>
      <c r="BW8" s="100">
        <f>IFERROR(IF($A8=FALSE,0,INDEX('RPS by State'!CH:CH,MATCH($C8,'RPS by State'!$B:$B,0))),0)</f>
        <v>0</v>
      </c>
      <c r="BX8" s="100">
        <f>IFERROR(IF($A8=FALSE,0,INDEX('RPS by State'!CI:CI,MATCH($C8,'RPS by State'!$B:$B,0))),0)</f>
        <v>0</v>
      </c>
      <c r="BY8" s="100">
        <f>IFERROR(IF($A8=FALSE,0,INDEX('RPS by State'!CJ:CJ,MATCH($C8,'RPS by State'!$B:$B,0))),0)</f>
        <v>0</v>
      </c>
      <c r="BZ8" s="100">
        <f>IFERROR(IF($A8=FALSE,0,INDEX('RPS by State'!CK:CK,MATCH($C8,'RPS by State'!$B:$B,0))),0)</f>
        <v>0</v>
      </c>
      <c r="CA8" s="100">
        <f>IFERROR(IF($A8=FALSE,0,INDEX('RPS by State'!CL:CL,MATCH($C8,'RPS by State'!$B:$B,0))),0)</f>
        <v>0</v>
      </c>
      <c r="CB8" s="100">
        <f>IFERROR(IF($A8=FALSE,0,INDEX('RPS by State'!CM:CM,MATCH($C8,'RPS by State'!$B:$B,0))),0)</f>
        <v>0</v>
      </c>
      <c r="CC8" s="100">
        <f>IFERROR(IF($A8=FALSE,0,INDEX('RPS by State'!CN:CN,MATCH($C8,'RPS by State'!$B:$B,0))),0)</f>
        <v>0</v>
      </c>
      <c r="CD8" s="100">
        <f>IFERROR(IF($A8=FALSE,0,INDEX('RPS by State'!CO:CO,MATCH($C8,'RPS by State'!$B:$B,0))),0)</f>
        <v>0</v>
      </c>
      <c r="CE8" s="100">
        <f>IFERROR(IF($A8=FALSE,0,INDEX('RPS by State'!CP:CP,MATCH($C8,'RPS by State'!$B:$B,0))),0)</f>
        <v>0</v>
      </c>
    </row>
    <row r="9" spans="1:83" x14ac:dyDescent="0.25">
      <c r="A9" t="b">
        <f>IFERROR(INDEX('RPS by State'!G:G,MATCH(B9,'RPS by State'!A:A,0)),0)</f>
        <v>1</v>
      </c>
      <c r="B9" s="120" t="s">
        <v>21</v>
      </c>
      <c r="C9" s="120" t="str">
        <f>IFERROR(INDEX(About!L:L,MATCH(B9,About!K:K,0)),0)</f>
        <v>DE</v>
      </c>
      <c r="D9" s="100">
        <f>IFERROR(IF($A9=FALSE,0,INDEX('RPS by State'!O:O,MATCH($C9,'RPS by State'!$B:$B,0))),0)</f>
        <v>0.21</v>
      </c>
      <c r="E9" s="100">
        <f>IFERROR(IF($A9=FALSE,0,INDEX('RPS by State'!P:P,MATCH($C9,'RPS by State'!$B:$B,0))),0)</f>
        <v>0.22</v>
      </c>
      <c r="F9" s="100">
        <f>IFERROR(IF($A9=FALSE,0,INDEX('RPS by State'!Q:Q,MATCH($C9,'RPS by State'!$B:$B,0))),0)</f>
        <v>0.23</v>
      </c>
      <c r="G9" s="100">
        <f>IFERROR(IF($A9=FALSE,0,INDEX('RPS by State'!R:R,MATCH($C9,'RPS by State'!$B:$B,0))),0)</f>
        <v>0.24</v>
      </c>
      <c r="H9" s="100">
        <f>IFERROR(IF($A9=FALSE,0,INDEX('RPS by State'!S:S,MATCH($C9,'RPS by State'!$B:$B,0))),0)</f>
        <v>0.25</v>
      </c>
      <c r="I9" s="100">
        <f>IFERROR(IF($A9=FALSE,0,INDEX('RPS by State'!T:T,MATCH($C9,'RPS by State'!$B:$B,0))),0)</f>
        <v>0.25</v>
      </c>
      <c r="J9" s="100">
        <f>IFERROR(IF($A9=FALSE,0,INDEX('RPS by State'!U:U,MATCH($C9,'RPS by State'!$B:$B,0))),0)</f>
        <v>0.25</v>
      </c>
      <c r="K9" s="100">
        <f>IFERROR(IF($A9=FALSE,0,INDEX('RPS by State'!V:V,MATCH($C9,'RPS by State'!$B:$B,0))),0)</f>
        <v>0.25</v>
      </c>
      <c r="L9" s="100">
        <f>IFERROR(IF($A9=FALSE,0,INDEX('RPS by State'!W:W,MATCH($C9,'RPS by State'!$B:$B,0))),0)</f>
        <v>0.25</v>
      </c>
      <c r="M9" s="100">
        <f>IFERROR(IF($A9=FALSE,0,INDEX('RPS by State'!X:X,MATCH($C9,'RPS by State'!$B:$B,0))),0)</f>
        <v>0.28000000000000003</v>
      </c>
      <c r="N9" s="100">
        <f>IFERROR(IF($A9=FALSE,0,INDEX('RPS by State'!Y:Y,MATCH($C9,'RPS by State'!$B:$B,0))),0)</f>
        <v>0.25</v>
      </c>
      <c r="O9" s="100">
        <f>IFERROR(IF($A9=FALSE,0,INDEX('RPS by State'!Z:Z,MATCH($C9,'RPS by State'!$B:$B,0))),0)</f>
        <v>0.25</v>
      </c>
      <c r="P9" s="100">
        <f>IFERROR(IF($A9=FALSE,0,INDEX('RPS by State'!AA:AA,MATCH($C9,'RPS by State'!$B:$B,0))),0)</f>
        <v>0.25</v>
      </c>
      <c r="Q9" s="100">
        <f>IFERROR(IF($A9=FALSE,0,INDEX('RPS by State'!AB:AB,MATCH($C9,'RPS by State'!$B:$B,0))),0)</f>
        <v>0.25</v>
      </c>
      <c r="R9" s="100">
        <f>IFERROR(IF($A9=FALSE,0,INDEX('RPS by State'!AC:AC,MATCH($C9,'RPS by State'!$B:$B,0))),0)</f>
        <v>0.4</v>
      </c>
      <c r="S9" s="100">
        <f>IFERROR(IF($A9=FALSE,0,INDEX('RPS by State'!AD:AD,MATCH($C9,'RPS by State'!$B:$B,0))),0)</f>
        <v>0.4</v>
      </c>
      <c r="T9" s="100">
        <f>IFERROR(IF($A9=FALSE,0,INDEX('RPS by State'!AE:AE,MATCH($C9,'RPS by State'!$B:$B,0))),0)</f>
        <v>0.4</v>
      </c>
      <c r="U9" s="100">
        <f>IFERROR(IF($A9=FALSE,0,INDEX('RPS by State'!AF:AF,MATCH($C9,'RPS by State'!$B:$B,0))),0)</f>
        <v>0.4</v>
      </c>
      <c r="V9" s="100">
        <f>IFERROR(IF($A9=FALSE,0,INDEX('RPS by State'!AG:AG,MATCH($C9,'RPS by State'!$B:$B,0))),0)</f>
        <v>0.4</v>
      </c>
      <c r="W9" s="100">
        <f>IFERROR(IF($A9=FALSE,0,INDEX('RPS by State'!AH:AH,MATCH($C9,'RPS by State'!$B:$B,0))),0)</f>
        <v>0.4</v>
      </c>
      <c r="X9" s="100">
        <f>IFERROR(IF($A9=FALSE,0,INDEX('RPS by State'!AI:AI,MATCH($C9,'RPS by State'!$B:$B,0))),0)</f>
        <v>0.4</v>
      </c>
      <c r="Y9" s="100">
        <f>IFERROR(IF($A9=FALSE,0,INDEX('RPS by State'!AJ:AJ,MATCH($C9,'RPS by State'!$B:$B,0))),0)</f>
        <v>0.4</v>
      </c>
      <c r="Z9" s="100">
        <f>IFERROR(IF($A9=FALSE,0,INDEX('RPS by State'!AK:AK,MATCH($C9,'RPS by State'!$B:$B,0))),0)</f>
        <v>0.4</v>
      </c>
      <c r="AA9" s="100">
        <f>IFERROR(IF($A9=FALSE,0,INDEX('RPS by State'!AL:AL,MATCH($C9,'RPS by State'!$B:$B,0))),0)</f>
        <v>0.4</v>
      </c>
      <c r="AB9" s="100">
        <f>IFERROR(IF($A9=FALSE,0,INDEX('RPS by State'!AM:AM,MATCH($C9,'RPS by State'!$B:$B,0))),0)</f>
        <v>0.4</v>
      </c>
      <c r="AC9" s="100">
        <f>IFERROR(IF($A9=FALSE,0,INDEX('RPS by State'!AN:AN,MATCH($C9,'RPS by State'!$B:$B,0))),0)</f>
        <v>0.4</v>
      </c>
      <c r="AD9" s="100">
        <f>IFERROR(IF($A9=FALSE,0,INDEX('RPS by State'!AO:AO,MATCH($C9,'RPS by State'!$B:$B,0))),0)</f>
        <v>0.4</v>
      </c>
      <c r="AE9" s="100">
        <f>IFERROR(IF($A9=FALSE,0,INDEX('RPS by State'!AP:AP,MATCH($C9,'RPS by State'!$B:$B,0))),0)</f>
        <v>0.4</v>
      </c>
      <c r="AF9" s="100">
        <f>IFERROR(IF($A9=FALSE,0,INDEX('RPS by State'!AQ:AQ,MATCH($C9,'RPS by State'!$B:$B,0))),0)</f>
        <v>0.4</v>
      </c>
      <c r="AG9" s="100">
        <f>IFERROR(IF($A9=FALSE,0,INDEX('RPS by State'!AR:AR,MATCH($C9,'RPS by State'!$B:$B,0))),0)</f>
        <v>0.4</v>
      </c>
      <c r="AH9" s="100">
        <f>IFERROR(IF($A9=FALSE,0,INDEX('RPS by State'!AS:AS,MATCH($C9,'RPS by State'!$B:$B,0))),0)</f>
        <v>0</v>
      </c>
      <c r="AI9" s="100">
        <f>IFERROR(IF($A9=FALSE,0,INDEX('RPS by State'!AT:AT,MATCH($C9,'RPS by State'!$B:$B,0))),0)</f>
        <v>0</v>
      </c>
      <c r="AJ9" s="100">
        <f>IFERROR(IF($A9=FALSE,0,INDEX('RPS by State'!AU:AU,MATCH($C9,'RPS by State'!$B:$B,0))),0)</f>
        <v>0</v>
      </c>
      <c r="AK9" s="100">
        <f>IFERROR(IF($A9=FALSE,0,INDEX('RPS by State'!AV:AV,MATCH($C9,'RPS by State'!$B:$B,0))),0)</f>
        <v>0</v>
      </c>
      <c r="AL9" s="100">
        <f>IFERROR(IF($A9=FALSE,0,INDEX('RPS by State'!AW:AW,MATCH($C9,'RPS by State'!$B:$B,0))),0)</f>
        <v>0</v>
      </c>
      <c r="AM9" s="100">
        <f>IFERROR(IF($A9=FALSE,0,INDEX('RPS by State'!AX:AX,MATCH($C9,'RPS by State'!$B:$B,0))),0)</f>
        <v>0</v>
      </c>
      <c r="AN9" s="100">
        <f>IFERROR(IF($A9=FALSE,0,INDEX('RPS by State'!AY:AY,MATCH($C9,'RPS by State'!$B:$B,0))),0)</f>
        <v>0</v>
      </c>
      <c r="AO9" s="100">
        <f>IFERROR(IF($A9=FALSE,0,INDEX('RPS by State'!AZ:AZ,MATCH($C9,'RPS by State'!$B:$B,0))),0)</f>
        <v>0</v>
      </c>
      <c r="AP9" s="100">
        <f>IFERROR(IF($A9=FALSE,0,INDEX('RPS by State'!BA:BA,MATCH($C9,'RPS by State'!$B:$B,0))),0)</f>
        <v>0</v>
      </c>
      <c r="AQ9" s="100">
        <f>IFERROR(IF($A9=FALSE,0,INDEX('RPS by State'!BB:BB,MATCH($C9,'RPS by State'!$B:$B,0))),0)</f>
        <v>0</v>
      </c>
      <c r="AR9" s="100">
        <f>IFERROR(IF($A9=FALSE,0,INDEX('RPS by State'!BC:BC,MATCH($C9,'RPS by State'!$B:$B,0))),0)</f>
        <v>0</v>
      </c>
      <c r="AS9" s="100">
        <f>IFERROR(IF($A9=FALSE,0,INDEX('RPS by State'!BD:BD,MATCH($C9,'RPS by State'!$B:$B,0))),0)</f>
        <v>0</v>
      </c>
      <c r="AT9" s="100">
        <f>IFERROR(IF($A9=FALSE,0,INDEX('RPS by State'!BE:BE,MATCH($C9,'RPS by State'!$B:$B,0))),0)</f>
        <v>0</v>
      </c>
      <c r="AU9" s="100">
        <f>IFERROR(IF($A9=FALSE,0,INDEX('RPS by State'!BF:BF,MATCH($C9,'RPS by State'!$B:$B,0))),0)</f>
        <v>0</v>
      </c>
      <c r="AV9" s="100">
        <f>IFERROR(IF($A9=FALSE,0,INDEX('RPS by State'!BG:BG,MATCH($C9,'RPS by State'!$B:$B,0))),0)</f>
        <v>0</v>
      </c>
      <c r="AW9" s="100">
        <f>IFERROR(IF($A9=FALSE,0,INDEX('RPS by State'!BH:BH,MATCH($C9,'RPS by State'!$B:$B,0))),0)</f>
        <v>0</v>
      </c>
      <c r="AX9" s="100">
        <f>IFERROR(IF($A9=FALSE,0,INDEX('RPS by State'!BI:BI,MATCH($C9,'RPS by State'!$B:$B,0))),0)</f>
        <v>0</v>
      </c>
      <c r="AY9" s="100">
        <f>IFERROR(IF($A9=FALSE,0,INDEX('RPS by State'!BJ:BJ,MATCH($C9,'RPS by State'!$B:$B,0))),0)</f>
        <v>0</v>
      </c>
      <c r="AZ9" s="100">
        <f>IFERROR(IF($A9=FALSE,0,INDEX('RPS by State'!BK:BK,MATCH($C9,'RPS by State'!$B:$B,0))),0)</f>
        <v>0</v>
      </c>
      <c r="BA9" s="100">
        <f>IFERROR(IF($A9=FALSE,0,INDEX('RPS by State'!BL:BL,MATCH($C9,'RPS by State'!$B:$B,0))),0)</f>
        <v>0</v>
      </c>
      <c r="BB9" s="100">
        <f>IFERROR(IF($A9=FALSE,0,INDEX('RPS by State'!BM:BM,MATCH($C9,'RPS by State'!$B:$B,0))),0)</f>
        <v>0</v>
      </c>
      <c r="BC9" s="100">
        <f>IFERROR(IF($A9=FALSE,0,INDEX('RPS by State'!BN:BN,MATCH($C9,'RPS by State'!$B:$B,0))),0)</f>
        <v>0</v>
      </c>
      <c r="BD9" s="100">
        <f>IFERROR(IF($A9=FALSE,0,INDEX('RPS by State'!BO:BO,MATCH($C9,'RPS by State'!$B:$B,0))),0)</f>
        <v>0</v>
      </c>
      <c r="BE9" s="100">
        <f>IFERROR(IF($A9=FALSE,0,INDEX('RPS by State'!BP:BP,MATCH($C9,'RPS by State'!$B:$B,0))),0)</f>
        <v>0</v>
      </c>
      <c r="BF9" s="100">
        <f>IFERROR(IF($A9=FALSE,0,INDEX('RPS by State'!BQ:BQ,MATCH($C9,'RPS by State'!$B:$B,0))),0)</f>
        <v>0</v>
      </c>
      <c r="BG9" s="100">
        <f>IFERROR(IF($A9=FALSE,0,INDEX('RPS by State'!BR:BR,MATCH($C9,'RPS by State'!$B:$B,0))),0)</f>
        <v>0</v>
      </c>
      <c r="BH9" s="100">
        <f>IFERROR(IF($A9=FALSE,0,INDEX('RPS by State'!BS:BS,MATCH($C9,'RPS by State'!$B:$B,0))),0)</f>
        <v>0</v>
      </c>
      <c r="BI9" s="100">
        <f>IFERROR(IF($A9=FALSE,0,INDEX('RPS by State'!BT:BT,MATCH($C9,'RPS by State'!$B:$B,0))),0)</f>
        <v>0</v>
      </c>
      <c r="BJ9" s="100">
        <f>IFERROR(IF($A9=FALSE,0,INDEX('RPS by State'!BU:BU,MATCH($C9,'RPS by State'!$B:$B,0))),0)</f>
        <v>0</v>
      </c>
      <c r="BK9" s="100">
        <f>IFERROR(IF($A9=FALSE,0,INDEX('RPS by State'!BV:BV,MATCH($C9,'RPS by State'!$B:$B,0))),0)</f>
        <v>0</v>
      </c>
      <c r="BL9" s="100">
        <f>IFERROR(IF($A9=FALSE,0,INDEX('RPS by State'!BW:BW,MATCH($C9,'RPS by State'!$B:$B,0))),0)</f>
        <v>0</v>
      </c>
      <c r="BM9" s="100">
        <f>IFERROR(IF($A9=FALSE,0,INDEX('RPS by State'!BX:BX,MATCH($C9,'RPS by State'!$B:$B,0))),0)</f>
        <v>0</v>
      </c>
      <c r="BN9" s="100">
        <f>IFERROR(IF($A9=FALSE,0,INDEX('RPS by State'!BY:BY,MATCH($C9,'RPS by State'!$B:$B,0))),0)</f>
        <v>0</v>
      </c>
      <c r="BO9" s="100">
        <f>IFERROR(IF($A9=FALSE,0,INDEX('RPS by State'!BZ:BZ,MATCH($C9,'RPS by State'!$B:$B,0))),0)</f>
        <v>0</v>
      </c>
      <c r="BP9" s="100">
        <f>IFERROR(IF($A9=FALSE,0,INDEX('RPS by State'!CA:CA,MATCH($C9,'RPS by State'!$B:$B,0))),0)</f>
        <v>0</v>
      </c>
      <c r="BQ9" s="100">
        <f>IFERROR(IF($A9=FALSE,0,INDEX('RPS by State'!CB:CB,MATCH($C9,'RPS by State'!$B:$B,0))),0)</f>
        <v>0</v>
      </c>
      <c r="BR9" s="100">
        <f>IFERROR(IF($A9=FALSE,0,INDEX('RPS by State'!CC:CC,MATCH($C9,'RPS by State'!$B:$B,0))),0)</f>
        <v>0</v>
      </c>
      <c r="BS9" s="100">
        <f>IFERROR(IF($A9=FALSE,0,INDEX('RPS by State'!CD:CD,MATCH($C9,'RPS by State'!$B:$B,0))),0)</f>
        <v>0</v>
      </c>
      <c r="BT9" s="100">
        <f>IFERROR(IF($A9=FALSE,0,INDEX('RPS by State'!CE:CE,MATCH($C9,'RPS by State'!$B:$B,0))),0)</f>
        <v>0</v>
      </c>
      <c r="BU9" s="100">
        <f>IFERROR(IF($A9=FALSE,0,INDEX('RPS by State'!CF:CF,MATCH($C9,'RPS by State'!$B:$B,0))),0)</f>
        <v>0</v>
      </c>
      <c r="BV9" s="100">
        <f>IFERROR(IF($A9=FALSE,0,INDEX('RPS by State'!CG:CG,MATCH($C9,'RPS by State'!$B:$B,0))),0)</f>
        <v>0</v>
      </c>
      <c r="BW9" s="100">
        <f>IFERROR(IF($A9=FALSE,0,INDEX('RPS by State'!CH:CH,MATCH($C9,'RPS by State'!$B:$B,0))),0)</f>
        <v>0</v>
      </c>
      <c r="BX9" s="100">
        <f>IFERROR(IF($A9=FALSE,0,INDEX('RPS by State'!CI:CI,MATCH($C9,'RPS by State'!$B:$B,0))),0)</f>
        <v>0</v>
      </c>
      <c r="BY9" s="100">
        <f>IFERROR(IF($A9=FALSE,0,INDEX('RPS by State'!CJ:CJ,MATCH($C9,'RPS by State'!$B:$B,0))),0)</f>
        <v>0</v>
      </c>
      <c r="BZ9" s="100">
        <f>IFERROR(IF($A9=FALSE,0,INDEX('RPS by State'!CK:CK,MATCH($C9,'RPS by State'!$B:$B,0))),0)</f>
        <v>0</v>
      </c>
      <c r="CA9" s="100">
        <f>IFERROR(IF($A9=FALSE,0,INDEX('RPS by State'!CL:CL,MATCH($C9,'RPS by State'!$B:$B,0))),0)</f>
        <v>0</v>
      </c>
      <c r="CB9" s="100">
        <f>IFERROR(IF($A9=FALSE,0,INDEX('RPS by State'!CM:CM,MATCH($C9,'RPS by State'!$B:$B,0))),0)</f>
        <v>0</v>
      </c>
      <c r="CC9" s="100">
        <f>IFERROR(IF($A9=FALSE,0,INDEX('RPS by State'!CN:CN,MATCH($C9,'RPS by State'!$B:$B,0))),0)</f>
        <v>0</v>
      </c>
      <c r="CD9" s="100">
        <f>IFERROR(IF($A9=FALSE,0,INDEX('RPS by State'!CO:CO,MATCH($C9,'RPS by State'!$B:$B,0))),0)</f>
        <v>0</v>
      </c>
      <c r="CE9" s="100">
        <f>IFERROR(IF($A9=FALSE,0,INDEX('RPS by State'!CP:CP,MATCH($C9,'RPS by State'!$B:$B,0))),0)</f>
        <v>0</v>
      </c>
    </row>
    <row r="10" spans="1:83" x14ac:dyDescent="0.25">
      <c r="A10">
        <f>IFERROR(INDEX('RPS by State'!G:G,MATCH(B10,'RPS by State'!A:A,0)),0)</f>
        <v>0</v>
      </c>
      <c r="B10" s="120" t="s">
        <v>183</v>
      </c>
      <c r="C10" s="120">
        <f>IFERROR(INDEX(About!L:L,MATCH(B10,About!K:K,0)),0)</f>
        <v>0</v>
      </c>
      <c r="D10" s="100">
        <f>IFERROR(IF($A10=FALSE,0,INDEX('RPS by State'!O:O,MATCH($C10,'RPS by State'!$B:$B,0))),0)</f>
        <v>0</v>
      </c>
      <c r="E10" s="100">
        <f>IFERROR(IF($A10=FALSE,0,INDEX('RPS by State'!P:P,MATCH($C10,'RPS by State'!$B:$B,0))),0)</f>
        <v>0</v>
      </c>
      <c r="F10" s="100">
        <f>IFERROR(IF($A10=FALSE,0,INDEX('RPS by State'!Q:Q,MATCH($C10,'RPS by State'!$B:$B,0))),0)</f>
        <v>0</v>
      </c>
      <c r="G10" s="100">
        <f>IFERROR(IF($A10=FALSE,0,INDEX('RPS by State'!R:R,MATCH($C10,'RPS by State'!$B:$B,0))),0)</f>
        <v>0</v>
      </c>
      <c r="H10" s="100">
        <f>IFERROR(IF($A10=FALSE,0,INDEX('RPS by State'!S:S,MATCH($C10,'RPS by State'!$B:$B,0))),0)</f>
        <v>0</v>
      </c>
      <c r="I10" s="100">
        <f>IFERROR(IF($A10=FALSE,0,INDEX('RPS by State'!T:T,MATCH($C10,'RPS by State'!$B:$B,0))),0)</f>
        <v>0</v>
      </c>
      <c r="J10" s="100">
        <f>IFERROR(IF($A10=FALSE,0,INDEX('RPS by State'!U:U,MATCH($C10,'RPS by State'!$B:$B,0))),0)</f>
        <v>0</v>
      </c>
      <c r="K10" s="100">
        <f>IFERROR(IF($A10=FALSE,0,INDEX('RPS by State'!V:V,MATCH($C10,'RPS by State'!$B:$B,0))),0)</f>
        <v>0</v>
      </c>
      <c r="L10" s="100">
        <f>IFERROR(IF($A10=FALSE,0,INDEX('RPS by State'!W:W,MATCH($C10,'RPS by State'!$B:$B,0))),0)</f>
        <v>0</v>
      </c>
      <c r="M10" s="100">
        <f>IFERROR(IF($A10=FALSE,0,INDEX('RPS by State'!X:X,MATCH($C10,'RPS by State'!$B:$B,0))),0)</f>
        <v>0</v>
      </c>
      <c r="N10" s="100">
        <f>IFERROR(IF($A10=FALSE,0,INDEX('RPS by State'!Y:Y,MATCH($C10,'RPS by State'!$B:$B,0))),0)</f>
        <v>0</v>
      </c>
      <c r="O10" s="100">
        <f>IFERROR(IF($A10=FALSE,0,INDEX('RPS by State'!Z:Z,MATCH($C10,'RPS by State'!$B:$B,0))),0)</f>
        <v>0</v>
      </c>
      <c r="P10" s="100">
        <f>IFERROR(IF($A10=FALSE,0,INDEX('RPS by State'!AA:AA,MATCH($C10,'RPS by State'!$B:$B,0))),0)</f>
        <v>0</v>
      </c>
      <c r="Q10" s="100">
        <f>IFERROR(IF($A10=FALSE,0,INDEX('RPS by State'!AB:AB,MATCH($C10,'RPS by State'!$B:$B,0))),0)</f>
        <v>0</v>
      </c>
      <c r="R10" s="100">
        <f>IFERROR(IF($A10=FALSE,0,INDEX('RPS by State'!AC:AC,MATCH($C10,'RPS by State'!$B:$B,0))),0)</f>
        <v>0</v>
      </c>
      <c r="S10" s="100">
        <f>IFERROR(IF($A10=FALSE,0,INDEX('RPS by State'!AD:AD,MATCH($C10,'RPS by State'!$B:$B,0))),0)</f>
        <v>0</v>
      </c>
      <c r="T10" s="100">
        <f>IFERROR(IF($A10=FALSE,0,INDEX('RPS by State'!AE:AE,MATCH($C10,'RPS by State'!$B:$B,0))),0)</f>
        <v>0</v>
      </c>
      <c r="U10" s="100">
        <f>IFERROR(IF($A10=FALSE,0,INDEX('RPS by State'!AF:AF,MATCH($C10,'RPS by State'!$B:$B,0))),0)</f>
        <v>0</v>
      </c>
      <c r="V10" s="100">
        <f>IFERROR(IF($A10=FALSE,0,INDEX('RPS by State'!AG:AG,MATCH($C10,'RPS by State'!$B:$B,0))),0)</f>
        <v>0</v>
      </c>
      <c r="W10" s="100">
        <f>IFERROR(IF($A10=FALSE,0,INDEX('RPS by State'!AH:AH,MATCH($C10,'RPS by State'!$B:$B,0))),0)</f>
        <v>0</v>
      </c>
      <c r="X10" s="100">
        <f>IFERROR(IF($A10=FALSE,0,INDEX('RPS by State'!AI:AI,MATCH($C10,'RPS by State'!$B:$B,0))),0)</f>
        <v>0</v>
      </c>
      <c r="Y10" s="100">
        <f>IFERROR(IF($A10=FALSE,0,INDEX('RPS by State'!AJ:AJ,MATCH($C10,'RPS by State'!$B:$B,0))),0)</f>
        <v>0</v>
      </c>
      <c r="Z10" s="100">
        <f>IFERROR(IF($A10=FALSE,0,INDEX('RPS by State'!AK:AK,MATCH($C10,'RPS by State'!$B:$B,0))),0)</f>
        <v>0</v>
      </c>
      <c r="AA10" s="100">
        <f>IFERROR(IF($A10=FALSE,0,INDEX('RPS by State'!AL:AL,MATCH($C10,'RPS by State'!$B:$B,0))),0)</f>
        <v>0</v>
      </c>
      <c r="AB10" s="100">
        <f>IFERROR(IF($A10=FALSE,0,INDEX('RPS by State'!AM:AM,MATCH($C10,'RPS by State'!$B:$B,0))),0)</f>
        <v>0</v>
      </c>
      <c r="AC10" s="100">
        <f>IFERROR(IF($A10=FALSE,0,INDEX('RPS by State'!AN:AN,MATCH($C10,'RPS by State'!$B:$B,0))),0)</f>
        <v>0</v>
      </c>
      <c r="AD10" s="100">
        <f>IFERROR(IF($A10=FALSE,0,INDEX('RPS by State'!AO:AO,MATCH($C10,'RPS by State'!$B:$B,0))),0)</f>
        <v>0</v>
      </c>
      <c r="AE10" s="100">
        <f>IFERROR(IF($A10=FALSE,0,INDEX('RPS by State'!AP:AP,MATCH($C10,'RPS by State'!$B:$B,0))),0)</f>
        <v>0</v>
      </c>
      <c r="AF10" s="100">
        <f>IFERROR(IF($A10=FALSE,0,INDEX('RPS by State'!AQ:AQ,MATCH($C10,'RPS by State'!$B:$B,0))),0)</f>
        <v>0</v>
      </c>
      <c r="AG10" s="100">
        <f>IFERROR(IF($A10=FALSE,0,INDEX('RPS by State'!AR:AR,MATCH($C10,'RPS by State'!$B:$B,0))),0)</f>
        <v>0</v>
      </c>
      <c r="AH10" s="100">
        <f>IFERROR(IF($A10=FALSE,0,INDEX('RPS by State'!AS:AS,MATCH($C10,'RPS by State'!$B:$B,0))),0)</f>
        <v>0</v>
      </c>
      <c r="AI10" s="100">
        <f>IFERROR(IF($A10=FALSE,0,INDEX('RPS by State'!AT:AT,MATCH($C10,'RPS by State'!$B:$B,0))),0)</f>
        <v>0</v>
      </c>
      <c r="AJ10" s="100">
        <f>IFERROR(IF($A10=FALSE,0,INDEX('RPS by State'!AU:AU,MATCH($C10,'RPS by State'!$B:$B,0))),0)</f>
        <v>0</v>
      </c>
      <c r="AK10" s="100">
        <f>IFERROR(IF($A10=FALSE,0,INDEX('RPS by State'!AV:AV,MATCH($C10,'RPS by State'!$B:$B,0))),0)</f>
        <v>0</v>
      </c>
      <c r="AL10" s="100">
        <f>IFERROR(IF($A10=FALSE,0,INDEX('RPS by State'!AW:AW,MATCH($C10,'RPS by State'!$B:$B,0))),0)</f>
        <v>0</v>
      </c>
      <c r="AM10" s="100">
        <f>IFERROR(IF($A10=FALSE,0,INDEX('RPS by State'!AX:AX,MATCH($C10,'RPS by State'!$B:$B,0))),0)</f>
        <v>0</v>
      </c>
      <c r="AN10" s="100">
        <f>IFERROR(IF($A10=FALSE,0,INDEX('RPS by State'!AY:AY,MATCH($C10,'RPS by State'!$B:$B,0))),0)</f>
        <v>0</v>
      </c>
      <c r="AO10" s="100">
        <f>IFERROR(IF($A10=FALSE,0,INDEX('RPS by State'!AZ:AZ,MATCH($C10,'RPS by State'!$B:$B,0))),0)</f>
        <v>0</v>
      </c>
      <c r="AP10" s="100">
        <f>IFERROR(IF($A10=FALSE,0,INDEX('RPS by State'!BA:BA,MATCH($C10,'RPS by State'!$B:$B,0))),0)</f>
        <v>0</v>
      </c>
      <c r="AQ10" s="100">
        <f>IFERROR(IF($A10=FALSE,0,INDEX('RPS by State'!BB:BB,MATCH($C10,'RPS by State'!$B:$B,0))),0)</f>
        <v>0</v>
      </c>
      <c r="AR10" s="100">
        <f>IFERROR(IF($A10=FALSE,0,INDEX('RPS by State'!BC:BC,MATCH($C10,'RPS by State'!$B:$B,0))),0)</f>
        <v>0</v>
      </c>
      <c r="AS10" s="100">
        <f>IFERROR(IF($A10=FALSE,0,INDEX('RPS by State'!BD:BD,MATCH($C10,'RPS by State'!$B:$B,0))),0)</f>
        <v>0</v>
      </c>
      <c r="AT10" s="100">
        <f>IFERROR(IF($A10=FALSE,0,INDEX('RPS by State'!BE:BE,MATCH($C10,'RPS by State'!$B:$B,0))),0)</f>
        <v>0</v>
      </c>
      <c r="AU10" s="100">
        <f>IFERROR(IF($A10=FALSE,0,INDEX('RPS by State'!BF:BF,MATCH($C10,'RPS by State'!$B:$B,0))),0)</f>
        <v>0</v>
      </c>
      <c r="AV10" s="100">
        <f>IFERROR(IF($A10=FALSE,0,INDEX('RPS by State'!BG:BG,MATCH($C10,'RPS by State'!$B:$B,0))),0)</f>
        <v>0</v>
      </c>
      <c r="AW10" s="100">
        <f>IFERROR(IF($A10=FALSE,0,INDEX('RPS by State'!BH:BH,MATCH($C10,'RPS by State'!$B:$B,0))),0)</f>
        <v>0</v>
      </c>
      <c r="AX10" s="100">
        <f>IFERROR(IF($A10=FALSE,0,INDEX('RPS by State'!BI:BI,MATCH($C10,'RPS by State'!$B:$B,0))),0)</f>
        <v>0</v>
      </c>
      <c r="AY10" s="100">
        <f>IFERROR(IF($A10=FALSE,0,INDEX('RPS by State'!BJ:BJ,MATCH($C10,'RPS by State'!$B:$B,0))),0)</f>
        <v>0</v>
      </c>
      <c r="AZ10" s="100">
        <f>IFERROR(IF($A10=FALSE,0,INDEX('RPS by State'!BK:BK,MATCH($C10,'RPS by State'!$B:$B,0))),0)</f>
        <v>0</v>
      </c>
      <c r="BA10" s="100">
        <f>IFERROR(IF($A10=FALSE,0,INDEX('RPS by State'!BL:BL,MATCH($C10,'RPS by State'!$B:$B,0))),0)</f>
        <v>0</v>
      </c>
      <c r="BB10" s="100">
        <f>IFERROR(IF($A10=FALSE,0,INDEX('RPS by State'!BM:BM,MATCH($C10,'RPS by State'!$B:$B,0))),0)</f>
        <v>0</v>
      </c>
      <c r="BC10" s="100">
        <f>IFERROR(IF($A10=FALSE,0,INDEX('RPS by State'!BN:BN,MATCH($C10,'RPS by State'!$B:$B,0))),0)</f>
        <v>0</v>
      </c>
      <c r="BD10" s="100">
        <f>IFERROR(IF($A10=FALSE,0,INDEX('RPS by State'!BO:BO,MATCH($C10,'RPS by State'!$B:$B,0))),0)</f>
        <v>0</v>
      </c>
      <c r="BE10" s="100">
        <f>IFERROR(IF($A10=FALSE,0,INDEX('RPS by State'!BP:BP,MATCH($C10,'RPS by State'!$B:$B,0))),0)</f>
        <v>0</v>
      </c>
      <c r="BF10" s="100">
        <f>IFERROR(IF($A10=FALSE,0,INDEX('RPS by State'!BQ:BQ,MATCH($C10,'RPS by State'!$B:$B,0))),0)</f>
        <v>0</v>
      </c>
      <c r="BG10" s="100">
        <f>IFERROR(IF($A10=FALSE,0,INDEX('RPS by State'!BR:BR,MATCH($C10,'RPS by State'!$B:$B,0))),0)</f>
        <v>0</v>
      </c>
      <c r="BH10" s="100">
        <f>IFERROR(IF($A10=FALSE,0,INDEX('RPS by State'!BS:BS,MATCH($C10,'RPS by State'!$B:$B,0))),0)</f>
        <v>0</v>
      </c>
      <c r="BI10" s="100">
        <f>IFERROR(IF($A10=FALSE,0,INDEX('RPS by State'!BT:BT,MATCH($C10,'RPS by State'!$B:$B,0))),0)</f>
        <v>0</v>
      </c>
      <c r="BJ10" s="100">
        <f>IFERROR(IF($A10=FALSE,0,INDEX('RPS by State'!BU:BU,MATCH($C10,'RPS by State'!$B:$B,0))),0)</f>
        <v>0</v>
      </c>
      <c r="BK10" s="100">
        <f>IFERROR(IF($A10=FALSE,0,INDEX('RPS by State'!BV:BV,MATCH($C10,'RPS by State'!$B:$B,0))),0)</f>
        <v>0</v>
      </c>
      <c r="BL10" s="100">
        <f>IFERROR(IF($A10=FALSE,0,INDEX('RPS by State'!BW:BW,MATCH($C10,'RPS by State'!$B:$B,0))),0)</f>
        <v>0</v>
      </c>
      <c r="BM10" s="100">
        <f>IFERROR(IF($A10=FALSE,0,INDEX('RPS by State'!BX:BX,MATCH($C10,'RPS by State'!$B:$B,0))),0)</f>
        <v>0</v>
      </c>
      <c r="BN10" s="100">
        <f>IFERROR(IF($A10=FALSE,0,INDEX('RPS by State'!BY:BY,MATCH($C10,'RPS by State'!$B:$B,0))),0)</f>
        <v>0</v>
      </c>
      <c r="BO10" s="100">
        <f>IFERROR(IF($A10=FALSE,0,INDEX('RPS by State'!BZ:BZ,MATCH($C10,'RPS by State'!$B:$B,0))),0)</f>
        <v>0</v>
      </c>
      <c r="BP10" s="100">
        <f>IFERROR(IF($A10=FALSE,0,INDEX('RPS by State'!CA:CA,MATCH($C10,'RPS by State'!$B:$B,0))),0)</f>
        <v>0</v>
      </c>
      <c r="BQ10" s="100">
        <f>IFERROR(IF($A10=FALSE,0,INDEX('RPS by State'!CB:CB,MATCH($C10,'RPS by State'!$B:$B,0))),0)</f>
        <v>0</v>
      </c>
      <c r="BR10" s="100">
        <f>IFERROR(IF($A10=FALSE,0,INDEX('RPS by State'!CC:CC,MATCH($C10,'RPS by State'!$B:$B,0))),0)</f>
        <v>0</v>
      </c>
      <c r="BS10" s="100">
        <f>IFERROR(IF($A10=FALSE,0,INDEX('RPS by State'!CD:CD,MATCH($C10,'RPS by State'!$B:$B,0))),0)</f>
        <v>0</v>
      </c>
      <c r="BT10" s="100">
        <f>IFERROR(IF($A10=FALSE,0,INDEX('RPS by State'!CE:CE,MATCH($C10,'RPS by State'!$B:$B,0))),0)</f>
        <v>0</v>
      </c>
      <c r="BU10" s="100">
        <f>IFERROR(IF($A10=FALSE,0,INDEX('RPS by State'!CF:CF,MATCH($C10,'RPS by State'!$B:$B,0))),0)</f>
        <v>0</v>
      </c>
      <c r="BV10" s="100">
        <f>IFERROR(IF($A10=FALSE,0,INDEX('RPS by State'!CG:CG,MATCH($C10,'RPS by State'!$B:$B,0))),0)</f>
        <v>0</v>
      </c>
      <c r="BW10" s="100">
        <f>IFERROR(IF($A10=FALSE,0,INDEX('RPS by State'!CH:CH,MATCH($C10,'RPS by State'!$B:$B,0))),0)</f>
        <v>0</v>
      </c>
      <c r="BX10" s="100">
        <f>IFERROR(IF($A10=FALSE,0,INDEX('RPS by State'!CI:CI,MATCH($C10,'RPS by State'!$B:$B,0))),0)</f>
        <v>0</v>
      </c>
      <c r="BY10" s="100">
        <f>IFERROR(IF($A10=FALSE,0,INDEX('RPS by State'!CJ:CJ,MATCH($C10,'RPS by State'!$B:$B,0))),0)</f>
        <v>0</v>
      </c>
      <c r="BZ10" s="100">
        <f>IFERROR(IF($A10=FALSE,0,INDEX('RPS by State'!CK:CK,MATCH($C10,'RPS by State'!$B:$B,0))),0)</f>
        <v>0</v>
      </c>
      <c r="CA10" s="100">
        <f>IFERROR(IF($A10=FALSE,0,INDEX('RPS by State'!CL:CL,MATCH($C10,'RPS by State'!$B:$B,0))),0)</f>
        <v>0</v>
      </c>
      <c r="CB10" s="100">
        <f>IFERROR(IF($A10=FALSE,0,INDEX('RPS by State'!CM:CM,MATCH($C10,'RPS by State'!$B:$B,0))),0)</f>
        <v>0</v>
      </c>
      <c r="CC10" s="100">
        <f>IFERROR(IF($A10=FALSE,0,INDEX('RPS by State'!CN:CN,MATCH($C10,'RPS by State'!$B:$B,0))),0)</f>
        <v>0</v>
      </c>
      <c r="CD10" s="100">
        <f>IFERROR(IF($A10=FALSE,0,INDEX('RPS by State'!CO:CO,MATCH($C10,'RPS by State'!$B:$B,0))),0)</f>
        <v>0</v>
      </c>
      <c r="CE10" s="100">
        <f>IFERROR(IF($A10=FALSE,0,INDEX('RPS by State'!CP:CP,MATCH($C10,'RPS by State'!$B:$B,0))),0)</f>
        <v>0</v>
      </c>
    </row>
    <row r="11" spans="1:83" x14ac:dyDescent="0.25">
      <c r="A11" t="b">
        <f>IFERROR(INDEX('RPS by State'!G:G,MATCH(B11,'RPS by State'!A:A,0)),0)</f>
        <v>1</v>
      </c>
      <c r="B11" s="120" t="s">
        <v>23</v>
      </c>
      <c r="C11" s="120" t="str">
        <f>IFERROR(INDEX(About!L:L,MATCH(B11,About!K:K,0)),0)</f>
        <v>FL</v>
      </c>
      <c r="D11" s="100">
        <f>IFERROR(IF($A11=FALSE,0,INDEX('RPS by State'!O:O,MATCH($C11,'RPS by State'!$B:$B,0))),0)</f>
        <v>7.624062566612755E-3</v>
      </c>
      <c r="E11" s="100">
        <f>IFERROR(IF($A11=FALSE,0,INDEX('RPS by State'!P:P,MATCH($C11,'RPS by State'!$B:$B,0))),0)</f>
        <v>7.624062566612755E-3</v>
      </c>
      <c r="F11" s="100">
        <f>IFERROR(IF($A11=FALSE,0,INDEX('RPS by State'!Q:Q,MATCH($C11,'RPS by State'!$B:$B,0))),0)</f>
        <v>7.624062566612755E-3</v>
      </c>
      <c r="G11" s="100">
        <f>IFERROR(IF($A11=FALSE,0,INDEX('RPS by State'!R:R,MATCH($C11,'RPS by State'!$B:$B,0))),0)</f>
        <v>7.624062566612755E-3</v>
      </c>
      <c r="H11" s="100">
        <f>IFERROR(IF($A11=FALSE,0,INDEX('RPS by State'!S:S,MATCH($C11,'RPS by State'!$B:$B,0))),0)</f>
        <v>7.624062566612755E-3</v>
      </c>
      <c r="I11" s="100">
        <f>IFERROR(IF($A11=FALSE,0,INDEX('RPS by State'!T:T,MATCH($C11,'RPS by State'!$B:$B,0))),0)</f>
        <v>7.624062566612755E-3</v>
      </c>
      <c r="J11" s="100">
        <f>IFERROR(IF($A11=FALSE,0,INDEX('RPS by State'!U:U,MATCH($C11,'RPS by State'!$B:$B,0))),0)</f>
        <v>7.624062566612755E-3</v>
      </c>
      <c r="K11" s="100">
        <f>IFERROR(IF($A11=FALSE,0,INDEX('RPS by State'!V:V,MATCH($C11,'RPS by State'!$B:$B,0))),0)</f>
        <v>7.624062566612755E-3</v>
      </c>
      <c r="L11" s="100">
        <f>IFERROR(IF($A11=FALSE,0,INDEX('RPS by State'!W:W,MATCH($C11,'RPS by State'!$B:$B,0))),0)</f>
        <v>7.624062566612755E-3</v>
      </c>
      <c r="M11" s="100">
        <f>IFERROR(IF($A11=FALSE,0,INDEX('RPS by State'!X:X,MATCH($C11,'RPS by State'!$B:$B,0))),0)</f>
        <v>7.624062566612755E-3</v>
      </c>
      <c r="N11" s="100">
        <f>IFERROR(IF($A11=FALSE,0,INDEX('RPS by State'!Y:Y,MATCH($C11,'RPS by State'!$B:$B,0))),0)</f>
        <v>7.624062566612755E-3</v>
      </c>
      <c r="O11" s="100">
        <f>IFERROR(IF($A11=FALSE,0,INDEX('RPS by State'!Z:Z,MATCH($C11,'RPS by State'!$B:$B,0))),0)</f>
        <v>7.624062566612755E-3</v>
      </c>
      <c r="P11" s="100">
        <f>IFERROR(IF($A11=FALSE,0,INDEX('RPS by State'!AA:AA,MATCH($C11,'RPS by State'!$B:$B,0))),0)</f>
        <v>7.624062566612755E-3</v>
      </c>
      <c r="Q11" s="100">
        <f>IFERROR(IF($A11=FALSE,0,INDEX('RPS by State'!AB:AB,MATCH($C11,'RPS by State'!$B:$B,0))),0)</f>
        <v>7.624062566612755E-3</v>
      </c>
      <c r="R11" s="100">
        <f>IFERROR(IF($A11=FALSE,0,INDEX('RPS by State'!AC:AC,MATCH($C11,'RPS by State'!$B:$B,0))),0)</f>
        <v>7.624062566612755E-3</v>
      </c>
      <c r="S11" s="100">
        <f>IFERROR(IF($A11=FALSE,0,INDEX('RPS by State'!AD:AD,MATCH($C11,'RPS by State'!$B:$B,0))),0)</f>
        <v>7.624062566612755E-3</v>
      </c>
      <c r="T11" s="100">
        <f>IFERROR(IF($A11=FALSE,0,INDEX('RPS by State'!AE:AE,MATCH($C11,'RPS by State'!$B:$B,0))),0)</f>
        <v>7.624062566612755E-3</v>
      </c>
      <c r="U11" s="100">
        <f>IFERROR(IF($A11=FALSE,0,INDEX('RPS by State'!AF:AF,MATCH($C11,'RPS by State'!$B:$B,0))),0)</f>
        <v>7.624062566612755E-3</v>
      </c>
      <c r="V11" s="100">
        <f>IFERROR(IF($A11=FALSE,0,INDEX('RPS by State'!AG:AG,MATCH($C11,'RPS by State'!$B:$B,0))),0)</f>
        <v>7.624062566612755E-3</v>
      </c>
      <c r="W11" s="100">
        <f>IFERROR(IF($A11=FALSE,0,INDEX('RPS by State'!AH:AH,MATCH($C11,'RPS by State'!$B:$B,0))),0)</f>
        <v>7.624062566612755E-3</v>
      </c>
      <c r="X11" s="100">
        <f>IFERROR(IF($A11=FALSE,0,INDEX('RPS by State'!AI:AI,MATCH($C11,'RPS by State'!$B:$B,0))),0)</f>
        <v>7.624062566612755E-3</v>
      </c>
      <c r="Y11" s="100">
        <f>IFERROR(IF($A11=FALSE,0,INDEX('RPS by State'!AJ:AJ,MATCH($C11,'RPS by State'!$B:$B,0))),0)</f>
        <v>7.624062566612755E-3</v>
      </c>
      <c r="Z11" s="100">
        <f>IFERROR(IF($A11=FALSE,0,INDEX('RPS by State'!AK:AK,MATCH($C11,'RPS by State'!$B:$B,0))),0)</f>
        <v>7.624062566612755E-3</v>
      </c>
      <c r="AA11" s="100">
        <f>IFERROR(IF($A11=FALSE,0,INDEX('RPS by State'!AL:AL,MATCH($C11,'RPS by State'!$B:$B,0))),0)</f>
        <v>7.624062566612755E-3</v>
      </c>
      <c r="AB11" s="100">
        <f>IFERROR(IF($A11=FALSE,0,INDEX('RPS by State'!AM:AM,MATCH($C11,'RPS by State'!$B:$B,0))),0)</f>
        <v>7.624062566612755E-3</v>
      </c>
      <c r="AC11" s="100">
        <f>IFERROR(IF($A11=FALSE,0,INDEX('RPS by State'!AN:AN,MATCH($C11,'RPS by State'!$B:$B,0))),0)</f>
        <v>7.624062566612755E-3</v>
      </c>
      <c r="AD11" s="100">
        <f>IFERROR(IF($A11=FALSE,0,INDEX('RPS by State'!AO:AO,MATCH($C11,'RPS by State'!$B:$B,0))),0)</f>
        <v>7.624062566612755E-3</v>
      </c>
      <c r="AE11" s="100">
        <f>IFERROR(IF($A11=FALSE,0,INDEX('RPS by State'!AP:AP,MATCH($C11,'RPS by State'!$B:$B,0))),0)</f>
        <v>7.624062566612755E-3</v>
      </c>
      <c r="AF11" s="100">
        <f>IFERROR(IF($A11=FALSE,0,INDEX('RPS by State'!AQ:AQ,MATCH($C11,'RPS by State'!$B:$B,0))),0)</f>
        <v>7.624062566612755E-3</v>
      </c>
      <c r="AG11" s="100">
        <f>IFERROR(IF($A11=FALSE,0,INDEX('RPS by State'!AR:AR,MATCH($C11,'RPS by State'!$B:$B,0))),0)</f>
        <v>7.624062566612755E-3</v>
      </c>
      <c r="AH11" s="100">
        <f>IFERROR(IF($A11=FALSE,0,INDEX('RPS by State'!AS:AS,MATCH($C11,'RPS by State'!$B:$B,0))),0)</f>
        <v>0</v>
      </c>
      <c r="AI11" s="100">
        <f>IFERROR(IF($A11=FALSE,0,INDEX('RPS by State'!AT:AT,MATCH($C11,'RPS by State'!$B:$B,0))),0)</f>
        <v>0</v>
      </c>
      <c r="AJ11" s="100">
        <f>IFERROR(IF($A11=FALSE,0,INDEX('RPS by State'!AU:AU,MATCH($C11,'RPS by State'!$B:$B,0))),0)</f>
        <v>0</v>
      </c>
      <c r="AK11" s="100">
        <f>IFERROR(IF($A11=FALSE,0,INDEX('RPS by State'!AV:AV,MATCH($C11,'RPS by State'!$B:$B,0))),0)</f>
        <v>0</v>
      </c>
      <c r="AL11" s="100">
        <f>IFERROR(IF($A11=FALSE,0,INDEX('RPS by State'!AW:AW,MATCH($C11,'RPS by State'!$B:$B,0))),0)</f>
        <v>0</v>
      </c>
      <c r="AM11" s="100">
        <f>IFERROR(IF($A11=FALSE,0,INDEX('RPS by State'!AX:AX,MATCH($C11,'RPS by State'!$B:$B,0))),0)</f>
        <v>0</v>
      </c>
      <c r="AN11" s="100">
        <f>IFERROR(IF($A11=FALSE,0,INDEX('RPS by State'!AY:AY,MATCH($C11,'RPS by State'!$B:$B,0))),0)</f>
        <v>0</v>
      </c>
      <c r="AO11" s="100">
        <f>IFERROR(IF($A11=FALSE,0,INDEX('RPS by State'!AZ:AZ,MATCH($C11,'RPS by State'!$B:$B,0))),0)</f>
        <v>0</v>
      </c>
      <c r="AP11" s="100">
        <f>IFERROR(IF($A11=FALSE,0,INDEX('RPS by State'!BA:BA,MATCH($C11,'RPS by State'!$B:$B,0))),0)</f>
        <v>0</v>
      </c>
      <c r="AQ11" s="100">
        <f>IFERROR(IF($A11=FALSE,0,INDEX('RPS by State'!BB:BB,MATCH($C11,'RPS by State'!$B:$B,0))),0)</f>
        <v>0</v>
      </c>
      <c r="AR11" s="100">
        <f>IFERROR(IF($A11=FALSE,0,INDEX('RPS by State'!BC:BC,MATCH($C11,'RPS by State'!$B:$B,0))),0)</f>
        <v>0</v>
      </c>
      <c r="AS11" s="100">
        <f>IFERROR(IF($A11=FALSE,0,INDEX('RPS by State'!BD:BD,MATCH($C11,'RPS by State'!$B:$B,0))),0)</f>
        <v>0</v>
      </c>
      <c r="AT11" s="100">
        <f>IFERROR(IF($A11=FALSE,0,INDEX('RPS by State'!BE:BE,MATCH($C11,'RPS by State'!$B:$B,0))),0)</f>
        <v>0</v>
      </c>
      <c r="AU11" s="100">
        <f>IFERROR(IF($A11=FALSE,0,INDEX('RPS by State'!BF:BF,MATCH($C11,'RPS by State'!$B:$B,0))),0)</f>
        <v>0</v>
      </c>
      <c r="AV11" s="100">
        <f>IFERROR(IF($A11=FALSE,0,INDEX('RPS by State'!BG:BG,MATCH($C11,'RPS by State'!$B:$B,0))),0)</f>
        <v>0</v>
      </c>
      <c r="AW11" s="100">
        <f>IFERROR(IF($A11=FALSE,0,INDEX('RPS by State'!BH:BH,MATCH($C11,'RPS by State'!$B:$B,0))),0)</f>
        <v>0</v>
      </c>
      <c r="AX11" s="100">
        <f>IFERROR(IF($A11=FALSE,0,INDEX('RPS by State'!BI:BI,MATCH($C11,'RPS by State'!$B:$B,0))),0)</f>
        <v>0</v>
      </c>
      <c r="AY11" s="100">
        <f>IFERROR(IF($A11=FALSE,0,INDEX('RPS by State'!BJ:BJ,MATCH($C11,'RPS by State'!$B:$B,0))),0)</f>
        <v>0</v>
      </c>
      <c r="AZ11" s="100">
        <f>IFERROR(IF($A11=FALSE,0,INDEX('RPS by State'!BK:BK,MATCH($C11,'RPS by State'!$B:$B,0))),0)</f>
        <v>0</v>
      </c>
      <c r="BA11" s="100">
        <f>IFERROR(IF($A11=FALSE,0,INDEX('RPS by State'!BL:BL,MATCH($C11,'RPS by State'!$B:$B,0))),0)</f>
        <v>0</v>
      </c>
      <c r="BB11" s="100">
        <f>IFERROR(IF($A11=FALSE,0,INDEX('RPS by State'!BM:BM,MATCH($C11,'RPS by State'!$B:$B,0))),0)</f>
        <v>0</v>
      </c>
      <c r="BC11" s="100">
        <f>IFERROR(IF($A11=FALSE,0,INDEX('RPS by State'!BN:BN,MATCH($C11,'RPS by State'!$B:$B,0))),0)</f>
        <v>0</v>
      </c>
      <c r="BD11" s="100">
        <f>IFERROR(IF($A11=FALSE,0,INDEX('RPS by State'!BO:BO,MATCH($C11,'RPS by State'!$B:$B,0))),0)</f>
        <v>0</v>
      </c>
      <c r="BE11" s="100">
        <f>IFERROR(IF($A11=FALSE,0,INDEX('RPS by State'!BP:BP,MATCH($C11,'RPS by State'!$B:$B,0))),0)</f>
        <v>0</v>
      </c>
      <c r="BF11" s="100">
        <f>IFERROR(IF($A11=FALSE,0,INDEX('RPS by State'!BQ:BQ,MATCH($C11,'RPS by State'!$B:$B,0))),0)</f>
        <v>0</v>
      </c>
      <c r="BG11" s="100">
        <f>IFERROR(IF($A11=FALSE,0,INDEX('RPS by State'!BR:BR,MATCH($C11,'RPS by State'!$B:$B,0))),0)</f>
        <v>0</v>
      </c>
      <c r="BH11" s="100">
        <f>IFERROR(IF($A11=FALSE,0,INDEX('RPS by State'!BS:BS,MATCH($C11,'RPS by State'!$B:$B,0))),0)</f>
        <v>0</v>
      </c>
      <c r="BI11" s="100">
        <f>IFERROR(IF($A11=FALSE,0,INDEX('RPS by State'!BT:BT,MATCH($C11,'RPS by State'!$B:$B,0))),0)</f>
        <v>0</v>
      </c>
      <c r="BJ11" s="100">
        <f>IFERROR(IF($A11=FALSE,0,INDEX('RPS by State'!BU:BU,MATCH($C11,'RPS by State'!$B:$B,0))),0)</f>
        <v>0</v>
      </c>
      <c r="BK11" s="100">
        <f>IFERROR(IF($A11=FALSE,0,INDEX('RPS by State'!BV:BV,MATCH($C11,'RPS by State'!$B:$B,0))),0)</f>
        <v>0</v>
      </c>
      <c r="BL11" s="100">
        <f>IFERROR(IF($A11=FALSE,0,INDEX('RPS by State'!BW:BW,MATCH($C11,'RPS by State'!$B:$B,0))),0)</f>
        <v>0</v>
      </c>
      <c r="BM11" s="100">
        <f>IFERROR(IF($A11=FALSE,0,INDEX('RPS by State'!BX:BX,MATCH($C11,'RPS by State'!$B:$B,0))),0)</f>
        <v>0</v>
      </c>
      <c r="BN11" s="100">
        <f>IFERROR(IF($A11=FALSE,0,INDEX('RPS by State'!BY:BY,MATCH($C11,'RPS by State'!$B:$B,0))),0)</f>
        <v>0</v>
      </c>
      <c r="BO11" s="100">
        <f>IFERROR(IF($A11=FALSE,0,INDEX('RPS by State'!BZ:BZ,MATCH($C11,'RPS by State'!$B:$B,0))),0)</f>
        <v>0</v>
      </c>
      <c r="BP11" s="100">
        <f>IFERROR(IF($A11=FALSE,0,INDEX('RPS by State'!CA:CA,MATCH($C11,'RPS by State'!$B:$B,0))),0)</f>
        <v>0</v>
      </c>
      <c r="BQ11" s="100">
        <f>IFERROR(IF($A11=FALSE,0,INDEX('RPS by State'!CB:CB,MATCH($C11,'RPS by State'!$B:$B,0))),0)</f>
        <v>0</v>
      </c>
      <c r="BR11" s="100">
        <f>IFERROR(IF($A11=FALSE,0,INDEX('RPS by State'!CC:CC,MATCH($C11,'RPS by State'!$B:$B,0))),0)</f>
        <v>0</v>
      </c>
      <c r="BS11" s="100">
        <f>IFERROR(IF($A11=FALSE,0,INDEX('RPS by State'!CD:CD,MATCH($C11,'RPS by State'!$B:$B,0))),0)</f>
        <v>0</v>
      </c>
      <c r="BT11" s="100">
        <f>IFERROR(IF($A11=FALSE,0,INDEX('RPS by State'!CE:CE,MATCH($C11,'RPS by State'!$B:$B,0))),0)</f>
        <v>0</v>
      </c>
      <c r="BU11" s="100">
        <f>IFERROR(IF($A11=FALSE,0,INDEX('RPS by State'!CF:CF,MATCH($C11,'RPS by State'!$B:$B,0))),0)</f>
        <v>0</v>
      </c>
      <c r="BV11" s="100">
        <f>IFERROR(IF($A11=FALSE,0,INDEX('RPS by State'!CG:CG,MATCH($C11,'RPS by State'!$B:$B,0))),0)</f>
        <v>0</v>
      </c>
      <c r="BW11" s="100">
        <f>IFERROR(IF($A11=FALSE,0,INDEX('RPS by State'!CH:CH,MATCH($C11,'RPS by State'!$B:$B,0))),0)</f>
        <v>0</v>
      </c>
      <c r="BX11" s="100">
        <f>IFERROR(IF($A11=FALSE,0,INDEX('RPS by State'!CI:CI,MATCH($C11,'RPS by State'!$B:$B,0))),0)</f>
        <v>0</v>
      </c>
      <c r="BY11" s="100">
        <f>IFERROR(IF($A11=FALSE,0,INDEX('RPS by State'!CJ:CJ,MATCH($C11,'RPS by State'!$B:$B,0))),0)</f>
        <v>0</v>
      </c>
      <c r="BZ11" s="100">
        <f>IFERROR(IF($A11=FALSE,0,INDEX('RPS by State'!CK:CK,MATCH($C11,'RPS by State'!$B:$B,0))),0)</f>
        <v>0</v>
      </c>
      <c r="CA11" s="100">
        <f>IFERROR(IF($A11=FALSE,0,INDEX('RPS by State'!CL:CL,MATCH($C11,'RPS by State'!$B:$B,0))),0)</f>
        <v>0</v>
      </c>
      <c r="CB11" s="100">
        <f>IFERROR(IF($A11=FALSE,0,INDEX('RPS by State'!CM:CM,MATCH($C11,'RPS by State'!$B:$B,0))),0)</f>
        <v>0</v>
      </c>
      <c r="CC11" s="100">
        <f>IFERROR(IF($A11=FALSE,0,INDEX('RPS by State'!CN:CN,MATCH($C11,'RPS by State'!$B:$B,0))),0)</f>
        <v>0</v>
      </c>
      <c r="CD11" s="100">
        <f>IFERROR(IF($A11=FALSE,0,INDEX('RPS by State'!CO:CO,MATCH($C11,'RPS by State'!$B:$B,0))),0)</f>
        <v>0</v>
      </c>
      <c r="CE11" s="100">
        <f>IFERROR(IF($A11=FALSE,0,INDEX('RPS by State'!CP:CP,MATCH($C11,'RPS by State'!$B:$B,0))),0)</f>
        <v>0</v>
      </c>
    </row>
    <row r="12" spans="1:83" x14ac:dyDescent="0.25">
      <c r="A12" t="b">
        <f>IFERROR(INDEX('RPS by State'!G:G,MATCH(B12,'RPS by State'!A:A,0)),0)</f>
        <v>0</v>
      </c>
      <c r="B12" s="120" t="s">
        <v>26</v>
      </c>
      <c r="C12" s="120" t="str">
        <f>IFERROR(INDEX(About!L:L,MATCH(B12,About!K:K,0)),0)</f>
        <v>GA</v>
      </c>
      <c r="D12" s="100">
        <f>IFERROR(IF($A12=FALSE,0,INDEX('RPS by State'!O:O,MATCH($C12,'RPS by State'!$B:$B,0))),0)</f>
        <v>0</v>
      </c>
      <c r="E12" s="100">
        <f>IFERROR(IF($A12=FALSE,0,INDEX('RPS by State'!P:P,MATCH($C12,'RPS by State'!$B:$B,0))),0)</f>
        <v>0</v>
      </c>
      <c r="F12" s="100">
        <f>IFERROR(IF($A12=FALSE,0,INDEX('RPS by State'!Q:Q,MATCH($C12,'RPS by State'!$B:$B,0))),0)</f>
        <v>0</v>
      </c>
      <c r="G12" s="100">
        <f>IFERROR(IF($A12=FALSE,0,INDEX('RPS by State'!R:R,MATCH($C12,'RPS by State'!$B:$B,0))),0)</f>
        <v>0</v>
      </c>
      <c r="H12" s="100">
        <f>IFERROR(IF($A12=FALSE,0,INDEX('RPS by State'!S:S,MATCH($C12,'RPS by State'!$B:$B,0))),0)</f>
        <v>0</v>
      </c>
      <c r="I12" s="100">
        <f>IFERROR(IF($A12=FALSE,0,INDEX('RPS by State'!T:T,MATCH($C12,'RPS by State'!$B:$B,0))),0)</f>
        <v>0</v>
      </c>
      <c r="J12" s="100">
        <f>IFERROR(IF($A12=FALSE,0,INDEX('RPS by State'!U:U,MATCH($C12,'RPS by State'!$B:$B,0))),0)</f>
        <v>0</v>
      </c>
      <c r="K12" s="100">
        <f>IFERROR(IF($A12=FALSE,0,INDEX('RPS by State'!V:V,MATCH($C12,'RPS by State'!$B:$B,0))),0)</f>
        <v>0</v>
      </c>
      <c r="L12" s="100">
        <f>IFERROR(IF($A12=FALSE,0,INDEX('RPS by State'!W:W,MATCH($C12,'RPS by State'!$B:$B,0))),0)</f>
        <v>0</v>
      </c>
      <c r="M12" s="100">
        <f>IFERROR(IF($A12=FALSE,0,INDEX('RPS by State'!X:X,MATCH($C12,'RPS by State'!$B:$B,0))),0)</f>
        <v>0</v>
      </c>
      <c r="N12" s="100">
        <f>IFERROR(IF($A12=FALSE,0,INDEX('RPS by State'!Y:Y,MATCH($C12,'RPS by State'!$B:$B,0))),0)</f>
        <v>0</v>
      </c>
      <c r="O12" s="100">
        <f>IFERROR(IF($A12=FALSE,0,INDEX('RPS by State'!Z:Z,MATCH($C12,'RPS by State'!$B:$B,0))),0)</f>
        <v>0</v>
      </c>
      <c r="P12" s="100">
        <f>IFERROR(IF($A12=FALSE,0,INDEX('RPS by State'!AA:AA,MATCH($C12,'RPS by State'!$B:$B,0))),0)</f>
        <v>0</v>
      </c>
      <c r="Q12" s="100">
        <f>IFERROR(IF($A12=FALSE,0,INDEX('RPS by State'!AB:AB,MATCH($C12,'RPS by State'!$B:$B,0))),0)</f>
        <v>0</v>
      </c>
      <c r="R12" s="100">
        <f>IFERROR(IF($A12=FALSE,0,INDEX('RPS by State'!AC:AC,MATCH($C12,'RPS by State'!$B:$B,0))),0)</f>
        <v>0</v>
      </c>
      <c r="S12" s="100">
        <f>IFERROR(IF($A12=FALSE,0,INDEX('RPS by State'!AD:AD,MATCH($C12,'RPS by State'!$B:$B,0))),0)</f>
        <v>0</v>
      </c>
      <c r="T12" s="100">
        <f>IFERROR(IF($A12=FALSE,0,INDEX('RPS by State'!AE:AE,MATCH($C12,'RPS by State'!$B:$B,0))),0)</f>
        <v>0</v>
      </c>
      <c r="U12" s="100">
        <f>IFERROR(IF($A12=FALSE,0,INDEX('RPS by State'!AF:AF,MATCH($C12,'RPS by State'!$B:$B,0))),0)</f>
        <v>0</v>
      </c>
      <c r="V12" s="100">
        <f>IFERROR(IF($A12=FALSE,0,INDEX('RPS by State'!AG:AG,MATCH($C12,'RPS by State'!$B:$B,0))),0)</f>
        <v>0</v>
      </c>
      <c r="W12" s="100">
        <f>IFERROR(IF($A12=FALSE,0,INDEX('RPS by State'!AH:AH,MATCH($C12,'RPS by State'!$B:$B,0))),0)</f>
        <v>0</v>
      </c>
      <c r="X12" s="100">
        <f>IFERROR(IF($A12=FALSE,0,INDEX('RPS by State'!AI:AI,MATCH($C12,'RPS by State'!$B:$B,0))),0)</f>
        <v>0</v>
      </c>
      <c r="Y12" s="100">
        <f>IFERROR(IF($A12=FALSE,0,INDEX('RPS by State'!AJ:AJ,MATCH($C12,'RPS by State'!$B:$B,0))),0)</f>
        <v>0</v>
      </c>
      <c r="Z12" s="100">
        <f>IFERROR(IF($A12=FALSE,0,INDEX('RPS by State'!AK:AK,MATCH($C12,'RPS by State'!$B:$B,0))),0)</f>
        <v>0</v>
      </c>
      <c r="AA12" s="100">
        <f>IFERROR(IF($A12=FALSE,0,INDEX('RPS by State'!AL:AL,MATCH($C12,'RPS by State'!$B:$B,0))),0)</f>
        <v>0</v>
      </c>
      <c r="AB12" s="100">
        <f>IFERROR(IF($A12=FALSE,0,INDEX('RPS by State'!AM:AM,MATCH($C12,'RPS by State'!$B:$B,0))),0)</f>
        <v>0</v>
      </c>
      <c r="AC12" s="100">
        <f>IFERROR(IF($A12=FALSE,0,INDEX('RPS by State'!AN:AN,MATCH($C12,'RPS by State'!$B:$B,0))),0)</f>
        <v>0</v>
      </c>
      <c r="AD12" s="100">
        <f>IFERROR(IF($A12=FALSE,0,INDEX('RPS by State'!AO:AO,MATCH($C12,'RPS by State'!$B:$B,0))),0)</f>
        <v>0</v>
      </c>
      <c r="AE12" s="100">
        <f>IFERROR(IF($A12=FALSE,0,INDEX('RPS by State'!AP:AP,MATCH($C12,'RPS by State'!$B:$B,0))),0)</f>
        <v>0</v>
      </c>
      <c r="AF12" s="100">
        <f>IFERROR(IF($A12=FALSE,0,INDEX('RPS by State'!AQ:AQ,MATCH($C12,'RPS by State'!$B:$B,0))),0)</f>
        <v>0</v>
      </c>
      <c r="AG12" s="100">
        <f>IFERROR(IF($A12=FALSE,0,INDEX('RPS by State'!AR:AR,MATCH($C12,'RPS by State'!$B:$B,0))),0)</f>
        <v>0</v>
      </c>
      <c r="AH12" s="100">
        <f>IFERROR(IF($A12=FALSE,0,INDEX('RPS by State'!AS:AS,MATCH($C12,'RPS by State'!$B:$B,0))),0)</f>
        <v>0</v>
      </c>
      <c r="AI12" s="100">
        <f>IFERROR(IF($A12=FALSE,0,INDEX('RPS by State'!AT:AT,MATCH($C12,'RPS by State'!$B:$B,0))),0)</f>
        <v>0</v>
      </c>
      <c r="AJ12" s="100">
        <f>IFERROR(IF($A12=FALSE,0,INDEX('RPS by State'!AU:AU,MATCH($C12,'RPS by State'!$B:$B,0))),0)</f>
        <v>0</v>
      </c>
      <c r="AK12" s="100">
        <f>IFERROR(IF($A12=FALSE,0,INDEX('RPS by State'!AV:AV,MATCH($C12,'RPS by State'!$B:$B,0))),0)</f>
        <v>0</v>
      </c>
      <c r="AL12" s="100">
        <f>IFERROR(IF($A12=FALSE,0,INDEX('RPS by State'!AW:AW,MATCH($C12,'RPS by State'!$B:$B,0))),0)</f>
        <v>0</v>
      </c>
      <c r="AM12" s="100">
        <f>IFERROR(IF($A12=FALSE,0,INDEX('RPS by State'!AX:AX,MATCH($C12,'RPS by State'!$B:$B,0))),0)</f>
        <v>0</v>
      </c>
      <c r="AN12" s="100">
        <f>IFERROR(IF($A12=FALSE,0,INDEX('RPS by State'!AY:AY,MATCH($C12,'RPS by State'!$B:$B,0))),0)</f>
        <v>0</v>
      </c>
      <c r="AO12" s="100">
        <f>IFERROR(IF($A12=FALSE,0,INDEX('RPS by State'!AZ:AZ,MATCH($C12,'RPS by State'!$B:$B,0))),0)</f>
        <v>0</v>
      </c>
      <c r="AP12" s="100">
        <f>IFERROR(IF($A12=FALSE,0,INDEX('RPS by State'!BA:BA,MATCH($C12,'RPS by State'!$B:$B,0))),0)</f>
        <v>0</v>
      </c>
      <c r="AQ12" s="100">
        <f>IFERROR(IF($A12=FALSE,0,INDEX('RPS by State'!BB:BB,MATCH($C12,'RPS by State'!$B:$B,0))),0)</f>
        <v>0</v>
      </c>
      <c r="AR12" s="100">
        <f>IFERROR(IF($A12=FALSE,0,INDEX('RPS by State'!BC:BC,MATCH($C12,'RPS by State'!$B:$B,0))),0)</f>
        <v>0</v>
      </c>
      <c r="AS12" s="100">
        <f>IFERROR(IF($A12=FALSE,0,INDEX('RPS by State'!BD:BD,MATCH($C12,'RPS by State'!$B:$B,0))),0)</f>
        <v>0</v>
      </c>
      <c r="AT12" s="100">
        <f>IFERROR(IF($A12=FALSE,0,INDEX('RPS by State'!BE:BE,MATCH($C12,'RPS by State'!$B:$B,0))),0)</f>
        <v>0</v>
      </c>
      <c r="AU12" s="100">
        <f>IFERROR(IF($A12=FALSE,0,INDEX('RPS by State'!BF:BF,MATCH($C12,'RPS by State'!$B:$B,0))),0)</f>
        <v>0</v>
      </c>
      <c r="AV12" s="100">
        <f>IFERROR(IF($A12=FALSE,0,INDEX('RPS by State'!BG:BG,MATCH($C12,'RPS by State'!$B:$B,0))),0)</f>
        <v>0</v>
      </c>
      <c r="AW12" s="100">
        <f>IFERROR(IF($A12=FALSE,0,INDEX('RPS by State'!BH:BH,MATCH($C12,'RPS by State'!$B:$B,0))),0)</f>
        <v>0</v>
      </c>
      <c r="AX12" s="100">
        <f>IFERROR(IF($A12=FALSE,0,INDEX('RPS by State'!BI:BI,MATCH($C12,'RPS by State'!$B:$B,0))),0)</f>
        <v>0</v>
      </c>
      <c r="AY12" s="100">
        <f>IFERROR(IF($A12=FALSE,0,INDEX('RPS by State'!BJ:BJ,MATCH($C12,'RPS by State'!$B:$B,0))),0)</f>
        <v>0</v>
      </c>
      <c r="AZ12" s="100">
        <f>IFERROR(IF($A12=FALSE,0,INDEX('RPS by State'!BK:BK,MATCH($C12,'RPS by State'!$B:$B,0))),0)</f>
        <v>0</v>
      </c>
      <c r="BA12" s="100">
        <f>IFERROR(IF($A12=FALSE,0,INDEX('RPS by State'!BL:BL,MATCH($C12,'RPS by State'!$B:$B,0))),0)</f>
        <v>0</v>
      </c>
      <c r="BB12" s="100">
        <f>IFERROR(IF($A12=FALSE,0,INDEX('RPS by State'!BM:BM,MATCH($C12,'RPS by State'!$B:$B,0))),0)</f>
        <v>0</v>
      </c>
      <c r="BC12" s="100">
        <f>IFERROR(IF($A12=FALSE,0,INDEX('RPS by State'!BN:BN,MATCH($C12,'RPS by State'!$B:$B,0))),0)</f>
        <v>0</v>
      </c>
      <c r="BD12" s="100">
        <f>IFERROR(IF($A12=FALSE,0,INDEX('RPS by State'!BO:BO,MATCH($C12,'RPS by State'!$B:$B,0))),0)</f>
        <v>0</v>
      </c>
      <c r="BE12" s="100">
        <f>IFERROR(IF($A12=FALSE,0,INDEX('RPS by State'!BP:BP,MATCH($C12,'RPS by State'!$B:$B,0))),0)</f>
        <v>0</v>
      </c>
      <c r="BF12" s="100">
        <f>IFERROR(IF($A12=FALSE,0,INDEX('RPS by State'!BQ:BQ,MATCH($C12,'RPS by State'!$B:$B,0))),0)</f>
        <v>0</v>
      </c>
      <c r="BG12" s="100">
        <f>IFERROR(IF($A12=FALSE,0,INDEX('RPS by State'!BR:BR,MATCH($C12,'RPS by State'!$B:$B,0))),0)</f>
        <v>0</v>
      </c>
      <c r="BH12" s="100">
        <f>IFERROR(IF($A12=FALSE,0,INDEX('RPS by State'!BS:BS,MATCH($C12,'RPS by State'!$B:$B,0))),0)</f>
        <v>0</v>
      </c>
      <c r="BI12" s="100">
        <f>IFERROR(IF($A12=FALSE,0,INDEX('RPS by State'!BT:BT,MATCH($C12,'RPS by State'!$B:$B,0))),0)</f>
        <v>0</v>
      </c>
      <c r="BJ12" s="100">
        <f>IFERROR(IF($A12=FALSE,0,INDEX('RPS by State'!BU:BU,MATCH($C12,'RPS by State'!$B:$B,0))),0)</f>
        <v>0</v>
      </c>
      <c r="BK12" s="100">
        <f>IFERROR(IF($A12=FALSE,0,INDEX('RPS by State'!BV:BV,MATCH($C12,'RPS by State'!$B:$B,0))),0)</f>
        <v>0</v>
      </c>
      <c r="BL12" s="100">
        <f>IFERROR(IF($A12=FALSE,0,INDEX('RPS by State'!BW:BW,MATCH($C12,'RPS by State'!$B:$B,0))),0)</f>
        <v>0</v>
      </c>
      <c r="BM12" s="100">
        <f>IFERROR(IF($A12=FALSE,0,INDEX('RPS by State'!BX:BX,MATCH($C12,'RPS by State'!$B:$B,0))),0)</f>
        <v>0</v>
      </c>
      <c r="BN12" s="100">
        <f>IFERROR(IF($A12=FALSE,0,INDEX('RPS by State'!BY:BY,MATCH($C12,'RPS by State'!$B:$B,0))),0)</f>
        <v>0</v>
      </c>
      <c r="BO12" s="100">
        <f>IFERROR(IF($A12=FALSE,0,INDEX('RPS by State'!BZ:BZ,MATCH($C12,'RPS by State'!$B:$B,0))),0)</f>
        <v>0</v>
      </c>
      <c r="BP12" s="100">
        <f>IFERROR(IF($A12=FALSE,0,INDEX('RPS by State'!CA:CA,MATCH($C12,'RPS by State'!$B:$B,0))),0)</f>
        <v>0</v>
      </c>
      <c r="BQ12" s="100">
        <f>IFERROR(IF($A12=FALSE,0,INDEX('RPS by State'!CB:CB,MATCH($C12,'RPS by State'!$B:$B,0))),0)</f>
        <v>0</v>
      </c>
      <c r="BR12" s="100">
        <f>IFERROR(IF($A12=FALSE,0,INDEX('RPS by State'!CC:CC,MATCH($C12,'RPS by State'!$B:$B,0))),0)</f>
        <v>0</v>
      </c>
      <c r="BS12" s="100">
        <f>IFERROR(IF($A12=FALSE,0,INDEX('RPS by State'!CD:CD,MATCH($C12,'RPS by State'!$B:$B,0))),0)</f>
        <v>0</v>
      </c>
      <c r="BT12" s="100">
        <f>IFERROR(IF($A12=FALSE,0,INDEX('RPS by State'!CE:CE,MATCH($C12,'RPS by State'!$B:$B,0))),0)</f>
        <v>0</v>
      </c>
      <c r="BU12" s="100">
        <f>IFERROR(IF($A12=FALSE,0,INDEX('RPS by State'!CF:CF,MATCH($C12,'RPS by State'!$B:$B,0))),0)</f>
        <v>0</v>
      </c>
      <c r="BV12" s="100">
        <f>IFERROR(IF($A12=FALSE,0,INDEX('RPS by State'!CG:CG,MATCH($C12,'RPS by State'!$B:$B,0))),0)</f>
        <v>0</v>
      </c>
      <c r="BW12" s="100">
        <f>IFERROR(IF($A12=FALSE,0,INDEX('RPS by State'!CH:CH,MATCH($C12,'RPS by State'!$B:$B,0))),0)</f>
        <v>0</v>
      </c>
      <c r="BX12" s="100">
        <f>IFERROR(IF($A12=FALSE,0,INDEX('RPS by State'!CI:CI,MATCH($C12,'RPS by State'!$B:$B,0))),0)</f>
        <v>0</v>
      </c>
      <c r="BY12" s="100">
        <f>IFERROR(IF($A12=FALSE,0,INDEX('RPS by State'!CJ:CJ,MATCH($C12,'RPS by State'!$B:$B,0))),0)</f>
        <v>0</v>
      </c>
      <c r="BZ12" s="100">
        <f>IFERROR(IF($A12=FALSE,0,INDEX('RPS by State'!CK:CK,MATCH($C12,'RPS by State'!$B:$B,0))),0)</f>
        <v>0</v>
      </c>
      <c r="CA12" s="100">
        <f>IFERROR(IF($A12=FALSE,0,INDEX('RPS by State'!CL:CL,MATCH($C12,'RPS by State'!$B:$B,0))),0)</f>
        <v>0</v>
      </c>
      <c r="CB12" s="100">
        <f>IFERROR(IF($A12=FALSE,0,INDEX('RPS by State'!CM:CM,MATCH($C12,'RPS by State'!$B:$B,0))),0)</f>
        <v>0</v>
      </c>
      <c r="CC12" s="100">
        <f>IFERROR(IF($A12=FALSE,0,INDEX('RPS by State'!CN:CN,MATCH($C12,'RPS by State'!$B:$B,0))),0)</f>
        <v>0</v>
      </c>
      <c r="CD12" s="100">
        <f>IFERROR(IF($A12=FALSE,0,INDEX('RPS by State'!CO:CO,MATCH($C12,'RPS by State'!$B:$B,0))),0)</f>
        <v>0</v>
      </c>
      <c r="CE12" s="100">
        <f>IFERROR(IF($A12=FALSE,0,INDEX('RPS by State'!CP:CP,MATCH($C12,'RPS by State'!$B:$B,0))),0)</f>
        <v>0</v>
      </c>
    </row>
    <row r="13" spans="1:83" x14ac:dyDescent="0.25">
      <c r="A13" t="b">
        <f>IFERROR(INDEX('RPS by State'!G:G,MATCH(B13,'RPS by State'!A:A,0)),0)</f>
        <v>1</v>
      </c>
      <c r="B13" s="120" t="s">
        <v>28</v>
      </c>
      <c r="C13" s="120" t="str">
        <f>IFERROR(INDEX(About!L:L,MATCH(B13,About!K:K,0)),0)</f>
        <v>HI</v>
      </c>
      <c r="D13" s="100">
        <f>IFERROR(IF($A13=FALSE,0,INDEX('RPS by State'!O:O,MATCH($C13,'RPS by State'!$B:$B,0))),0)</f>
        <v>0.31</v>
      </c>
      <c r="E13" s="100">
        <f>IFERROR(IF($A13=FALSE,0,INDEX('RPS by State'!P:P,MATCH($C13,'RPS by State'!$B:$B,0))),0)</f>
        <v>0.32</v>
      </c>
      <c r="F13" s="100">
        <f>IFERROR(IF($A13=FALSE,0,INDEX('RPS by State'!Q:Q,MATCH($C13,'RPS by State'!$B:$B,0))),0)</f>
        <v>0.33</v>
      </c>
      <c r="G13" s="100">
        <f>IFERROR(IF($A13=FALSE,0,INDEX('RPS by State'!R:R,MATCH($C13,'RPS by State'!$B:$B,0))),0)</f>
        <v>0.34</v>
      </c>
      <c r="H13" s="100">
        <f>IFERROR(IF($A13=FALSE,0,INDEX('RPS by State'!S:S,MATCH($C13,'RPS by State'!$B:$B,0))),0)</f>
        <v>0.35000000000000003</v>
      </c>
      <c r="I13" s="100">
        <f>IFERROR(IF($A13=FALSE,0,INDEX('RPS by State'!T:T,MATCH($C13,'RPS by State'!$B:$B,0))),0)</f>
        <v>0.36</v>
      </c>
      <c r="J13" s="100">
        <f>IFERROR(IF($A13=FALSE,0,INDEX('RPS by State'!U:U,MATCH($C13,'RPS by State'!$B:$B,0))),0)</f>
        <v>0.37</v>
      </c>
      <c r="K13" s="100">
        <f>IFERROR(IF($A13=FALSE,0,INDEX('RPS by State'!V:V,MATCH($C13,'RPS by State'!$B:$B,0))),0)</f>
        <v>0.38</v>
      </c>
      <c r="L13" s="100">
        <f>IFERROR(IF($A13=FALSE,0,INDEX('RPS by State'!W:W,MATCH($C13,'RPS by State'!$B:$B,0))),0)</f>
        <v>0.39</v>
      </c>
      <c r="M13" s="100">
        <f>IFERROR(IF($A13=FALSE,0,INDEX('RPS by State'!X:X,MATCH($C13,'RPS by State'!$B:$B,0))),0)</f>
        <v>0.4</v>
      </c>
      <c r="N13" s="100">
        <f>IFERROR(IF($A13=FALSE,0,INDEX('RPS by State'!Y:Y,MATCH($C13,'RPS by State'!$B:$B,0))),0)</f>
        <v>0.43</v>
      </c>
      <c r="O13" s="100">
        <f>IFERROR(IF($A13=FALSE,0,INDEX('RPS by State'!Z:Z,MATCH($C13,'RPS by State'!$B:$B,0))),0)</f>
        <v>0.46</v>
      </c>
      <c r="P13" s="100">
        <f>IFERROR(IF($A13=FALSE,0,INDEX('RPS by State'!AA:AA,MATCH($C13,'RPS by State'!$B:$B,0))),0)</f>
        <v>0.49</v>
      </c>
      <c r="Q13" s="100">
        <f>IFERROR(IF($A13=FALSE,0,INDEX('RPS by State'!AB:AB,MATCH($C13,'RPS by State'!$B:$B,0))),0)</f>
        <v>0.52</v>
      </c>
      <c r="R13" s="100">
        <f>IFERROR(IF($A13=FALSE,0,INDEX('RPS by State'!AC:AC,MATCH($C13,'RPS by State'!$B:$B,0))),0)</f>
        <v>0.55000000000000004</v>
      </c>
      <c r="S13" s="100">
        <f>IFERROR(IF($A13=FALSE,0,INDEX('RPS by State'!AD:AD,MATCH($C13,'RPS by State'!$B:$B,0))),0)</f>
        <v>0.57999999999999996</v>
      </c>
      <c r="T13" s="100">
        <f>IFERROR(IF($A13=FALSE,0,INDEX('RPS by State'!AE:AE,MATCH($C13,'RPS by State'!$B:$B,0))),0)</f>
        <v>0.61</v>
      </c>
      <c r="U13" s="100">
        <f>IFERROR(IF($A13=FALSE,0,INDEX('RPS by State'!AF:AF,MATCH($C13,'RPS by State'!$B:$B,0))),0)</f>
        <v>0.6399999999999999</v>
      </c>
      <c r="V13" s="100">
        <f>IFERROR(IF($A13=FALSE,0,INDEX('RPS by State'!AG:AG,MATCH($C13,'RPS by State'!$B:$B,0))),0)</f>
        <v>0.66999999999999993</v>
      </c>
      <c r="W13" s="100">
        <f>IFERROR(IF($A13=FALSE,0,INDEX('RPS by State'!AH:AH,MATCH($C13,'RPS by State'!$B:$B,0))),0)</f>
        <v>0.7</v>
      </c>
      <c r="X13" s="100">
        <f>IFERROR(IF($A13=FALSE,0,INDEX('RPS by State'!AI:AI,MATCH($C13,'RPS by State'!$B:$B,0))),0)</f>
        <v>0.76</v>
      </c>
      <c r="Y13" s="100">
        <f>IFERROR(IF($A13=FALSE,0,INDEX('RPS by State'!AJ:AJ,MATCH($C13,'RPS by State'!$B:$B,0))),0)</f>
        <v>0.82</v>
      </c>
      <c r="Z13" s="100">
        <f>IFERROR(IF($A13=FALSE,0,INDEX('RPS by State'!AK:AK,MATCH($C13,'RPS by State'!$B:$B,0))),0)</f>
        <v>0.88</v>
      </c>
      <c r="AA13" s="100">
        <f>IFERROR(IF($A13=FALSE,0,INDEX('RPS by State'!AL:AL,MATCH($C13,'RPS by State'!$B:$B,0))),0)</f>
        <v>0.94</v>
      </c>
      <c r="AB13" s="100">
        <f>IFERROR(IF($A13=FALSE,0,INDEX('RPS by State'!AM:AM,MATCH($C13,'RPS by State'!$B:$B,0))),0)</f>
        <v>1</v>
      </c>
      <c r="AC13" s="100">
        <f>IFERROR(IF($A13=FALSE,0,INDEX('RPS by State'!AN:AN,MATCH($C13,'RPS by State'!$B:$B,0))),0)</f>
        <v>1</v>
      </c>
      <c r="AD13" s="100">
        <f>IFERROR(IF($A13=FALSE,0,INDEX('RPS by State'!AO:AO,MATCH($C13,'RPS by State'!$B:$B,0))),0)</f>
        <v>1</v>
      </c>
      <c r="AE13" s="100">
        <f>IFERROR(IF($A13=FALSE,0,INDEX('RPS by State'!AP:AP,MATCH($C13,'RPS by State'!$B:$B,0))),0)</f>
        <v>1</v>
      </c>
      <c r="AF13" s="100">
        <f>IFERROR(IF($A13=FALSE,0,INDEX('RPS by State'!AQ:AQ,MATCH($C13,'RPS by State'!$B:$B,0))),0)</f>
        <v>1</v>
      </c>
      <c r="AG13" s="100">
        <f>IFERROR(IF($A13=FALSE,0,INDEX('RPS by State'!AR:AR,MATCH($C13,'RPS by State'!$B:$B,0))),0)</f>
        <v>1</v>
      </c>
      <c r="AH13" s="100">
        <f>IFERROR(IF($A13=FALSE,0,INDEX('RPS by State'!AS:AS,MATCH($C13,'RPS by State'!$B:$B,0))),0)</f>
        <v>0</v>
      </c>
      <c r="AI13" s="100">
        <f>IFERROR(IF($A13=FALSE,0,INDEX('RPS by State'!AT:AT,MATCH($C13,'RPS by State'!$B:$B,0))),0)</f>
        <v>0</v>
      </c>
      <c r="AJ13" s="100">
        <f>IFERROR(IF($A13=FALSE,0,INDEX('RPS by State'!AU:AU,MATCH($C13,'RPS by State'!$B:$B,0))),0)</f>
        <v>0</v>
      </c>
      <c r="AK13" s="100">
        <f>IFERROR(IF($A13=FALSE,0,INDEX('RPS by State'!AV:AV,MATCH($C13,'RPS by State'!$B:$B,0))),0)</f>
        <v>0</v>
      </c>
      <c r="AL13" s="100">
        <f>IFERROR(IF($A13=FALSE,0,INDEX('RPS by State'!AW:AW,MATCH($C13,'RPS by State'!$B:$B,0))),0)</f>
        <v>0</v>
      </c>
      <c r="AM13" s="100">
        <f>IFERROR(IF($A13=FALSE,0,INDEX('RPS by State'!AX:AX,MATCH($C13,'RPS by State'!$B:$B,0))),0)</f>
        <v>0</v>
      </c>
      <c r="AN13" s="100">
        <f>IFERROR(IF($A13=FALSE,0,INDEX('RPS by State'!AY:AY,MATCH($C13,'RPS by State'!$B:$B,0))),0)</f>
        <v>0</v>
      </c>
      <c r="AO13" s="100">
        <f>IFERROR(IF($A13=FALSE,0,INDEX('RPS by State'!AZ:AZ,MATCH($C13,'RPS by State'!$B:$B,0))),0)</f>
        <v>0</v>
      </c>
      <c r="AP13" s="100">
        <f>IFERROR(IF($A13=FALSE,0,INDEX('RPS by State'!BA:BA,MATCH($C13,'RPS by State'!$B:$B,0))),0)</f>
        <v>0</v>
      </c>
      <c r="AQ13" s="100">
        <f>IFERROR(IF($A13=FALSE,0,INDEX('RPS by State'!BB:BB,MATCH($C13,'RPS by State'!$B:$B,0))),0)</f>
        <v>0</v>
      </c>
      <c r="AR13" s="100">
        <f>IFERROR(IF($A13=FALSE,0,INDEX('RPS by State'!BC:BC,MATCH($C13,'RPS by State'!$B:$B,0))),0)</f>
        <v>0</v>
      </c>
      <c r="AS13" s="100">
        <f>IFERROR(IF($A13=FALSE,0,INDEX('RPS by State'!BD:BD,MATCH($C13,'RPS by State'!$B:$B,0))),0)</f>
        <v>0</v>
      </c>
      <c r="AT13" s="100">
        <f>IFERROR(IF($A13=FALSE,0,INDEX('RPS by State'!BE:BE,MATCH($C13,'RPS by State'!$B:$B,0))),0)</f>
        <v>0</v>
      </c>
      <c r="AU13" s="100">
        <f>IFERROR(IF($A13=FALSE,0,INDEX('RPS by State'!BF:BF,MATCH($C13,'RPS by State'!$B:$B,0))),0)</f>
        <v>0</v>
      </c>
      <c r="AV13" s="100">
        <f>IFERROR(IF($A13=FALSE,0,INDEX('RPS by State'!BG:BG,MATCH($C13,'RPS by State'!$B:$B,0))),0)</f>
        <v>0</v>
      </c>
      <c r="AW13" s="100">
        <f>IFERROR(IF($A13=FALSE,0,INDEX('RPS by State'!BH:BH,MATCH($C13,'RPS by State'!$B:$B,0))),0)</f>
        <v>0</v>
      </c>
      <c r="AX13" s="100">
        <f>IFERROR(IF($A13=FALSE,0,INDEX('RPS by State'!BI:BI,MATCH($C13,'RPS by State'!$B:$B,0))),0)</f>
        <v>0</v>
      </c>
      <c r="AY13" s="100">
        <f>IFERROR(IF($A13=FALSE,0,INDEX('RPS by State'!BJ:BJ,MATCH($C13,'RPS by State'!$B:$B,0))),0)</f>
        <v>0</v>
      </c>
      <c r="AZ13" s="100">
        <f>IFERROR(IF($A13=FALSE,0,INDEX('RPS by State'!BK:BK,MATCH($C13,'RPS by State'!$B:$B,0))),0)</f>
        <v>0</v>
      </c>
      <c r="BA13" s="100">
        <f>IFERROR(IF($A13=FALSE,0,INDEX('RPS by State'!BL:BL,MATCH($C13,'RPS by State'!$B:$B,0))),0)</f>
        <v>0</v>
      </c>
      <c r="BB13" s="100">
        <f>IFERROR(IF($A13=FALSE,0,INDEX('RPS by State'!BM:BM,MATCH($C13,'RPS by State'!$B:$B,0))),0)</f>
        <v>0</v>
      </c>
      <c r="BC13" s="100">
        <f>IFERROR(IF($A13=FALSE,0,INDEX('RPS by State'!BN:BN,MATCH($C13,'RPS by State'!$B:$B,0))),0)</f>
        <v>0</v>
      </c>
      <c r="BD13" s="100">
        <f>IFERROR(IF($A13=FALSE,0,INDEX('RPS by State'!BO:BO,MATCH($C13,'RPS by State'!$B:$B,0))),0)</f>
        <v>0</v>
      </c>
      <c r="BE13" s="100">
        <f>IFERROR(IF($A13=FALSE,0,INDEX('RPS by State'!BP:BP,MATCH($C13,'RPS by State'!$B:$B,0))),0)</f>
        <v>0</v>
      </c>
      <c r="BF13" s="100">
        <f>IFERROR(IF($A13=FALSE,0,INDEX('RPS by State'!BQ:BQ,MATCH($C13,'RPS by State'!$B:$B,0))),0)</f>
        <v>0</v>
      </c>
      <c r="BG13" s="100">
        <f>IFERROR(IF($A13=FALSE,0,INDEX('RPS by State'!BR:BR,MATCH($C13,'RPS by State'!$B:$B,0))),0)</f>
        <v>0</v>
      </c>
      <c r="BH13" s="100">
        <f>IFERROR(IF($A13=FALSE,0,INDEX('RPS by State'!BS:BS,MATCH($C13,'RPS by State'!$B:$B,0))),0)</f>
        <v>0</v>
      </c>
      <c r="BI13" s="100">
        <f>IFERROR(IF($A13=FALSE,0,INDEX('RPS by State'!BT:BT,MATCH($C13,'RPS by State'!$B:$B,0))),0)</f>
        <v>0</v>
      </c>
      <c r="BJ13" s="100">
        <f>IFERROR(IF($A13=FALSE,0,INDEX('RPS by State'!BU:BU,MATCH($C13,'RPS by State'!$B:$B,0))),0)</f>
        <v>0</v>
      </c>
      <c r="BK13" s="100">
        <f>IFERROR(IF($A13=FALSE,0,INDEX('RPS by State'!BV:BV,MATCH($C13,'RPS by State'!$B:$B,0))),0)</f>
        <v>0</v>
      </c>
      <c r="BL13" s="100">
        <f>IFERROR(IF($A13=FALSE,0,INDEX('RPS by State'!BW:BW,MATCH($C13,'RPS by State'!$B:$B,0))),0)</f>
        <v>0</v>
      </c>
      <c r="BM13" s="100">
        <f>IFERROR(IF($A13=FALSE,0,INDEX('RPS by State'!BX:BX,MATCH($C13,'RPS by State'!$B:$B,0))),0)</f>
        <v>0</v>
      </c>
      <c r="BN13" s="100">
        <f>IFERROR(IF($A13=FALSE,0,INDEX('RPS by State'!BY:BY,MATCH($C13,'RPS by State'!$B:$B,0))),0)</f>
        <v>0</v>
      </c>
      <c r="BO13" s="100">
        <f>IFERROR(IF($A13=FALSE,0,INDEX('RPS by State'!BZ:BZ,MATCH($C13,'RPS by State'!$B:$B,0))),0)</f>
        <v>0</v>
      </c>
      <c r="BP13" s="100">
        <f>IFERROR(IF($A13=FALSE,0,INDEX('RPS by State'!CA:CA,MATCH($C13,'RPS by State'!$B:$B,0))),0)</f>
        <v>0</v>
      </c>
      <c r="BQ13" s="100">
        <f>IFERROR(IF($A13=FALSE,0,INDEX('RPS by State'!CB:CB,MATCH($C13,'RPS by State'!$B:$B,0))),0)</f>
        <v>0</v>
      </c>
      <c r="BR13" s="100">
        <f>IFERROR(IF($A13=FALSE,0,INDEX('RPS by State'!CC:CC,MATCH($C13,'RPS by State'!$B:$B,0))),0)</f>
        <v>0</v>
      </c>
      <c r="BS13" s="100">
        <f>IFERROR(IF($A13=FALSE,0,INDEX('RPS by State'!CD:CD,MATCH($C13,'RPS by State'!$B:$B,0))),0)</f>
        <v>0</v>
      </c>
      <c r="BT13" s="100">
        <f>IFERROR(IF($A13=FALSE,0,INDEX('RPS by State'!CE:CE,MATCH($C13,'RPS by State'!$B:$B,0))),0)</f>
        <v>0</v>
      </c>
      <c r="BU13" s="100">
        <f>IFERROR(IF($A13=FALSE,0,INDEX('RPS by State'!CF:CF,MATCH($C13,'RPS by State'!$B:$B,0))),0)</f>
        <v>0</v>
      </c>
      <c r="BV13" s="100">
        <f>IFERROR(IF($A13=FALSE,0,INDEX('RPS by State'!CG:CG,MATCH($C13,'RPS by State'!$B:$B,0))),0)</f>
        <v>0</v>
      </c>
      <c r="BW13" s="100">
        <f>IFERROR(IF($A13=FALSE,0,INDEX('RPS by State'!CH:CH,MATCH($C13,'RPS by State'!$B:$B,0))),0)</f>
        <v>0</v>
      </c>
      <c r="BX13" s="100">
        <f>IFERROR(IF($A13=FALSE,0,INDEX('RPS by State'!CI:CI,MATCH($C13,'RPS by State'!$B:$B,0))),0)</f>
        <v>0</v>
      </c>
      <c r="BY13" s="100">
        <f>IFERROR(IF($A13=FALSE,0,INDEX('RPS by State'!CJ:CJ,MATCH($C13,'RPS by State'!$B:$B,0))),0)</f>
        <v>0</v>
      </c>
      <c r="BZ13" s="100">
        <f>IFERROR(IF($A13=FALSE,0,INDEX('RPS by State'!CK:CK,MATCH($C13,'RPS by State'!$B:$B,0))),0)</f>
        <v>0</v>
      </c>
      <c r="CA13" s="100">
        <f>IFERROR(IF($A13=FALSE,0,INDEX('RPS by State'!CL:CL,MATCH($C13,'RPS by State'!$B:$B,0))),0)</f>
        <v>0</v>
      </c>
      <c r="CB13" s="100">
        <f>IFERROR(IF($A13=FALSE,0,INDEX('RPS by State'!CM:CM,MATCH($C13,'RPS by State'!$B:$B,0))),0)</f>
        <v>0</v>
      </c>
      <c r="CC13" s="100">
        <f>IFERROR(IF($A13=FALSE,0,INDEX('RPS by State'!CN:CN,MATCH($C13,'RPS by State'!$B:$B,0))),0)</f>
        <v>0</v>
      </c>
      <c r="CD13" s="100">
        <f>IFERROR(IF($A13=FALSE,0,INDEX('RPS by State'!CO:CO,MATCH($C13,'RPS by State'!$B:$B,0))),0)</f>
        <v>0</v>
      </c>
      <c r="CE13" s="100">
        <f>IFERROR(IF($A13=FALSE,0,INDEX('RPS by State'!CP:CP,MATCH($C13,'RPS by State'!$B:$B,0))),0)</f>
        <v>0</v>
      </c>
    </row>
    <row r="14" spans="1:83" x14ac:dyDescent="0.25">
      <c r="A14" t="b">
        <f>IFERROR(INDEX('RPS by State'!G:G,MATCH(B14,'RPS by State'!A:A,0)),0)</f>
        <v>0</v>
      </c>
      <c r="B14" s="120" t="s">
        <v>31</v>
      </c>
      <c r="C14" s="120" t="str">
        <f>IFERROR(INDEX(About!L:L,MATCH(B14,About!K:K,0)),0)</f>
        <v>ID</v>
      </c>
      <c r="D14" s="100">
        <f>IFERROR(IF($A14=FALSE,0,INDEX('RPS by State'!O:O,MATCH($C14,'RPS by State'!$B:$B,0))),0)</f>
        <v>0</v>
      </c>
      <c r="E14" s="100">
        <f>IFERROR(IF($A14=FALSE,0,INDEX('RPS by State'!P:P,MATCH($C14,'RPS by State'!$B:$B,0))),0)</f>
        <v>0</v>
      </c>
      <c r="F14" s="100">
        <f>IFERROR(IF($A14=FALSE,0,INDEX('RPS by State'!Q:Q,MATCH($C14,'RPS by State'!$B:$B,0))),0)</f>
        <v>0</v>
      </c>
      <c r="G14" s="100">
        <f>IFERROR(IF($A14=FALSE,0,INDEX('RPS by State'!R:R,MATCH($C14,'RPS by State'!$B:$B,0))),0)</f>
        <v>0</v>
      </c>
      <c r="H14" s="100">
        <f>IFERROR(IF($A14=FALSE,0,INDEX('RPS by State'!S:S,MATCH($C14,'RPS by State'!$B:$B,0))),0)</f>
        <v>0</v>
      </c>
      <c r="I14" s="100">
        <f>IFERROR(IF($A14=FALSE,0,INDEX('RPS by State'!T:T,MATCH($C14,'RPS by State'!$B:$B,0))),0)</f>
        <v>0</v>
      </c>
      <c r="J14" s="100">
        <f>IFERROR(IF($A14=FALSE,0,INDEX('RPS by State'!U:U,MATCH($C14,'RPS by State'!$B:$B,0))),0)</f>
        <v>0</v>
      </c>
      <c r="K14" s="100">
        <f>IFERROR(IF($A14=FALSE,0,INDEX('RPS by State'!V:V,MATCH($C14,'RPS by State'!$B:$B,0))),0)</f>
        <v>0</v>
      </c>
      <c r="L14" s="100">
        <f>IFERROR(IF($A14=FALSE,0,INDEX('RPS by State'!W:W,MATCH($C14,'RPS by State'!$B:$B,0))),0)</f>
        <v>0</v>
      </c>
      <c r="M14" s="100">
        <f>IFERROR(IF($A14=FALSE,0,INDEX('RPS by State'!X:X,MATCH($C14,'RPS by State'!$B:$B,0))),0)</f>
        <v>0</v>
      </c>
      <c r="N14" s="100">
        <f>IFERROR(IF($A14=FALSE,0,INDEX('RPS by State'!Y:Y,MATCH($C14,'RPS by State'!$B:$B,0))),0)</f>
        <v>0</v>
      </c>
      <c r="O14" s="100">
        <f>IFERROR(IF($A14=FALSE,0,INDEX('RPS by State'!Z:Z,MATCH($C14,'RPS by State'!$B:$B,0))),0)</f>
        <v>0</v>
      </c>
      <c r="P14" s="100">
        <f>IFERROR(IF($A14=FALSE,0,INDEX('RPS by State'!AA:AA,MATCH($C14,'RPS by State'!$B:$B,0))),0)</f>
        <v>0</v>
      </c>
      <c r="Q14" s="100">
        <f>IFERROR(IF($A14=FALSE,0,INDEX('RPS by State'!AB:AB,MATCH($C14,'RPS by State'!$B:$B,0))),0)</f>
        <v>0</v>
      </c>
      <c r="R14" s="100">
        <f>IFERROR(IF($A14=FALSE,0,INDEX('RPS by State'!AC:AC,MATCH($C14,'RPS by State'!$B:$B,0))),0)</f>
        <v>0</v>
      </c>
      <c r="S14" s="100">
        <f>IFERROR(IF($A14=FALSE,0,INDEX('RPS by State'!AD:AD,MATCH($C14,'RPS by State'!$B:$B,0))),0)</f>
        <v>0</v>
      </c>
      <c r="T14" s="100">
        <f>IFERROR(IF($A14=FALSE,0,INDEX('RPS by State'!AE:AE,MATCH($C14,'RPS by State'!$B:$B,0))),0)</f>
        <v>0</v>
      </c>
      <c r="U14" s="100">
        <f>IFERROR(IF($A14=FALSE,0,INDEX('RPS by State'!AF:AF,MATCH($C14,'RPS by State'!$B:$B,0))),0)</f>
        <v>0</v>
      </c>
      <c r="V14" s="100">
        <f>IFERROR(IF($A14=FALSE,0,INDEX('RPS by State'!AG:AG,MATCH($C14,'RPS by State'!$B:$B,0))),0)</f>
        <v>0</v>
      </c>
      <c r="W14" s="100">
        <f>IFERROR(IF($A14=FALSE,0,INDEX('RPS by State'!AH:AH,MATCH($C14,'RPS by State'!$B:$B,0))),0)</f>
        <v>0</v>
      </c>
      <c r="X14" s="100">
        <f>IFERROR(IF($A14=FALSE,0,INDEX('RPS by State'!AI:AI,MATCH($C14,'RPS by State'!$B:$B,0))),0)</f>
        <v>0</v>
      </c>
      <c r="Y14" s="100">
        <f>IFERROR(IF($A14=FALSE,0,INDEX('RPS by State'!AJ:AJ,MATCH($C14,'RPS by State'!$B:$B,0))),0)</f>
        <v>0</v>
      </c>
      <c r="Z14" s="100">
        <f>IFERROR(IF($A14=FALSE,0,INDEX('RPS by State'!AK:AK,MATCH($C14,'RPS by State'!$B:$B,0))),0)</f>
        <v>0</v>
      </c>
      <c r="AA14" s="100">
        <f>IFERROR(IF($A14=FALSE,0,INDEX('RPS by State'!AL:AL,MATCH($C14,'RPS by State'!$B:$B,0))),0)</f>
        <v>0</v>
      </c>
      <c r="AB14" s="100">
        <f>IFERROR(IF($A14=FALSE,0,INDEX('RPS by State'!AM:AM,MATCH($C14,'RPS by State'!$B:$B,0))),0)</f>
        <v>0</v>
      </c>
      <c r="AC14" s="100">
        <f>IFERROR(IF($A14=FALSE,0,INDEX('RPS by State'!AN:AN,MATCH($C14,'RPS by State'!$B:$B,0))),0)</f>
        <v>0</v>
      </c>
      <c r="AD14" s="100">
        <f>IFERROR(IF($A14=FALSE,0,INDEX('RPS by State'!AO:AO,MATCH($C14,'RPS by State'!$B:$B,0))),0)</f>
        <v>0</v>
      </c>
      <c r="AE14" s="100">
        <f>IFERROR(IF($A14=FALSE,0,INDEX('RPS by State'!AP:AP,MATCH($C14,'RPS by State'!$B:$B,0))),0)</f>
        <v>0</v>
      </c>
      <c r="AF14" s="100">
        <f>IFERROR(IF($A14=FALSE,0,INDEX('RPS by State'!AQ:AQ,MATCH($C14,'RPS by State'!$B:$B,0))),0)</f>
        <v>0</v>
      </c>
      <c r="AG14" s="100">
        <f>IFERROR(IF($A14=FALSE,0,INDEX('RPS by State'!AR:AR,MATCH($C14,'RPS by State'!$B:$B,0))),0)</f>
        <v>0</v>
      </c>
      <c r="AH14" s="100">
        <f>IFERROR(IF($A14=FALSE,0,INDEX('RPS by State'!AS:AS,MATCH($C14,'RPS by State'!$B:$B,0))),0)</f>
        <v>0</v>
      </c>
      <c r="AI14" s="100">
        <f>IFERROR(IF($A14=FALSE,0,INDEX('RPS by State'!AT:AT,MATCH($C14,'RPS by State'!$B:$B,0))),0)</f>
        <v>0</v>
      </c>
      <c r="AJ14" s="100">
        <f>IFERROR(IF($A14=FALSE,0,INDEX('RPS by State'!AU:AU,MATCH($C14,'RPS by State'!$B:$B,0))),0)</f>
        <v>0</v>
      </c>
      <c r="AK14" s="100">
        <f>IFERROR(IF($A14=FALSE,0,INDEX('RPS by State'!AV:AV,MATCH($C14,'RPS by State'!$B:$B,0))),0)</f>
        <v>0</v>
      </c>
      <c r="AL14" s="100">
        <f>IFERROR(IF($A14=FALSE,0,INDEX('RPS by State'!AW:AW,MATCH($C14,'RPS by State'!$B:$B,0))),0)</f>
        <v>0</v>
      </c>
      <c r="AM14" s="100">
        <f>IFERROR(IF($A14=FALSE,0,INDEX('RPS by State'!AX:AX,MATCH($C14,'RPS by State'!$B:$B,0))),0)</f>
        <v>0</v>
      </c>
      <c r="AN14" s="100">
        <f>IFERROR(IF($A14=FALSE,0,INDEX('RPS by State'!AY:AY,MATCH($C14,'RPS by State'!$B:$B,0))),0)</f>
        <v>0</v>
      </c>
      <c r="AO14" s="100">
        <f>IFERROR(IF($A14=FALSE,0,INDEX('RPS by State'!AZ:AZ,MATCH($C14,'RPS by State'!$B:$B,0))),0)</f>
        <v>0</v>
      </c>
      <c r="AP14" s="100">
        <f>IFERROR(IF($A14=FALSE,0,INDEX('RPS by State'!BA:BA,MATCH($C14,'RPS by State'!$B:$B,0))),0)</f>
        <v>0</v>
      </c>
      <c r="AQ14" s="100">
        <f>IFERROR(IF($A14=FALSE,0,INDEX('RPS by State'!BB:BB,MATCH($C14,'RPS by State'!$B:$B,0))),0)</f>
        <v>0</v>
      </c>
      <c r="AR14" s="100">
        <f>IFERROR(IF($A14=FALSE,0,INDEX('RPS by State'!BC:BC,MATCH($C14,'RPS by State'!$B:$B,0))),0)</f>
        <v>0</v>
      </c>
      <c r="AS14" s="100">
        <f>IFERROR(IF($A14=FALSE,0,INDEX('RPS by State'!BD:BD,MATCH($C14,'RPS by State'!$B:$B,0))),0)</f>
        <v>0</v>
      </c>
      <c r="AT14" s="100">
        <f>IFERROR(IF($A14=FALSE,0,INDEX('RPS by State'!BE:BE,MATCH($C14,'RPS by State'!$B:$B,0))),0)</f>
        <v>0</v>
      </c>
      <c r="AU14" s="100">
        <f>IFERROR(IF($A14=FALSE,0,INDEX('RPS by State'!BF:BF,MATCH($C14,'RPS by State'!$B:$B,0))),0)</f>
        <v>0</v>
      </c>
      <c r="AV14" s="100">
        <f>IFERROR(IF($A14=FALSE,0,INDEX('RPS by State'!BG:BG,MATCH($C14,'RPS by State'!$B:$B,0))),0)</f>
        <v>0</v>
      </c>
      <c r="AW14" s="100">
        <f>IFERROR(IF($A14=FALSE,0,INDEX('RPS by State'!BH:BH,MATCH($C14,'RPS by State'!$B:$B,0))),0)</f>
        <v>0</v>
      </c>
      <c r="AX14" s="100">
        <f>IFERROR(IF($A14=FALSE,0,INDEX('RPS by State'!BI:BI,MATCH($C14,'RPS by State'!$B:$B,0))),0)</f>
        <v>0</v>
      </c>
      <c r="AY14" s="100">
        <f>IFERROR(IF($A14=FALSE,0,INDEX('RPS by State'!BJ:BJ,MATCH($C14,'RPS by State'!$B:$B,0))),0)</f>
        <v>0</v>
      </c>
      <c r="AZ14" s="100">
        <f>IFERROR(IF($A14=FALSE,0,INDEX('RPS by State'!BK:BK,MATCH($C14,'RPS by State'!$B:$B,0))),0)</f>
        <v>0</v>
      </c>
      <c r="BA14" s="100">
        <f>IFERROR(IF($A14=FALSE,0,INDEX('RPS by State'!BL:BL,MATCH($C14,'RPS by State'!$B:$B,0))),0)</f>
        <v>0</v>
      </c>
      <c r="BB14" s="100">
        <f>IFERROR(IF($A14=FALSE,0,INDEX('RPS by State'!BM:BM,MATCH($C14,'RPS by State'!$B:$B,0))),0)</f>
        <v>0</v>
      </c>
      <c r="BC14" s="100">
        <f>IFERROR(IF($A14=FALSE,0,INDEX('RPS by State'!BN:BN,MATCH($C14,'RPS by State'!$B:$B,0))),0)</f>
        <v>0</v>
      </c>
      <c r="BD14" s="100">
        <f>IFERROR(IF($A14=FALSE,0,INDEX('RPS by State'!BO:BO,MATCH($C14,'RPS by State'!$B:$B,0))),0)</f>
        <v>0</v>
      </c>
      <c r="BE14" s="100">
        <f>IFERROR(IF($A14=FALSE,0,INDEX('RPS by State'!BP:BP,MATCH($C14,'RPS by State'!$B:$B,0))),0)</f>
        <v>0</v>
      </c>
      <c r="BF14" s="100">
        <f>IFERROR(IF($A14=FALSE,0,INDEX('RPS by State'!BQ:BQ,MATCH($C14,'RPS by State'!$B:$B,0))),0)</f>
        <v>0</v>
      </c>
      <c r="BG14" s="100">
        <f>IFERROR(IF($A14=FALSE,0,INDEX('RPS by State'!BR:BR,MATCH($C14,'RPS by State'!$B:$B,0))),0)</f>
        <v>0</v>
      </c>
      <c r="BH14" s="100">
        <f>IFERROR(IF($A14=FALSE,0,INDEX('RPS by State'!BS:BS,MATCH($C14,'RPS by State'!$B:$B,0))),0)</f>
        <v>0</v>
      </c>
      <c r="BI14" s="100">
        <f>IFERROR(IF($A14=FALSE,0,INDEX('RPS by State'!BT:BT,MATCH($C14,'RPS by State'!$B:$B,0))),0)</f>
        <v>0</v>
      </c>
      <c r="BJ14" s="100">
        <f>IFERROR(IF($A14=FALSE,0,INDEX('RPS by State'!BU:BU,MATCH($C14,'RPS by State'!$B:$B,0))),0)</f>
        <v>0</v>
      </c>
      <c r="BK14" s="100">
        <f>IFERROR(IF($A14=FALSE,0,INDEX('RPS by State'!BV:BV,MATCH($C14,'RPS by State'!$B:$B,0))),0)</f>
        <v>0</v>
      </c>
      <c r="BL14" s="100">
        <f>IFERROR(IF($A14=FALSE,0,INDEX('RPS by State'!BW:BW,MATCH($C14,'RPS by State'!$B:$B,0))),0)</f>
        <v>0</v>
      </c>
      <c r="BM14" s="100">
        <f>IFERROR(IF($A14=FALSE,0,INDEX('RPS by State'!BX:BX,MATCH($C14,'RPS by State'!$B:$B,0))),0)</f>
        <v>0</v>
      </c>
      <c r="BN14" s="100">
        <f>IFERROR(IF($A14=FALSE,0,INDEX('RPS by State'!BY:BY,MATCH($C14,'RPS by State'!$B:$B,0))),0)</f>
        <v>0</v>
      </c>
      <c r="BO14" s="100">
        <f>IFERROR(IF($A14=FALSE,0,INDEX('RPS by State'!BZ:BZ,MATCH($C14,'RPS by State'!$B:$B,0))),0)</f>
        <v>0</v>
      </c>
      <c r="BP14" s="100">
        <f>IFERROR(IF($A14=FALSE,0,INDEX('RPS by State'!CA:CA,MATCH($C14,'RPS by State'!$B:$B,0))),0)</f>
        <v>0</v>
      </c>
      <c r="BQ14" s="100">
        <f>IFERROR(IF($A14=FALSE,0,INDEX('RPS by State'!CB:CB,MATCH($C14,'RPS by State'!$B:$B,0))),0)</f>
        <v>0</v>
      </c>
      <c r="BR14" s="100">
        <f>IFERROR(IF($A14=FALSE,0,INDEX('RPS by State'!CC:CC,MATCH($C14,'RPS by State'!$B:$B,0))),0)</f>
        <v>0</v>
      </c>
      <c r="BS14" s="100">
        <f>IFERROR(IF($A14=FALSE,0,INDEX('RPS by State'!CD:CD,MATCH($C14,'RPS by State'!$B:$B,0))),0)</f>
        <v>0</v>
      </c>
      <c r="BT14" s="100">
        <f>IFERROR(IF($A14=FALSE,0,INDEX('RPS by State'!CE:CE,MATCH($C14,'RPS by State'!$B:$B,0))),0)</f>
        <v>0</v>
      </c>
      <c r="BU14" s="100">
        <f>IFERROR(IF($A14=FALSE,0,INDEX('RPS by State'!CF:CF,MATCH($C14,'RPS by State'!$B:$B,0))),0)</f>
        <v>0</v>
      </c>
      <c r="BV14" s="100">
        <f>IFERROR(IF($A14=FALSE,0,INDEX('RPS by State'!CG:CG,MATCH($C14,'RPS by State'!$B:$B,0))),0)</f>
        <v>0</v>
      </c>
      <c r="BW14" s="100">
        <f>IFERROR(IF($A14=FALSE,0,INDEX('RPS by State'!CH:CH,MATCH($C14,'RPS by State'!$B:$B,0))),0)</f>
        <v>0</v>
      </c>
      <c r="BX14" s="100">
        <f>IFERROR(IF($A14=FALSE,0,INDEX('RPS by State'!CI:CI,MATCH($C14,'RPS by State'!$B:$B,0))),0)</f>
        <v>0</v>
      </c>
      <c r="BY14" s="100">
        <f>IFERROR(IF($A14=FALSE,0,INDEX('RPS by State'!CJ:CJ,MATCH($C14,'RPS by State'!$B:$B,0))),0)</f>
        <v>0</v>
      </c>
      <c r="BZ14" s="100">
        <f>IFERROR(IF($A14=FALSE,0,INDEX('RPS by State'!CK:CK,MATCH($C14,'RPS by State'!$B:$B,0))),0)</f>
        <v>0</v>
      </c>
      <c r="CA14" s="100">
        <f>IFERROR(IF($A14=FALSE,0,INDEX('RPS by State'!CL:CL,MATCH($C14,'RPS by State'!$B:$B,0))),0)</f>
        <v>0</v>
      </c>
      <c r="CB14" s="100">
        <f>IFERROR(IF($A14=FALSE,0,INDEX('RPS by State'!CM:CM,MATCH($C14,'RPS by State'!$B:$B,0))),0)</f>
        <v>0</v>
      </c>
      <c r="CC14" s="100">
        <f>IFERROR(IF($A14=FALSE,0,INDEX('RPS by State'!CN:CN,MATCH($C14,'RPS by State'!$B:$B,0))),0)</f>
        <v>0</v>
      </c>
      <c r="CD14" s="100">
        <f>IFERROR(IF($A14=FALSE,0,INDEX('RPS by State'!CO:CO,MATCH($C14,'RPS by State'!$B:$B,0))),0)</f>
        <v>0</v>
      </c>
      <c r="CE14" s="100">
        <f>IFERROR(IF($A14=FALSE,0,INDEX('RPS by State'!CP:CP,MATCH($C14,'RPS by State'!$B:$B,0))),0)</f>
        <v>0</v>
      </c>
    </row>
    <row r="15" spans="1:83" x14ac:dyDescent="0.25">
      <c r="A15" t="b">
        <f>IFERROR(INDEX('RPS by State'!G:G,MATCH(B15,'RPS by State'!A:A,0)),0)</f>
        <v>1</v>
      </c>
      <c r="B15" s="120" t="s">
        <v>34</v>
      </c>
      <c r="C15" s="120" t="str">
        <f>IFERROR(INDEX(About!L:L,MATCH(B15,About!K:K,0)),0)</f>
        <v>IL</v>
      </c>
      <c r="D15" s="100">
        <f>IFERROR(IF($A15=FALSE,0,INDEX('RPS by State'!O:O,MATCH($C15,'RPS by State'!$B:$B,0))),0)</f>
        <v>0.17499999999999999</v>
      </c>
      <c r="E15" s="100">
        <f>IFERROR(IF($A15=FALSE,0,INDEX('RPS by State'!P:P,MATCH($C15,'RPS by State'!$B:$B,0))),0)</f>
        <v>0.19</v>
      </c>
      <c r="F15" s="100">
        <f>IFERROR(IF($A15=FALSE,0,INDEX('RPS by State'!Q:Q,MATCH($C15,'RPS by State'!$B:$B,0))),0)</f>
        <v>0.20499999999999999</v>
      </c>
      <c r="G15" s="100">
        <f>IFERROR(IF($A15=FALSE,0,INDEX('RPS by State'!R:R,MATCH($C15,'RPS by State'!$B:$B,0))),0)</f>
        <v>0.22</v>
      </c>
      <c r="H15" s="100">
        <f>IFERROR(IF($A15=FALSE,0,INDEX('RPS by State'!S:S,MATCH($C15,'RPS by State'!$B:$B,0))),0)</f>
        <v>0.23499999999999999</v>
      </c>
      <c r="I15" s="100">
        <f>IFERROR(IF($A15=FALSE,0,INDEX('RPS by State'!T:T,MATCH($C15,'RPS by State'!$B:$B,0))),0)</f>
        <v>0.25</v>
      </c>
      <c r="J15" s="100">
        <f>IFERROR(IF($A15=FALSE,0,INDEX('RPS by State'!U:U,MATCH($C15,'RPS by State'!$B:$B,0))),0)</f>
        <v>0.25</v>
      </c>
      <c r="K15" s="100">
        <f>IFERROR(IF($A15=FALSE,0,INDEX('RPS by State'!V:V,MATCH($C15,'RPS by State'!$B:$B,0))),0)</f>
        <v>0.25</v>
      </c>
      <c r="L15" s="100">
        <f>IFERROR(IF($A15=FALSE,0,INDEX('RPS by State'!W:W,MATCH($C15,'RPS by State'!$B:$B,0))),0)</f>
        <v>0.25</v>
      </c>
      <c r="M15" s="100">
        <f>IFERROR(IF($A15=FALSE,0,INDEX('RPS by State'!X:X,MATCH($C15,'RPS by State'!$B:$B,0))),0)</f>
        <v>0.4</v>
      </c>
      <c r="N15" s="100">
        <f>IFERROR(IF($A15=FALSE,0,INDEX('RPS by State'!Y:Y,MATCH($C15,'RPS by State'!$B:$B,0))),0)</f>
        <v>0.41000000000000003</v>
      </c>
      <c r="O15" s="100">
        <f>IFERROR(IF($A15=FALSE,0,INDEX('RPS by State'!Z:Z,MATCH($C15,'RPS by State'!$B:$B,0))),0)</f>
        <v>0.42000000000000004</v>
      </c>
      <c r="P15" s="100">
        <f>IFERROR(IF($A15=FALSE,0,INDEX('RPS by State'!AA:AA,MATCH($C15,'RPS by State'!$B:$B,0))),0)</f>
        <v>0.43</v>
      </c>
      <c r="Q15" s="100">
        <f>IFERROR(IF($A15=FALSE,0,INDEX('RPS by State'!AB:AB,MATCH($C15,'RPS by State'!$B:$B,0))),0)</f>
        <v>0.44</v>
      </c>
      <c r="R15" s="100">
        <f>IFERROR(IF($A15=FALSE,0,INDEX('RPS by State'!AC:AC,MATCH($C15,'RPS by State'!$B:$B,0))),0)</f>
        <v>0.45</v>
      </c>
      <c r="S15" s="100">
        <f>IFERROR(IF($A15=FALSE,0,INDEX('RPS by State'!AD:AD,MATCH($C15,'RPS by State'!$B:$B,0))),0)</f>
        <v>0.46</v>
      </c>
      <c r="T15" s="100">
        <f>IFERROR(IF($A15=FALSE,0,INDEX('RPS by State'!AE:AE,MATCH($C15,'RPS by State'!$B:$B,0))),0)</f>
        <v>0.47</v>
      </c>
      <c r="U15" s="100">
        <f>IFERROR(IF($A15=FALSE,0,INDEX('RPS by State'!AF:AF,MATCH($C15,'RPS by State'!$B:$B,0))),0)</f>
        <v>0.48</v>
      </c>
      <c r="V15" s="100">
        <f>IFERROR(IF($A15=FALSE,0,INDEX('RPS by State'!AG:AG,MATCH($C15,'RPS by State'!$B:$B,0))),0)</f>
        <v>0.49</v>
      </c>
      <c r="W15" s="100">
        <f>IFERROR(IF($A15=FALSE,0,INDEX('RPS by State'!AH:AH,MATCH($C15,'RPS by State'!$B:$B,0))),0)</f>
        <v>0.5</v>
      </c>
      <c r="X15" s="100">
        <f>IFERROR(IF($A15=FALSE,0,INDEX('RPS by State'!AI:AI,MATCH($C15,'RPS by State'!$B:$B,0))),0)</f>
        <v>0.55000000000000004</v>
      </c>
      <c r="Y15" s="100">
        <f>IFERROR(IF($A15=FALSE,0,INDEX('RPS by State'!AJ:AJ,MATCH($C15,'RPS by State'!$B:$B,0))),0)</f>
        <v>0.60000000000000009</v>
      </c>
      <c r="Z15" s="100">
        <f>IFERROR(IF($A15=FALSE,0,INDEX('RPS by State'!AK:AK,MATCH($C15,'RPS by State'!$B:$B,0))),0)</f>
        <v>0.65000000000000013</v>
      </c>
      <c r="AA15" s="100">
        <f>IFERROR(IF($A15=FALSE,0,INDEX('RPS by State'!AL:AL,MATCH($C15,'RPS by State'!$B:$B,0))),0)</f>
        <v>0.70000000000000018</v>
      </c>
      <c r="AB15" s="100">
        <f>IFERROR(IF($A15=FALSE,0,INDEX('RPS by State'!AM:AM,MATCH($C15,'RPS by State'!$B:$B,0))),0)</f>
        <v>0.75000000000000022</v>
      </c>
      <c r="AC15" s="100">
        <f>IFERROR(IF($A15=FALSE,0,INDEX('RPS by State'!AN:AN,MATCH($C15,'RPS by State'!$B:$B,0))),0)</f>
        <v>0.80000000000000027</v>
      </c>
      <c r="AD15" s="100">
        <f>IFERROR(IF($A15=FALSE,0,INDEX('RPS by State'!AO:AO,MATCH($C15,'RPS by State'!$B:$B,0))),0)</f>
        <v>0.85000000000000031</v>
      </c>
      <c r="AE15" s="100">
        <f>IFERROR(IF($A15=FALSE,0,INDEX('RPS by State'!AP:AP,MATCH($C15,'RPS by State'!$B:$B,0))),0)</f>
        <v>0.90000000000000036</v>
      </c>
      <c r="AF15" s="100">
        <f>IFERROR(IF($A15=FALSE,0,INDEX('RPS by State'!AQ:AQ,MATCH($C15,'RPS by State'!$B:$B,0))),0)</f>
        <v>0.9500000000000004</v>
      </c>
      <c r="AG15" s="100">
        <f>IFERROR(IF($A15=FALSE,0,INDEX('RPS by State'!AR:AR,MATCH($C15,'RPS by State'!$B:$B,0))),0)</f>
        <v>1</v>
      </c>
      <c r="AH15" s="100">
        <f>IFERROR(IF($A15=FALSE,0,INDEX('RPS by State'!AS:AS,MATCH($C15,'RPS by State'!$B:$B,0))),0)</f>
        <v>0</v>
      </c>
      <c r="AI15" s="100">
        <f>IFERROR(IF($A15=FALSE,0,INDEX('RPS by State'!AT:AT,MATCH($C15,'RPS by State'!$B:$B,0))),0)</f>
        <v>0</v>
      </c>
      <c r="AJ15" s="100">
        <f>IFERROR(IF($A15=FALSE,0,INDEX('RPS by State'!AU:AU,MATCH($C15,'RPS by State'!$B:$B,0))),0)</f>
        <v>0</v>
      </c>
      <c r="AK15" s="100">
        <f>IFERROR(IF($A15=FALSE,0,INDEX('RPS by State'!AV:AV,MATCH($C15,'RPS by State'!$B:$B,0))),0)</f>
        <v>0</v>
      </c>
      <c r="AL15" s="100">
        <f>IFERROR(IF($A15=FALSE,0,INDEX('RPS by State'!AW:AW,MATCH($C15,'RPS by State'!$B:$B,0))),0)</f>
        <v>0</v>
      </c>
      <c r="AM15" s="100">
        <f>IFERROR(IF($A15=FALSE,0,INDEX('RPS by State'!AX:AX,MATCH($C15,'RPS by State'!$B:$B,0))),0)</f>
        <v>0</v>
      </c>
      <c r="AN15" s="100">
        <f>IFERROR(IF($A15=FALSE,0,INDEX('RPS by State'!AY:AY,MATCH($C15,'RPS by State'!$B:$B,0))),0)</f>
        <v>0</v>
      </c>
      <c r="AO15" s="100">
        <f>IFERROR(IF($A15=FALSE,0,INDEX('RPS by State'!AZ:AZ,MATCH($C15,'RPS by State'!$B:$B,0))),0)</f>
        <v>0</v>
      </c>
      <c r="AP15" s="100">
        <f>IFERROR(IF($A15=FALSE,0,INDEX('RPS by State'!BA:BA,MATCH($C15,'RPS by State'!$B:$B,0))),0)</f>
        <v>0</v>
      </c>
      <c r="AQ15" s="100">
        <f>IFERROR(IF($A15=FALSE,0,INDEX('RPS by State'!BB:BB,MATCH($C15,'RPS by State'!$B:$B,0))),0)</f>
        <v>0</v>
      </c>
      <c r="AR15" s="100">
        <f>IFERROR(IF($A15=FALSE,0,INDEX('RPS by State'!BC:BC,MATCH($C15,'RPS by State'!$B:$B,0))),0)</f>
        <v>0</v>
      </c>
      <c r="AS15" s="100">
        <f>IFERROR(IF($A15=FALSE,0,INDEX('RPS by State'!BD:BD,MATCH($C15,'RPS by State'!$B:$B,0))),0)</f>
        <v>0</v>
      </c>
      <c r="AT15" s="100">
        <f>IFERROR(IF($A15=FALSE,0,INDEX('RPS by State'!BE:BE,MATCH($C15,'RPS by State'!$B:$B,0))),0)</f>
        <v>0</v>
      </c>
      <c r="AU15" s="100">
        <f>IFERROR(IF($A15=FALSE,0,INDEX('RPS by State'!BF:BF,MATCH($C15,'RPS by State'!$B:$B,0))),0)</f>
        <v>0</v>
      </c>
      <c r="AV15" s="100">
        <f>IFERROR(IF($A15=FALSE,0,INDEX('RPS by State'!BG:BG,MATCH($C15,'RPS by State'!$B:$B,0))),0)</f>
        <v>0</v>
      </c>
      <c r="AW15" s="100">
        <f>IFERROR(IF($A15=FALSE,0,INDEX('RPS by State'!BH:BH,MATCH($C15,'RPS by State'!$B:$B,0))),0)</f>
        <v>0</v>
      </c>
      <c r="AX15" s="100">
        <f>IFERROR(IF($A15=FALSE,0,INDEX('RPS by State'!BI:BI,MATCH($C15,'RPS by State'!$B:$B,0))),0)</f>
        <v>0</v>
      </c>
      <c r="AY15" s="100">
        <f>IFERROR(IF($A15=FALSE,0,INDEX('RPS by State'!BJ:BJ,MATCH($C15,'RPS by State'!$B:$B,0))),0)</f>
        <v>0</v>
      </c>
      <c r="AZ15" s="100">
        <f>IFERROR(IF($A15=FALSE,0,INDEX('RPS by State'!BK:BK,MATCH($C15,'RPS by State'!$B:$B,0))),0)</f>
        <v>0</v>
      </c>
      <c r="BA15" s="100">
        <f>IFERROR(IF($A15=FALSE,0,INDEX('RPS by State'!BL:BL,MATCH($C15,'RPS by State'!$B:$B,0))),0)</f>
        <v>0</v>
      </c>
      <c r="BB15" s="100">
        <f>IFERROR(IF($A15=FALSE,0,INDEX('RPS by State'!BM:BM,MATCH($C15,'RPS by State'!$B:$B,0))),0)</f>
        <v>0</v>
      </c>
      <c r="BC15" s="100">
        <f>IFERROR(IF($A15=FALSE,0,INDEX('RPS by State'!BN:BN,MATCH($C15,'RPS by State'!$B:$B,0))),0)</f>
        <v>0</v>
      </c>
      <c r="BD15" s="100">
        <f>IFERROR(IF($A15=FALSE,0,INDEX('RPS by State'!BO:BO,MATCH($C15,'RPS by State'!$B:$B,0))),0)</f>
        <v>0</v>
      </c>
      <c r="BE15" s="100">
        <f>IFERROR(IF($A15=FALSE,0,INDEX('RPS by State'!BP:BP,MATCH($C15,'RPS by State'!$B:$B,0))),0)</f>
        <v>0</v>
      </c>
      <c r="BF15" s="100">
        <f>IFERROR(IF($A15=FALSE,0,INDEX('RPS by State'!BQ:BQ,MATCH($C15,'RPS by State'!$B:$B,0))),0)</f>
        <v>0</v>
      </c>
      <c r="BG15" s="100">
        <f>IFERROR(IF($A15=FALSE,0,INDEX('RPS by State'!BR:BR,MATCH($C15,'RPS by State'!$B:$B,0))),0)</f>
        <v>0</v>
      </c>
      <c r="BH15" s="100">
        <f>IFERROR(IF($A15=FALSE,0,INDEX('RPS by State'!BS:BS,MATCH($C15,'RPS by State'!$B:$B,0))),0)</f>
        <v>0</v>
      </c>
      <c r="BI15" s="100">
        <f>IFERROR(IF($A15=FALSE,0,INDEX('RPS by State'!BT:BT,MATCH($C15,'RPS by State'!$B:$B,0))),0)</f>
        <v>0</v>
      </c>
      <c r="BJ15" s="100">
        <f>IFERROR(IF($A15=FALSE,0,INDEX('RPS by State'!BU:BU,MATCH($C15,'RPS by State'!$B:$B,0))),0)</f>
        <v>0</v>
      </c>
      <c r="BK15" s="100">
        <f>IFERROR(IF($A15=FALSE,0,INDEX('RPS by State'!BV:BV,MATCH($C15,'RPS by State'!$B:$B,0))),0)</f>
        <v>0</v>
      </c>
      <c r="BL15" s="100">
        <f>IFERROR(IF($A15=FALSE,0,INDEX('RPS by State'!BW:BW,MATCH($C15,'RPS by State'!$B:$B,0))),0)</f>
        <v>0</v>
      </c>
      <c r="BM15" s="100">
        <f>IFERROR(IF($A15=FALSE,0,INDEX('RPS by State'!BX:BX,MATCH($C15,'RPS by State'!$B:$B,0))),0)</f>
        <v>0</v>
      </c>
      <c r="BN15" s="100">
        <f>IFERROR(IF($A15=FALSE,0,INDEX('RPS by State'!BY:BY,MATCH($C15,'RPS by State'!$B:$B,0))),0)</f>
        <v>0</v>
      </c>
      <c r="BO15" s="100">
        <f>IFERROR(IF($A15=FALSE,0,INDEX('RPS by State'!BZ:BZ,MATCH($C15,'RPS by State'!$B:$B,0))),0)</f>
        <v>0</v>
      </c>
      <c r="BP15" s="100">
        <f>IFERROR(IF($A15=FALSE,0,INDEX('RPS by State'!CA:CA,MATCH($C15,'RPS by State'!$B:$B,0))),0)</f>
        <v>0</v>
      </c>
      <c r="BQ15" s="100">
        <f>IFERROR(IF($A15=FALSE,0,INDEX('RPS by State'!CB:CB,MATCH($C15,'RPS by State'!$B:$B,0))),0)</f>
        <v>0</v>
      </c>
      <c r="BR15" s="100">
        <f>IFERROR(IF($A15=FALSE,0,INDEX('RPS by State'!CC:CC,MATCH($C15,'RPS by State'!$B:$B,0))),0)</f>
        <v>0</v>
      </c>
      <c r="BS15" s="100">
        <f>IFERROR(IF($A15=FALSE,0,INDEX('RPS by State'!CD:CD,MATCH($C15,'RPS by State'!$B:$B,0))),0)</f>
        <v>0</v>
      </c>
      <c r="BT15" s="100">
        <f>IFERROR(IF($A15=FALSE,0,INDEX('RPS by State'!CE:CE,MATCH($C15,'RPS by State'!$B:$B,0))),0)</f>
        <v>0</v>
      </c>
      <c r="BU15" s="100">
        <f>IFERROR(IF($A15=FALSE,0,INDEX('RPS by State'!CF:CF,MATCH($C15,'RPS by State'!$B:$B,0))),0)</f>
        <v>0</v>
      </c>
      <c r="BV15" s="100">
        <f>IFERROR(IF($A15=FALSE,0,INDEX('RPS by State'!CG:CG,MATCH($C15,'RPS by State'!$B:$B,0))),0)</f>
        <v>0</v>
      </c>
      <c r="BW15" s="100">
        <f>IFERROR(IF($A15=FALSE,0,INDEX('RPS by State'!CH:CH,MATCH($C15,'RPS by State'!$B:$B,0))),0)</f>
        <v>0</v>
      </c>
      <c r="BX15" s="100">
        <f>IFERROR(IF($A15=FALSE,0,INDEX('RPS by State'!CI:CI,MATCH($C15,'RPS by State'!$B:$B,0))),0)</f>
        <v>0</v>
      </c>
      <c r="BY15" s="100">
        <f>IFERROR(IF($A15=FALSE,0,INDEX('RPS by State'!CJ:CJ,MATCH($C15,'RPS by State'!$B:$B,0))),0)</f>
        <v>0</v>
      </c>
      <c r="BZ15" s="100">
        <f>IFERROR(IF($A15=FALSE,0,INDEX('RPS by State'!CK:CK,MATCH($C15,'RPS by State'!$B:$B,0))),0)</f>
        <v>0</v>
      </c>
      <c r="CA15" s="100">
        <f>IFERROR(IF($A15=FALSE,0,INDEX('RPS by State'!CL:CL,MATCH($C15,'RPS by State'!$B:$B,0))),0)</f>
        <v>0</v>
      </c>
      <c r="CB15" s="100">
        <f>IFERROR(IF($A15=FALSE,0,INDEX('RPS by State'!CM:CM,MATCH($C15,'RPS by State'!$B:$B,0))),0)</f>
        <v>0</v>
      </c>
      <c r="CC15" s="100">
        <f>IFERROR(IF($A15=FALSE,0,INDEX('RPS by State'!CN:CN,MATCH($C15,'RPS by State'!$B:$B,0))),0)</f>
        <v>0</v>
      </c>
      <c r="CD15" s="100">
        <f>IFERROR(IF($A15=FALSE,0,INDEX('RPS by State'!CO:CO,MATCH($C15,'RPS by State'!$B:$B,0))),0)</f>
        <v>0</v>
      </c>
      <c r="CE15" s="100">
        <f>IFERROR(IF($A15=FALSE,0,INDEX('RPS by State'!CP:CP,MATCH($C15,'RPS by State'!$B:$B,0))),0)</f>
        <v>0</v>
      </c>
    </row>
    <row r="16" spans="1:83" x14ac:dyDescent="0.25">
      <c r="A16" t="b">
        <f>IFERROR(INDEX('RPS by State'!G:G,MATCH(B16,'RPS by State'!A:A,0)),0)</f>
        <v>1</v>
      </c>
      <c r="B16" s="120" t="s">
        <v>36</v>
      </c>
      <c r="C16" s="120" t="str">
        <f>IFERROR(INDEX(About!L:L,MATCH(B16,About!K:K,0)),0)</f>
        <v>IN</v>
      </c>
      <c r="D16" s="100">
        <f>IFERROR(IF($A16=FALSE,0,INDEX('RPS by State'!O:O,MATCH($C16,'RPS by State'!$B:$B,0))),0)</f>
        <v>0.08</v>
      </c>
      <c r="E16" s="100">
        <f>IFERROR(IF($A16=FALSE,0,INDEX('RPS by State'!P:P,MATCH($C16,'RPS by State'!$B:$B,0))),0)</f>
        <v>8.5000000000000006E-2</v>
      </c>
      <c r="F16" s="100">
        <f>IFERROR(IF($A16=FALSE,0,INDEX('RPS by State'!Q:Q,MATCH($C16,'RPS by State'!$B:$B,0))),0)</f>
        <v>9.0000000000000011E-2</v>
      </c>
      <c r="G16" s="100">
        <f>IFERROR(IF($A16=FALSE,0,INDEX('RPS by State'!R:R,MATCH($C16,'RPS by State'!$B:$B,0))),0)</f>
        <v>9.5000000000000001E-2</v>
      </c>
      <c r="H16" s="100">
        <f>IFERROR(IF($A16=FALSE,0,INDEX('RPS by State'!S:S,MATCH($C16,'RPS by State'!$B:$B,0))),0)</f>
        <v>0.1</v>
      </c>
      <c r="I16" s="100">
        <f>IFERROR(IF($A16=FALSE,0,INDEX('RPS by State'!T:T,MATCH($C16,'RPS by State'!$B:$B,0))),0)</f>
        <v>0.1</v>
      </c>
      <c r="J16" s="100">
        <f>IFERROR(IF($A16=FALSE,0,INDEX('RPS by State'!U:U,MATCH($C16,'RPS by State'!$B:$B,0))),0)</f>
        <v>0.1</v>
      </c>
      <c r="K16" s="100">
        <f>IFERROR(IF($A16=FALSE,0,INDEX('RPS by State'!V:V,MATCH($C16,'RPS by State'!$B:$B,0))),0)</f>
        <v>0.1</v>
      </c>
      <c r="L16" s="100">
        <f>IFERROR(IF($A16=FALSE,0,INDEX('RPS by State'!W:W,MATCH($C16,'RPS by State'!$B:$B,0))),0)</f>
        <v>0.1</v>
      </c>
      <c r="M16" s="100">
        <f>IFERROR(IF($A16=FALSE,0,INDEX('RPS by State'!X:X,MATCH($C16,'RPS by State'!$B:$B,0))),0)</f>
        <v>0.1</v>
      </c>
      <c r="N16" s="100">
        <f>IFERROR(IF($A16=FALSE,0,INDEX('RPS by State'!Y:Y,MATCH($C16,'RPS by State'!$B:$B,0))),0)</f>
        <v>0.1</v>
      </c>
      <c r="O16" s="100">
        <f>IFERROR(IF($A16=FALSE,0,INDEX('RPS by State'!Z:Z,MATCH($C16,'RPS by State'!$B:$B,0))),0)</f>
        <v>0.1</v>
      </c>
      <c r="P16" s="100">
        <f>IFERROR(IF($A16=FALSE,0,INDEX('RPS by State'!AA:AA,MATCH($C16,'RPS by State'!$B:$B,0))),0)</f>
        <v>0.1</v>
      </c>
      <c r="Q16" s="100">
        <f>IFERROR(IF($A16=FALSE,0,INDEX('RPS by State'!AB:AB,MATCH($C16,'RPS by State'!$B:$B,0))),0)</f>
        <v>0.1</v>
      </c>
      <c r="R16" s="100">
        <f>IFERROR(IF($A16=FALSE,0,INDEX('RPS by State'!AC:AC,MATCH($C16,'RPS by State'!$B:$B,0))),0)</f>
        <v>0.1</v>
      </c>
      <c r="S16" s="100">
        <f>IFERROR(IF($A16=FALSE,0,INDEX('RPS by State'!AD:AD,MATCH($C16,'RPS by State'!$B:$B,0))),0)</f>
        <v>0.1</v>
      </c>
      <c r="T16" s="100">
        <f>IFERROR(IF($A16=FALSE,0,INDEX('RPS by State'!AE:AE,MATCH($C16,'RPS by State'!$B:$B,0))),0)</f>
        <v>0.1</v>
      </c>
      <c r="U16" s="100">
        <f>IFERROR(IF($A16=FALSE,0,INDEX('RPS by State'!AF:AF,MATCH($C16,'RPS by State'!$B:$B,0))),0)</f>
        <v>0.1</v>
      </c>
      <c r="V16" s="100">
        <f>IFERROR(IF($A16=FALSE,0,INDEX('RPS by State'!AG:AG,MATCH($C16,'RPS by State'!$B:$B,0))),0)</f>
        <v>0.1</v>
      </c>
      <c r="W16" s="100">
        <f>IFERROR(IF($A16=FALSE,0,INDEX('RPS by State'!AH:AH,MATCH($C16,'RPS by State'!$B:$B,0))),0)</f>
        <v>0.1</v>
      </c>
      <c r="X16" s="100">
        <f>IFERROR(IF($A16=FALSE,0,INDEX('RPS by State'!AI:AI,MATCH($C16,'RPS by State'!$B:$B,0))),0)</f>
        <v>0.1</v>
      </c>
      <c r="Y16" s="100">
        <f>IFERROR(IF($A16=FALSE,0,INDEX('RPS by State'!AJ:AJ,MATCH($C16,'RPS by State'!$B:$B,0))),0)</f>
        <v>0.1</v>
      </c>
      <c r="Z16" s="100">
        <f>IFERROR(IF($A16=FALSE,0,INDEX('RPS by State'!AK:AK,MATCH($C16,'RPS by State'!$B:$B,0))),0)</f>
        <v>0.1</v>
      </c>
      <c r="AA16" s="100">
        <f>IFERROR(IF($A16=FALSE,0,INDEX('RPS by State'!AL:AL,MATCH($C16,'RPS by State'!$B:$B,0))),0)</f>
        <v>0.1</v>
      </c>
      <c r="AB16" s="100">
        <f>IFERROR(IF($A16=FALSE,0,INDEX('RPS by State'!AM:AM,MATCH($C16,'RPS by State'!$B:$B,0))),0)</f>
        <v>0.1</v>
      </c>
      <c r="AC16" s="100">
        <f>IFERROR(IF($A16=FALSE,0,INDEX('RPS by State'!AN:AN,MATCH($C16,'RPS by State'!$B:$B,0))),0)</f>
        <v>0.1</v>
      </c>
      <c r="AD16" s="100">
        <f>IFERROR(IF($A16=FALSE,0,INDEX('RPS by State'!AO:AO,MATCH($C16,'RPS by State'!$B:$B,0))),0)</f>
        <v>0.1</v>
      </c>
      <c r="AE16" s="100">
        <f>IFERROR(IF($A16=FALSE,0,INDEX('RPS by State'!AP:AP,MATCH($C16,'RPS by State'!$B:$B,0))),0)</f>
        <v>0.1</v>
      </c>
      <c r="AF16" s="100">
        <f>IFERROR(IF($A16=FALSE,0,INDEX('RPS by State'!AQ:AQ,MATCH($C16,'RPS by State'!$B:$B,0))),0)</f>
        <v>0.1</v>
      </c>
      <c r="AG16" s="100">
        <f>IFERROR(IF($A16=FALSE,0,INDEX('RPS by State'!AR:AR,MATCH($C16,'RPS by State'!$B:$B,0))),0)</f>
        <v>0.1</v>
      </c>
      <c r="AH16" s="100">
        <f>IFERROR(IF($A16=FALSE,0,INDEX('RPS by State'!AS:AS,MATCH($C16,'RPS by State'!$B:$B,0))),0)</f>
        <v>0</v>
      </c>
      <c r="AI16" s="100">
        <f>IFERROR(IF($A16=FALSE,0,INDEX('RPS by State'!AT:AT,MATCH($C16,'RPS by State'!$B:$B,0))),0)</f>
        <v>0</v>
      </c>
      <c r="AJ16" s="100">
        <f>IFERROR(IF($A16=FALSE,0,INDEX('RPS by State'!AU:AU,MATCH($C16,'RPS by State'!$B:$B,0))),0)</f>
        <v>0</v>
      </c>
      <c r="AK16" s="100">
        <f>IFERROR(IF($A16=FALSE,0,INDEX('RPS by State'!AV:AV,MATCH($C16,'RPS by State'!$B:$B,0))),0)</f>
        <v>0</v>
      </c>
      <c r="AL16" s="100">
        <f>IFERROR(IF($A16=FALSE,0,INDEX('RPS by State'!AW:AW,MATCH($C16,'RPS by State'!$B:$B,0))),0)</f>
        <v>0</v>
      </c>
      <c r="AM16" s="100">
        <f>IFERROR(IF($A16=FALSE,0,INDEX('RPS by State'!AX:AX,MATCH($C16,'RPS by State'!$B:$B,0))),0)</f>
        <v>0</v>
      </c>
      <c r="AN16" s="100">
        <f>IFERROR(IF($A16=FALSE,0,INDEX('RPS by State'!AY:AY,MATCH($C16,'RPS by State'!$B:$B,0))),0)</f>
        <v>0</v>
      </c>
      <c r="AO16" s="100">
        <f>IFERROR(IF($A16=FALSE,0,INDEX('RPS by State'!AZ:AZ,MATCH($C16,'RPS by State'!$B:$B,0))),0)</f>
        <v>0</v>
      </c>
      <c r="AP16" s="100">
        <f>IFERROR(IF($A16=FALSE,0,INDEX('RPS by State'!BA:BA,MATCH($C16,'RPS by State'!$B:$B,0))),0)</f>
        <v>0</v>
      </c>
      <c r="AQ16" s="100">
        <f>IFERROR(IF($A16=FALSE,0,INDEX('RPS by State'!BB:BB,MATCH($C16,'RPS by State'!$B:$B,0))),0)</f>
        <v>0</v>
      </c>
      <c r="AR16" s="100">
        <f>IFERROR(IF($A16=FALSE,0,INDEX('RPS by State'!BC:BC,MATCH($C16,'RPS by State'!$B:$B,0))),0)</f>
        <v>0</v>
      </c>
      <c r="AS16" s="100">
        <f>IFERROR(IF($A16=FALSE,0,INDEX('RPS by State'!BD:BD,MATCH($C16,'RPS by State'!$B:$B,0))),0)</f>
        <v>0</v>
      </c>
      <c r="AT16" s="100">
        <f>IFERROR(IF($A16=FALSE,0,INDEX('RPS by State'!BE:BE,MATCH($C16,'RPS by State'!$B:$B,0))),0)</f>
        <v>0</v>
      </c>
      <c r="AU16" s="100">
        <f>IFERROR(IF($A16=FALSE,0,INDEX('RPS by State'!BF:BF,MATCH($C16,'RPS by State'!$B:$B,0))),0)</f>
        <v>0</v>
      </c>
      <c r="AV16" s="100">
        <f>IFERROR(IF($A16=FALSE,0,INDEX('RPS by State'!BG:BG,MATCH($C16,'RPS by State'!$B:$B,0))),0)</f>
        <v>0</v>
      </c>
      <c r="AW16" s="100">
        <f>IFERROR(IF($A16=FALSE,0,INDEX('RPS by State'!BH:BH,MATCH($C16,'RPS by State'!$B:$B,0))),0)</f>
        <v>0</v>
      </c>
      <c r="AX16" s="100">
        <f>IFERROR(IF($A16=FALSE,0,INDEX('RPS by State'!BI:BI,MATCH($C16,'RPS by State'!$B:$B,0))),0)</f>
        <v>0</v>
      </c>
      <c r="AY16" s="100">
        <f>IFERROR(IF($A16=FALSE,0,INDEX('RPS by State'!BJ:BJ,MATCH($C16,'RPS by State'!$B:$B,0))),0)</f>
        <v>0</v>
      </c>
      <c r="AZ16" s="100">
        <f>IFERROR(IF($A16=FALSE,0,INDEX('RPS by State'!BK:BK,MATCH($C16,'RPS by State'!$B:$B,0))),0)</f>
        <v>0</v>
      </c>
      <c r="BA16" s="100">
        <f>IFERROR(IF($A16=FALSE,0,INDEX('RPS by State'!BL:BL,MATCH($C16,'RPS by State'!$B:$B,0))),0)</f>
        <v>0</v>
      </c>
      <c r="BB16" s="100">
        <f>IFERROR(IF($A16=FALSE,0,INDEX('RPS by State'!BM:BM,MATCH($C16,'RPS by State'!$B:$B,0))),0)</f>
        <v>0</v>
      </c>
      <c r="BC16" s="100">
        <f>IFERROR(IF($A16=FALSE,0,INDEX('RPS by State'!BN:BN,MATCH($C16,'RPS by State'!$B:$B,0))),0)</f>
        <v>0</v>
      </c>
      <c r="BD16" s="100">
        <f>IFERROR(IF($A16=FALSE,0,INDEX('RPS by State'!BO:BO,MATCH($C16,'RPS by State'!$B:$B,0))),0)</f>
        <v>0</v>
      </c>
      <c r="BE16" s="100">
        <f>IFERROR(IF($A16=FALSE,0,INDEX('RPS by State'!BP:BP,MATCH($C16,'RPS by State'!$B:$B,0))),0)</f>
        <v>0</v>
      </c>
      <c r="BF16" s="100">
        <f>IFERROR(IF($A16=FALSE,0,INDEX('RPS by State'!BQ:BQ,MATCH($C16,'RPS by State'!$B:$B,0))),0)</f>
        <v>0</v>
      </c>
      <c r="BG16" s="100">
        <f>IFERROR(IF($A16=FALSE,0,INDEX('RPS by State'!BR:BR,MATCH($C16,'RPS by State'!$B:$B,0))),0)</f>
        <v>0</v>
      </c>
      <c r="BH16" s="100">
        <f>IFERROR(IF($A16=FALSE,0,INDEX('RPS by State'!BS:BS,MATCH($C16,'RPS by State'!$B:$B,0))),0)</f>
        <v>0</v>
      </c>
      <c r="BI16" s="100">
        <f>IFERROR(IF($A16=FALSE,0,INDEX('RPS by State'!BT:BT,MATCH($C16,'RPS by State'!$B:$B,0))),0)</f>
        <v>0</v>
      </c>
      <c r="BJ16" s="100">
        <f>IFERROR(IF($A16=FALSE,0,INDEX('RPS by State'!BU:BU,MATCH($C16,'RPS by State'!$B:$B,0))),0)</f>
        <v>0</v>
      </c>
      <c r="BK16" s="100">
        <f>IFERROR(IF($A16=FALSE,0,INDEX('RPS by State'!BV:BV,MATCH($C16,'RPS by State'!$B:$B,0))),0)</f>
        <v>0</v>
      </c>
      <c r="BL16" s="100">
        <f>IFERROR(IF($A16=FALSE,0,INDEX('RPS by State'!BW:BW,MATCH($C16,'RPS by State'!$B:$B,0))),0)</f>
        <v>0</v>
      </c>
      <c r="BM16" s="100">
        <f>IFERROR(IF($A16=FALSE,0,INDEX('RPS by State'!BX:BX,MATCH($C16,'RPS by State'!$B:$B,0))),0)</f>
        <v>0</v>
      </c>
      <c r="BN16" s="100">
        <f>IFERROR(IF($A16=FALSE,0,INDEX('RPS by State'!BY:BY,MATCH($C16,'RPS by State'!$B:$B,0))),0)</f>
        <v>0</v>
      </c>
      <c r="BO16" s="100">
        <f>IFERROR(IF($A16=FALSE,0,INDEX('RPS by State'!BZ:BZ,MATCH($C16,'RPS by State'!$B:$B,0))),0)</f>
        <v>0</v>
      </c>
      <c r="BP16" s="100">
        <f>IFERROR(IF($A16=FALSE,0,INDEX('RPS by State'!CA:CA,MATCH($C16,'RPS by State'!$B:$B,0))),0)</f>
        <v>0</v>
      </c>
      <c r="BQ16" s="100">
        <f>IFERROR(IF($A16=FALSE,0,INDEX('RPS by State'!CB:CB,MATCH($C16,'RPS by State'!$B:$B,0))),0)</f>
        <v>0</v>
      </c>
      <c r="BR16" s="100">
        <f>IFERROR(IF($A16=FALSE,0,INDEX('RPS by State'!CC:CC,MATCH($C16,'RPS by State'!$B:$B,0))),0)</f>
        <v>0</v>
      </c>
      <c r="BS16" s="100">
        <f>IFERROR(IF($A16=FALSE,0,INDEX('RPS by State'!CD:CD,MATCH($C16,'RPS by State'!$B:$B,0))),0)</f>
        <v>0</v>
      </c>
      <c r="BT16" s="100">
        <f>IFERROR(IF($A16=FALSE,0,INDEX('RPS by State'!CE:CE,MATCH($C16,'RPS by State'!$B:$B,0))),0)</f>
        <v>0</v>
      </c>
      <c r="BU16" s="100">
        <f>IFERROR(IF($A16=FALSE,0,INDEX('RPS by State'!CF:CF,MATCH($C16,'RPS by State'!$B:$B,0))),0)</f>
        <v>0</v>
      </c>
      <c r="BV16" s="100">
        <f>IFERROR(IF($A16=FALSE,0,INDEX('RPS by State'!CG:CG,MATCH($C16,'RPS by State'!$B:$B,0))),0)</f>
        <v>0</v>
      </c>
      <c r="BW16" s="100">
        <f>IFERROR(IF($A16=FALSE,0,INDEX('RPS by State'!CH:CH,MATCH($C16,'RPS by State'!$B:$B,0))),0)</f>
        <v>0</v>
      </c>
      <c r="BX16" s="100">
        <f>IFERROR(IF($A16=FALSE,0,INDEX('RPS by State'!CI:CI,MATCH($C16,'RPS by State'!$B:$B,0))),0)</f>
        <v>0</v>
      </c>
      <c r="BY16" s="100">
        <f>IFERROR(IF($A16=FALSE,0,INDEX('RPS by State'!CJ:CJ,MATCH($C16,'RPS by State'!$B:$B,0))),0)</f>
        <v>0</v>
      </c>
      <c r="BZ16" s="100">
        <f>IFERROR(IF($A16=FALSE,0,INDEX('RPS by State'!CK:CK,MATCH($C16,'RPS by State'!$B:$B,0))),0)</f>
        <v>0</v>
      </c>
      <c r="CA16" s="100">
        <f>IFERROR(IF($A16=FALSE,0,INDEX('RPS by State'!CL:CL,MATCH($C16,'RPS by State'!$B:$B,0))),0)</f>
        <v>0</v>
      </c>
      <c r="CB16" s="100">
        <f>IFERROR(IF($A16=FALSE,0,INDEX('RPS by State'!CM:CM,MATCH($C16,'RPS by State'!$B:$B,0))),0)</f>
        <v>0</v>
      </c>
      <c r="CC16" s="100">
        <f>IFERROR(IF($A16=FALSE,0,INDEX('RPS by State'!CN:CN,MATCH($C16,'RPS by State'!$B:$B,0))),0)</f>
        <v>0</v>
      </c>
      <c r="CD16" s="100">
        <f>IFERROR(IF($A16=FALSE,0,INDEX('RPS by State'!CO:CO,MATCH($C16,'RPS by State'!$B:$B,0))),0)</f>
        <v>0</v>
      </c>
      <c r="CE16" s="100">
        <f>IFERROR(IF($A16=FALSE,0,INDEX('RPS by State'!CP:CP,MATCH($C16,'RPS by State'!$B:$B,0))),0)</f>
        <v>0</v>
      </c>
    </row>
    <row r="17" spans="1:83" x14ac:dyDescent="0.25">
      <c r="A17" t="b">
        <f>IFERROR(INDEX('RPS by State'!G:G,MATCH(B17,'RPS by State'!A:A,0)),0)</f>
        <v>0</v>
      </c>
      <c r="B17" s="120" t="s">
        <v>39</v>
      </c>
      <c r="C17" s="120" t="str">
        <f>IFERROR(INDEX(About!L:L,MATCH(B17,About!K:K,0)),0)</f>
        <v>IA</v>
      </c>
      <c r="D17" s="100">
        <f>IFERROR(IF($A17=FALSE,0,INDEX('RPS by State'!O:O,MATCH($C17,'RPS by State'!$B:$B,0))),0)</f>
        <v>0</v>
      </c>
      <c r="E17" s="100">
        <f>IFERROR(IF($A17=FALSE,0,INDEX('RPS by State'!P:P,MATCH($C17,'RPS by State'!$B:$B,0))),0)</f>
        <v>0</v>
      </c>
      <c r="F17" s="100">
        <f>IFERROR(IF($A17=FALSE,0,INDEX('RPS by State'!Q:Q,MATCH($C17,'RPS by State'!$B:$B,0))),0)</f>
        <v>0</v>
      </c>
      <c r="G17" s="100">
        <f>IFERROR(IF($A17=FALSE,0,INDEX('RPS by State'!R:R,MATCH($C17,'RPS by State'!$B:$B,0))),0)</f>
        <v>0</v>
      </c>
      <c r="H17" s="100">
        <f>IFERROR(IF($A17=FALSE,0,INDEX('RPS by State'!S:S,MATCH($C17,'RPS by State'!$B:$B,0))),0)</f>
        <v>0</v>
      </c>
      <c r="I17" s="100">
        <f>IFERROR(IF($A17=FALSE,0,INDEX('RPS by State'!T:T,MATCH($C17,'RPS by State'!$B:$B,0))),0)</f>
        <v>0</v>
      </c>
      <c r="J17" s="100">
        <f>IFERROR(IF($A17=FALSE,0,INDEX('RPS by State'!U:U,MATCH($C17,'RPS by State'!$B:$B,0))),0)</f>
        <v>0</v>
      </c>
      <c r="K17" s="100">
        <f>IFERROR(IF($A17=FALSE,0,INDEX('RPS by State'!V:V,MATCH($C17,'RPS by State'!$B:$B,0))),0)</f>
        <v>0</v>
      </c>
      <c r="L17" s="100">
        <f>IFERROR(IF($A17=FALSE,0,INDEX('RPS by State'!W:W,MATCH($C17,'RPS by State'!$B:$B,0))),0)</f>
        <v>0</v>
      </c>
      <c r="M17" s="100">
        <f>IFERROR(IF($A17=FALSE,0,INDEX('RPS by State'!X:X,MATCH($C17,'RPS by State'!$B:$B,0))),0)</f>
        <v>0</v>
      </c>
      <c r="N17" s="100">
        <f>IFERROR(IF($A17=FALSE,0,INDEX('RPS by State'!Y:Y,MATCH($C17,'RPS by State'!$B:$B,0))),0)</f>
        <v>0</v>
      </c>
      <c r="O17" s="100">
        <f>IFERROR(IF($A17=FALSE,0,INDEX('RPS by State'!Z:Z,MATCH($C17,'RPS by State'!$B:$B,0))),0)</f>
        <v>0</v>
      </c>
      <c r="P17" s="100">
        <f>IFERROR(IF($A17=FALSE,0,INDEX('RPS by State'!AA:AA,MATCH($C17,'RPS by State'!$B:$B,0))),0)</f>
        <v>0</v>
      </c>
      <c r="Q17" s="100">
        <f>IFERROR(IF($A17=FALSE,0,INDEX('RPS by State'!AB:AB,MATCH($C17,'RPS by State'!$B:$B,0))),0)</f>
        <v>0</v>
      </c>
      <c r="R17" s="100">
        <f>IFERROR(IF($A17=FALSE,0,INDEX('RPS by State'!AC:AC,MATCH($C17,'RPS by State'!$B:$B,0))),0)</f>
        <v>0</v>
      </c>
      <c r="S17" s="100">
        <f>IFERROR(IF($A17=FALSE,0,INDEX('RPS by State'!AD:AD,MATCH($C17,'RPS by State'!$B:$B,0))),0)</f>
        <v>0</v>
      </c>
      <c r="T17" s="100">
        <f>IFERROR(IF($A17=FALSE,0,INDEX('RPS by State'!AE:AE,MATCH($C17,'RPS by State'!$B:$B,0))),0)</f>
        <v>0</v>
      </c>
      <c r="U17" s="100">
        <f>IFERROR(IF($A17=FALSE,0,INDEX('RPS by State'!AF:AF,MATCH($C17,'RPS by State'!$B:$B,0))),0)</f>
        <v>0</v>
      </c>
      <c r="V17" s="100">
        <f>IFERROR(IF($A17=FALSE,0,INDEX('RPS by State'!AG:AG,MATCH($C17,'RPS by State'!$B:$B,0))),0)</f>
        <v>0</v>
      </c>
      <c r="W17" s="100">
        <f>IFERROR(IF($A17=FALSE,0,INDEX('RPS by State'!AH:AH,MATCH($C17,'RPS by State'!$B:$B,0))),0)</f>
        <v>0</v>
      </c>
      <c r="X17" s="100">
        <f>IFERROR(IF($A17=FALSE,0,INDEX('RPS by State'!AI:AI,MATCH($C17,'RPS by State'!$B:$B,0))),0)</f>
        <v>0</v>
      </c>
      <c r="Y17" s="100">
        <f>IFERROR(IF($A17=FALSE,0,INDEX('RPS by State'!AJ:AJ,MATCH($C17,'RPS by State'!$B:$B,0))),0)</f>
        <v>0</v>
      </c>
      <c r="Z17" s="100">
        <f>IFERROR(IF($A17=FALSE,0,INDEX('RPS by State'!AK:AK,MATCH($C17,'RPS by State'!$B:$B,0))),0)</f>
        <v>0</v>
      </c>
      <c r="AA17" s="100">
        <f>IFERROR(IF($A17=FALSE,0,INDEX('RPS by State'!AL:AL,MATCH($C17,'RPS by State'!$B:$B,0))),0)</f>
        <v>0</v>
      </c>
      <c r="AB17" s="100">
        <f>IFERROR(IF($A17=FALSE,0,INDEX('RPS by State'!AM:AM,MATCH($C17,'RPS by State'!$B:$B,0))),0)</f>
        <v>0</v>
      </c>
      <c r="AC17" s="100">
        <f>IFERROR(IF($A17=FALSE,0,INDEX('RPS by State'!AN:AN,MATCH($C17,'RPS by State'!$B:$B,0))),0)</f>
        <v>0</v>
      </c>
      <c r="AD17" s="100">
        <f>IFERROR(IF($A17=FALSE,0,INDEX('RPS by State'!AO:AO,MATCH($C17,'RPS by State'!$B:$B,0))),0)</f>
        <v>0</v>
      </c>
      <c r="AE17" s="100">
        <f>IFERROR(IF($A17=FALSE,0,INDEX('RPS by State'!AP:AP,MATCH($C17,'RPS by State'!$B:$B,0))),0)</f>
        <v>0</v>
      </c>
      <c r="AF17" s="100">
        <f>IFERROR(IF($A17=FALSE,0,INDEX('RPS by State'!AQ:AQ,MATCH($C17,'RPS by State'!$B:$B,0))),0)</f>
        <v>0</v>
      </c>
      <c r="AG17" s="100">
        <f>IFERROR(IF($A17=FALSE,0,INDEX('RPS by State'!AR:AR,MATCH($C17,'RPS by State'!$B:$B,0))),0)</f>
        <v>0</v>
      </c>
      <c r="AH17" s="100">
        <f>IFERROR(IF($A17=FALSE,0,INDEX('RPS by State'!AS:AS,MATCH($C17,'RPS by State'!$B:$B,0))),0)</f>
        <v>0</v>
      </c>
      <c r="AI17" s="100">
        <f>IFERROR(IF($A17=FALSE,0,INDEX('RPS by State'!AT:AT,MATCH($C17,'RPS by State'!$B:$B,0))),0)</f>
        <v>0</v>
      </c>
      <c r="AJ17" s="100">
        <f>IFERROR(IF($A17=FALSE,0,INDEX('RPS by State'!AU:AU,MATCH($C17,'RPS by State'!$B:$B,0))),0)</f>
        <v>0</v>
      </c>
      <c r="AK17" s="100">
        <f>IFERROR(IF($A17=FALSE,0,INDEX('RPS by State'!AV:AV,MATCH($C17,'RPS by State'!$B:$B,0))),0)</f>
        <v>0</v>
      </c>
      <c r="AL17" s="100">
        <f>IFERROR(IF($A17=FALSE,0,INDEX('RPS by State'!AW:AW,MATCH($C17,'RPS by State'!$B:$B,0))),0)</f>
        <v>0</v>
      </c>
      <c r="AM17" s="100">
        <f>IFERROR(IF($A17=FALSE,0,INDEX('RPS by State'!AX:AX,MATCH($C17,'RPS by State'!$B:$B,0))),0)</f>
        <v>0</v>
      </c>
      <c r="AN17" s="100">
        <f>IFERROR(IF($A17=FALSE,0,INDEX('RPS by State'!AY:AY,MATCH($C17,'RPS by State'!$B:$B,0))),0)</f>
        <v>0</v>
      </c>
      <c r="AO17" s="100">
        <f>IFERROR(IF($A17=FALSE,0,INDEX('RPS by State'!AZ:AZ,MATCH($C17,'RPS by State'!$B:$B,0))),0)</f>
        <v>0</v>
      </c>
      <c r="AP17" s="100">
        <f>IFERROR(IF($A17=FALSE,0,INDEX('RPS by State'!BA:BA,MATCH($C17,'RPS by State'!$B:$B,0))),0)</f>
        <v>0</v>
      </c>
      <c r="AQ17" s="100">
        <f>IFERROR(IF($A17=FALSE,0,INDEX('RPS by State'!BB:BB,MATCH($C17,'RPS by State'!$B:$B,0))),0)</f>
        <v>0</v>
      </c>
      <c r="AR17" s="100">
        <f>IFERROR(IF($A17=FALSE,0,INDEX('RPS by State'!BC:BC,MATCH($C17,'RPS by State'!$B:$B,0))),0)</f>
        <v>0</v>
      </c>
      <c r="AS17" s="100">
        <f>IFERROR(IF($A17=FALSE,0,INDEX('RPS by State'!BD:BD,MATCH($C17,'RPS by State'!$B:$B,0))),0)</f>
        <v>0</v>
      </c>
      <c r="AT17" s="100">
        <f>IFERROR(IF($A17=FALSE,0,INDEX('RPS by State'!BE:BE,MATCH($C17,'RPS by State'!$B:$B,0))),0)</f>
        <v>0</v>
      </c>
      <c r="AU17" s="100">
        <f>IFERROR(IF($A17=FALSE,0,INDEX('RPS by State'!BF:BF,MATCH($C17,'RPS by State'!$B:$B,0))),0)</f>
        <v>0</v>
      </c>
      <c r="AV17" s="100">
        <f>IFERROR(IF($A17=FALSE,0,INDEX('RPS by State'!BG:BG,MATCH($C17,'RPS by State'!$B:$B,0))),0)</f>
        <v>0</v>
      </c>
      <c r="AW17" s="100">
        <f>IFERROR(IF($A17=FALSE,0,INDEX('RPS by State'!BH:BH,MATCH($C17,'RPS by State'!$B:$B,0))),0)</f>
        <v>0</v>
      </c>
      <c r="AX17" s="100">
        <f>IFERROR(IF($A17=FALSE,0,INDEX('RPS by State'!BI:BI,MATCH($C17,'RPS by State'!$B:$B,0))),0)</f>
        <v>0</v>
      </c>
      <c r="AY17" s="100">
        <f>IFERROR(IF($A17=FALSE,0,INDEX('RPS by State'!BJ:BJ,MATCH($C17,'RPS by State'!$B:$B,0))),0)</f>
        <v>0</v>
      </c>
      <c r="AZ17" s="100">
        <f>IFERROR(IF($A17=FALSE,0,INDEX('RPS by State'!BK:BK,MATCH($C17,'RPS by State'!$B:$B,0))),0)</f>
        <v>0</v>
      </c>
      <c r="BA17" s="100">
        <f>IFERROR(IF($A17=FALSE,0,INDEX('RPS by State'!BL:BL,MATCH($C17,'RPS by State'!$B:$B,0))),0)</f>
        <v>0</v>
      </c>
      <c r="BB17" s="100">
        <f>IFERROR(IF($A17=FALSE,0,INDEX('RPS by State'!BM:BM,MATCH($C17,'RPS by State'!$B:$B,0))),0)</f>
        <v>0</v>
      </c>
      <c r="BC17" s="100">
        <f>IFERROR(IF($A17=FALSE,0,INDEX('RPS by State'!BN:BN,MATCH($C17,'RPS by State'!$B:$B,0))),0)</f>
        <v>0</v>
      </c>
      <c r="BD17" s="100">
        <f>IFERROR(IF($A17=FALSE,0,INDEX('RPS by State'!BO:BO,MATCH($C17,'RPS by State'!$B:$B,0))),0)</f>
        <v>0</v>
      </c>
      <c r="BE17" s="100">
        <f>IFERROR(IF($A17=FALSE,0,INDEX('RPS by State'!BP:BP,MATCH($C17,'RPS by State'!$B:$B,0))),0)</f>
        <v>0</v>
      </c>
      <c r="BF17" s="100">
        <f>IFERROR(IF($A17=FALSE,0,INDEX('RPS by State'!BQ:BQ,MATCH($C17,'RPS by State'!$B:$B,0))),0)</f>
        <v>0</v>
      </c>
      <c r="BG17" s="100">
        <f>IFERROR(IF($A17=FALSE,0,INDEX('RPS by State'!BR:BR,MATCH($C17,'RPS by State'!$B:$B,0))),0)</f>
        <v>0</v>
      </c>
      <c r="BH17" s="100">
        <f>IFERROR(IF($A17=FALSE,0,INDEX('RPS by State'!BS:BS,MATCH($C17,'RPS by State'!$B:$B,0))),0)</f>
        <v>0</v>
      </c>
      <c r="BI17" s="100">
        <f>IFERROR(IF($A17=FALSE,0,INDEX('RPS by State'!BT:BT,MATCH($C17,'RPS by State'!$B:$B,0))),0)</f>
        <v>0</v>
      </c>
      <c r="BJ17" s="100">
        <f>IFERROR(IF($A17=FALSE,0,INDEX('RPS by State'!BU:BU,MATCH($C17,'RPS by State'!$B:$B,0))),0)</f>
        <v>0</v>
      </c>
      <c r="BK17" s="100">
        <f>IFERROR(IF($A17=FALSE,0,INDEX('RPS by State'!BV:BV,MATCH($C17,'RPS by State'!$B:$B,0))),0)</f>
        <v>0</v>
      </c>
      <c r="BL17" s="100">
        <f>IFERROR(IF($A17=FALSE,0,INDEX('RPS by State'!BW:BW,MATCH($C17,'RPS by State'!$B:$B,0))),0)</f>
        <v>0</v>
      </c>
      <c r="BM17" s="100">
        <f>IFERROR(IF($A17=FALSE,0,INDEX('RPS by State'!BX:BX,MATCH($C17,'RPS by State'!$B:$B,0))),0)</f>
        <v>0</v>
      </c>
      <c r="BN17" s="100">
        <f>IFERROR(IF($A17=FALSE,0,INDEX('RPS by State'!BY:BY,MATCH($C17,'RPS by State'!$B:$B,0))),0)</f>
        <v>0</v>
      </c>
      <c r="BO17" s="100">
        <f>IFERROR(IF($A17=FALSE,0,INDEX('RPS by State'!BZ:BZ,MATCH($C17,'RPS by State'!$B:$B,0))),0)</f>
        <v>0</v>
      </c>
      <c r="BP17" s="100">
        <f>IFERROR(IF($A17=FALSE,0,INDEX('RPS by State'!CA:CA,MATCH($C17,'RPS by State'!$B:$B,0))),0)</f>
        <v>0</v>
      </c>
      <c r="BQ17" s="100">
        <f>IFERROR(IF($A17=FALSE,0,INDEX('RPS by State'!CB:CB,MATCH($C17,'RPS by State'!$B:$B,0))),0)</f>
        <v>0</v>
      </c>
      <c r="BR17" s="100">
        <f>IFERROR(IF($A17=FALSE,0,INDEX('RPS by State'!CC:CC,MATCH($C17,'RPS by State'!$B:$B,0))),0)</f>
        <v>0</v>
      </c>
      <c r="BS17" s="100">
        <f>IFERROR(IF($A17=FALSE,0,INDEX('RPS by State'!CD:CD,MATCH($C17,'RPS by State'!$B:$B,0))),0)</f>
        <v>0</v>
      </c>
      <c r="BT17" s="100">
        <f>IFERROR(IF($A17=FALSE,0,INDEX('RPS by State'!CE:CE,MATCH($C17,'RPS by State'!$B:$B,0))),0)</f>
        <v>0</v>
      </c>
      <c r="BU17" s="100">
        <f>IFERROR(IF($A17=FALSE,0,INDEX('RPS by State'!CF:CF,MATCH($C17,'RPS by State'!$B:$B,0))),0)</f>
        <v>0</v>
      </c>
      <c r="BV17" s="100">
        <f>IFERROR(IF($A17=FALSE,0,INDEX('RPS by State'!CG:CG,MATCH($C17,'RPS by State'!$B:$B,0))),0)</f>
        <v>0</v>
      </c>
      <c r="BW17" s="100">
        <f>IFERROR(IF($A17=FALSE,0,INDEX('RPS by State'!CH:CH,MATCH($C17,'RPS by State'!$B:$B,0))),0)</f>
        <v>0</v>
      </c>
      <c r="BX17" s="100">
        <f>IFERROR(IF($A17=FALSE,0,INDEX('RPS by State'!CI:CI,MATCH($C17,'RPS by State'!$B:$B,0))),0)</f>
        <v>0</v>
      </c>
      <c r="BY17" s="100">
        <f>IFERROR(IF($A17=FALSE,0,INDEX('RPS by State'!CJ:CJ,MATCH($C17,'RPS by State'!$B:$B,0))),0)</f>
        <v>0</v>
      </c>
      <c r="BZ17" s="100">
        <f>IFERROR(IF($A17=FALSE,0,INDEX('RPS by State'!CK:CK,MATCH($C17,'RPS by State'!$B:$B,0))),0)</f>
        <v>0</v>
      </c>
      <c r="CA17" s="100">
        <f>IFERROR(IF($A17=FALSE,0,INDEX('RPS by State'!CL:CL,MATCH($C17,'RPS by State'!$B:$B,0))),0)</f>
        <v>0</v>
      </c>
      <c r="CB17" s="100">
        <f>IFERROR(IF($A17=FALSE,0,INDEX('RPS by State'!CM:CM,MATCH($C17,'RPS by State'!$B:$B,0))),0)</f>
        <v>0</v>
      </c>
      <c r="CC17" s="100">
        <f>IFERROR(IF($A17=FALSE,0,INDEX('RPS by State'!CN:CN,MATCH($C17,'RPS by State'!$B:$B,0))),0)</f>
        <v>0</v>
      </c>
      <c r="CD17" s="100">
        <f>IFERROR(IF($A17=FALSE,0,INDEX('RPS by State'!CO:CO,MATCH($C17,'RPS by State'!$B:$B,0))),0)</f>
        <v>0</v>
      </c>
      <c r="CE17" s="100">
        <f>IFERROR(IF($A17=FALSE,0,INDEX('RPS by State'!CP:CP,MATCH($C17,'RPS by State'!$B:$B,0))),0)</f>
        <v>0</v>
      </c>
    </row>
    <row r="18" spans="1:83" x14ac:dyDescent="0.25">
      <c r="A18" t="b">
        <f>IFERROR(INDEX('RPS by State'!G:G,MATCH(B18,'RPS by State'!A:A,0)),0)</f>
        <v>0</v>
      </c>
      <c r="B18" s="120" t="s">
        <v>41</v>
      </c>
      <c r="C18" s="120" t="str">
        <f>IFERROR(INDEX(About!L:L,MATCH(B18,About!K:K,0)),0)</f>
        <v>KS</v>
      </c>
      <c r="D18" s="100">
        <f>IFERROR(IF($A18=FALSE,0,INDEX('RPS by State'!O:O,MATCH($C18,'RPS by State'!$B:$B,0))),0)</f>
        <v>0</v>
      </c>
      <c r="E18" s="100">
        <f>IFERROR(IF($A18=FALSE,0,INDEX('RPS by State'!P:P,MATCH($C18,'RPS by State'!$B:$B,0))),0)</f>
        <v>0</v>
      </c>
      <c r="F18" s="100">
        <f>IFERROR(IF($A18=FALSE,0,INDEX('RPS by State'!Q:Q,MATCH($C18,'RPS by State'!$B:$B,0))),0)</f>
        <v>0</v>
      </c>
      <c r="G18" s="100">
        <f>IFERROR(IF($A18=FALSE,0,INDEX('RPS by State'!R:R,MATCH($C18,'RPS by State'!$B:$B,0))),0)</f>
        <v>0</v>
      </c>
      <c r="H18" s="100">
        <f>IFERROR(IF($A18=FALSE,0,INDEX('RPS by State'!S:S,MATCH($C18,'RPS by State'!$B:$B,0))),0)</f>
        <v>0</v>
      </c>
      <c r="I18" s="100">
        <f>IFERROR(IF($A18=FALSE,0,INDEX('RPS by State'!T:T,MATCH($C18,'RPS by State'!$B:$B,0))),0)</f>
        <v>0</v>
      </c>
      <c r="J18" s="100">
        <f>IFERROR(IF($A18=FALSE,0,INDEX('RPS by State'!U:U,MATCH($C18,'RPS by State'!$B:$B,0))),0)</f>
        <v>0</v>
      </c>
      <c r="K18" s="100">
        <f>IFERROR(IF($A18=FALSE,0,INDEX('RPS by State'!V:V,MATCH($C18,'RPS by State'!$B:$B,0))),0)</f>
        <v>0</v>
      </c>
      <c r="L18" s="100">
        <f>IFERROR(IF($A18=FALSE,0,INDEX('RPS by State'!W:W,MATCH($C18,'RPS by State'!$B:$B,0))),0)</f>
        <v>0</v>
      </c>
      <c r="M18" s="100">
        <f>IFERROR(IF($A18=FALSE,0,INDEX('RPS by State'!X:X,MATCH($C18,'RPS by State'!$B:$B,0))),0)</f>
        <v>0</v>
      </c>
      <c r="N18" s="100">
        <f>IFERROR(IF($A18=FALSE,0,INDEX('RPS by State'!Y:Y,MATCH($C18,'RPS by State'!$B:$B,0))),0)</f>
        <v>0</v>
      </c>
      <c r="O18" s="100">
        <f>IFERROR(IF($A18=FALSE,0,INDEX('RPS by State'!Z:Z,MATCH($C18,'RPS by State'!$B:$B,0))),0)</f>
        <v>0</v>
      </c>
      <c r="P18" s="100">
        <f>IFERROR(IF($A18=FALSE,0,INDEX('RPS by State'!AA:AA,MATCH($C18,'RPS by State'!$B:$B,0))),0)</f>
        <v>0</v>
      </c>
      <c r="Q18" s="100">
        <f>IFERROR(IF($A18=FALSE,0,INDEX('RPS by State'!AB:AB,MATCH($C18,'RPS by State'!$B:$B,0))),0)</f>
        <v>0</v>
      </c>
      <c r="R18" s="100">
        <f>IFERROR(IF($A18=FALSE,0,INDEX('RPS by State'!AC:AC,MATCH($C18,'RPS by State'!$B:$B,0))),0)</f>
        <v>0</v>
      </c>
      <c r="S18" s="100">
        <f>IFERROR(IF($A18=FALSE,0,INDEX('RPS by State'!AD:AD,MATCH($C18,'RPS by State'!$B:$B,0))),0)</f>
        <v>0</v>
      </c>
      <c r="T18" s="100">
        <f>IFERROR(IF($A18=FALSE,0,INDEX('RPS by State'!AE:AE,MATCH($C18,'RPS by State'!$B:$B,0))),0)</f>
        <v>0</v>
      </c>
      <c r="U18" s="100">
        <f>IFERROR(IF($A18=FALSE,0,INDEX('RPS by State'!AF:AF,MATCH($C18,'RPS by State'!$B:$B,0))),0)</f>
        <v>0</v>
      </c>
      <c r="V18" s="100">
        <f>IFERROR(IF($A18=FALSE,0,INDEX('RPS by State'!AG:AG,MATCH($C18,'RPS by State'!$B:$B,0))),0)</f>
        <v>0</v>
      </c>
      <c r="W18" s="100">
        <f>IFERROR(IF($A18=FALSE,0,INDEX('RPS by State'!AH:AH,MATCH($C18,'RPS by State'!$B:$B,0))),0)</f>
        <v>0</v>
      </c>
      <c r="X18" s="100">
        <f>IFERROR(IF($A18=FALSE,0,INDEX('RPS by State'!AI:AI,MATCH($C18,'RPS by State'!$B:$B,0))),0)</f>
        <v>0</v>
      </c>
      <c r="Y18" s="100">
        <f>IFERROR(IF($A18=FALSE,0,INDEX('RPS by State'!AJ:AJ,MATCH($C18,'RPS by State'!$B:$B,0))),0)</f>
        <v>0</v>
      </c>
      <c r="Z18" s="100">
        <f>IFERROR(IF($A18=FALSE,0,INDEX('RPS by State'!AK:AK,MATCH($C18,'RPS by State'!$B:$B,0))),0)</f>
        <v>0</v>
      </c>
      <c r="AA18" s="100">
        <f>IFERROR(IF($A18=FALSE,0,INDEX('RPS by State'!AL:AL,MATCH($C18,'RPS by State'!$B:$B,0))),0)</f>
        <v>0</v>
      </c>
      <c r="AB18" s="100">
        <f>IFERROR(IF($A18=FALSE,0,INDEX('RPS by State'!AM:AM,MATCH($C18,'RPS by State'!$B:$B,0))),0)</f>
        <v>0</v>
      </c>
      <c r="AC18" s="100">
        <f>IFERROR(IF($A18=FALSE,0,INDEX('RPS by State'!AN:AN,MATCH($C18,'RPS by State'!$B:$B,0))),0)</f>
        <v>0</v>
      </c>
      <c r="AD18" s="100">
        <f>IFERROR(IF($A18=FALSE,0,INDEX('RPS by State'!AO:AO,MATCH($C18,'RPS by State'!$B:$B,0))),0)</f>
        <v>0</v>
      </c>
      <c r="AE18" s="100">
        <f>IFERROR(IF($A18=FALSE,0,INDEX('RPS by State'!AP:AP,MATCH($C18,'RPS by State'!$B:$B,0))),0)</f>
        <v>0</v>
      </c>
      <c r="AF18" s="100">
        <f>IFERROR(IF($A18=FALSE,0,INDEX('RPS by State'!AQ:AQ,MATCH($C18,'RPS by State'!$B:$B,0))),0)</f>
        <v>0</v>
      </c>
      <c r="AG18" s="100">
        <f>IFERROR(IF($A18=FALSE,0,INDEX('RPS by State'!AR:AR,MATCH($C18,'RPS by State'!$B:$B,0))),0)</f>
        <v>0</v>
      </c>
      <c r="AH18" s="100">
        <f>IFERROR(IF($A18=FALSE,0,INDEX('RPS by State'!AS:AS,MATCH($C18,'RPS by State'!$B:$B,0))),0)</f>
        <v>0</v>
      </c>
      <c r="AI18" s="100">
        <f>IFERROR(IF($A18=FALSE,0,INDEX('RPS by State'!AT:AT,MATCH($C18,'RPS by State'!$B:$B,0))),0)</f>
        <v>0</v>
      </c>
      <c r="AJ18" s="100">
        <f>IFERROR(IF($A18=FALSE,0,INDEX('RPS by State'!AU:AU,MATCH($C18,'RPS by State'!$B:$B,0))),0)</f>
        <v>0</v>
      </c>
      <c r="AK18" s="100">
        <f>IFERROR(IF($A18=FALSE,0,INDEX('RPS by State'!AV:AV,MATCH($C18,'RPS by State'!$B:$B,0))),0)</f>
        <v>0</v>
      </c>
      <c r="AL18" s="100">
        <f>IFERROR(IF($A18=FALSE,0,INDEX('RPS by State'!AW:AW,MATCH($C18,'RPS by State'!$B:$B,0))),0)</f>
        <v>0</v>
      </c>
      <c r="AM18" s="100">
        <f>IFERROR(IF($A18=FALSE,0,INDEX('RPS by State'!AX:AX,MATCH($C18,'RPS by State'!$B:$B,0))),0)</f>
        <v>0</v>
      </c>
      <c r="AN18" s="100">
        <f>IFERROR(IF($A18=FALSE,0,INDEX('RPS by State'!AY:AY,MATCH($C18,'RPS by State'!$B:$B,0))),0)</f>
        <v>0</v>
      </c>
      <c r="AO18" s="100">
        <f>IFERROR(IF($A18=FALSE,0,INDEX('RPS by State'!AZ:AZ,MATCH($C18,'RPS by State'!$B:$B,0))),0)</f>
        <v>0</v>
      </c>
      <c r="AP18" s="100">
        <f>IFERROR(IF($A18=FALSE,0,INDEX('RPS by State'!BA:BA,MATCH($C18,'RPS by State'!$B:$B,0))),0)</f>
        <v>0</v>
      </c>
      <c r="AQ18" s="100">
        <f>IFERROR(IF($A18=FALSE,0,INDEX('RPS by State'!BB:BB,MATCH($C18,'RPS by State'!$B:$B,0))),0)</f>
        <v>0</v>
      </c>
      <c r="AR18" s="100">
        <f>IFERROR(IF($A18=FALSE,0,INDEX('RPS by State'!BC:BC,MATCH($C18,'RPS by State'!$B:$B,0))),0)</f>
        <v>0</v>
      </c>
      <c r="AS18" s="100">
        <f>IFERROR(IF($A18=FALSE,0,INDEX('RPS by State'!BD:BD,MATCH($C18,'RPS by State'!$B:$B,0))),0)</f>
        <v>0</v>
      </c>
      <c r="AT18" s="100">
        <f>IFERROR(IF($A18=FALSE,0,INDEX('RPS by State'!BE:BE,MATCH($C18,'RPS by State'!$B:$B,0))),0)</f>
        <v>0</v>
      </c>
      <c r="AU18" s="100">
        <f>IFERROR(IF($A18=FALSE,0,INDEX('RPS by State'!BF:BF,MATCH($C18,'RPS by State'!$B:$B,0))),0)</f>
        <v>0</v>
      </c>
      <c r="AV18" s="100">
        <f>IFERROR(IF($A18=FALSE,0,INDEX('RPS by State'!BG:BG,MATCH($C18,'RPS by State'!$B:$B,0))),0)</f>
        <v>0</v>
      </c>
      <c r="AW18" s="100">
        <f>IFERROR(IF($A18=FALSE,0,INDEX('RPS by State'!BH:BH,MATCH($C18,'RPS by State'!$B:$B,0))),0)</f>
        <v>0</v>
      </c>
      <c r="AX18" s="100">
        <f>IFERROR(IF($A18=FALSE,0,INDEX('RPS by State'!BI:BI,MATCH($C18,'RPS by State'!$B:$B,0))),0)</f>
        <v>0</v>
      </c>
      <c r="AY18" s="100">
        <f>IFERROR(IF($A18=FALSE,0,INDEX('RPS by State'!BJ:BJ,MATCH($C18,'RPS by State'!$B:$B,0))),0)</f>
        <v>0</v>
      </c>
      <c r="AZ18" s="100">
        <f>IFERROR(IF($A18=FALSE,0,INDEX('RPS by State'!BK:BK,MATCH($C18,'RPS by State'!$B:$B,0))),0)</f>
        <v>0</v>
      </c>
      <c r="BA18" s="100">
        <f>IFERROR(IF($A18=FALSE,0,INDEX('RPS by State'!BL:BL,MATCH($C18,'RPS by State'!$B:$B,0))),0)</f>
        <v>0</v>
      </c>
      <c r="BB18" s="100">
        <f>IFERROR(IF($A18=FALSE,0,INDEX('RPS by State'!BM:BM,MATCH($C18,'RPS by State'!$B:$B,0))),0)</f>
        <v>0</v>
      </c>
      <c r="BC18" s="100">
        <f>IFERROR(IF($A18=FALSE,0,INDEX('RPS by State'!BN:BN,MATCH($C18,'RPS by State'!$B:$B,0))),0)</f>
        <v>0</v>
      </c>
      <c r="BD18" s="100">
        <f>IFERROR(IF($A18=FALSE,0,INDEX('RPS by State'!BO:BO,MATCH($C18,'RPS by State'!$B:$B,0))),0)</f>
        <v>0</v>
      </c>
      <c r="BE18" s="100">
        <f>IFERROR(IF($A18=FALSE,0,INDEX('RPS by State'!BP:BP,MATCH($C18,'RPS by State'!$B:$B,0))),0)</f>
        <v>0</v>
      </c>
      <c r="BF18" s="100">
        <f>IFERROR(IF($A18=FALSE,0,INDEX('RPS by State'!BQ:BQ,MATCH($C18,'RPS by State'!$B:$B,0))),0)</f>
        <v>0</v>
      </c>
      <c r="BG18" s="100">
        <f>IFERROR(IF($A18=FALSE,0,INDEX('RPS by State'!BR:BR,MATCH($C18,'RPS by State'!$B:$B,0))),0)</f>
        <v>0</v>
      </c>
      <c r="BH18" s="100">
        <f>IFERROR(IF($A18=FALSE,0,INDEX('RPS by State'!BS:BS,MATCH($C18,'RPS by State'!$B:$B,0))),0)</f>
        <v>0</v>
      </c>
      <c r="BI18" s="100">
        <f>IFERROR(IF($A18=FALSE,0,INDEX('RPS by State'!BT:BT,MATCH($C18,'RPS by State'!$B:$B,0))),0)</f>
        <v>0</v>
      </c>
      <c r="BJ18" s="100">
        <f>IFERROR(IF($A18=FALSE,0,INDEX('RPS by State'!BU:BU,MATCH($C18,'RPS by State'!$B:$B,0))),0)</f>
        <v>0</v>
      </c>
      <c r="BK18" s="100">
        <f>IFERROR(IF($A18=FALSE,0,INDEX('RPS by State'!BV:BV,MATCH($C18,'RPS by State'!$B:$B,0))),0)</f>
        <v>0</v>
      </c>
      <c r="BL18" s="100">
        <f>IFERROR(IF($A18=FALSE,0,INDEX('RPS by State'!BW:BW,MATCH($C18,'RPS by State'!$B:$B,0))),0)</f>
        <v>0</v>
      </c>
      <c r="BM18" s="100">
        <f>IFERROR(IF($A18=FALSE,0,INDEX('RPS by State'!BX:BX,MATCH($C18,'RPS by State'!$B:$B,0))),0)</f>
        <v>0</v>
      </c>
      <c r="BN18" s="100">
        <f>IFERROR(IF($A18=FALSE,0,INDEX('RPS by State'!BY:BY,MATCH($C18,'RPS by State'!$B:$B,0))),0)</f>
        <v>0</v>
      </c>
      <c r="BO18" s="100">
        <f>IFERROR(IF($A18=FALSE,0,INDEX('RPS by State'!BZ:BZ,MATCH($C18,'RPS by State'!$B:$B,0))),0)</f>
        <v>0</v>
      </c>
      <c r="BP18" s="100">
        <f>IFERROR(IF($A18=FALSE,0,INDEX('RPS by State'!CA:CA,MATCH($C18,'RPS by State'!$B:$B,0))),0)</f>
        <v>0</v>
      </c>
      <c r="BQ18" s="100">
        <f>IFERROR(IF($A18=FALSE,0,INDEX('RPS by State'!CB:CB,MATCH($C18,'RPS by State'!$B:$B,0))),0)</f>
        <v>0</v>
      </c>
      <c r="BR18" s="100">
        <f>IFERROR(IF($A18=FALSE,0,INDEX('RPS by State'!CC:CC,MATCH($C18,'RPS by State'!$B:$B,0))),0)</f>
        <v>0</v>
      </c>
      <c r="BS18" s="100">
        <f>IFERROR(IF($A18=FALSE,0,INDEX('RPS by State'!CD:CD,MATCH($C18,'RPS by State'!$B:$B,0))),0)</f>
        <v>0</v>
      </c>
      <c r="BT18" s="100">
        <f>IFERROR(IF($A18=FALSE,0,INDEX('RPS by State'!CE:CE,MATCH($C18,'RPS by State'!$B:$B,0))),0)</f>
        <v>0</v>
      </c>
      <c r="BU18" s="100">
        <f>IFERROR(IF($A18=FALSE,0,INDEX('RPS by State'!CF:CF,MATCH($C18,'RPS by State'!$B:$B,0))),0)</f>
        <v>0</v>
      </c>
      <c r="BV18" s="100">
        <f>IFERROR(IF($A18=FALSE,0,INDEX('RPS by State'!CG:CG,MATCH($C18,'RPS by State'!$B:$B,0))),0)</f>
        <v>0</v>
      </c>
      <c r="BW18" s="100">
        <f>IFERROR(IF($A18=FALSE,0,INDEX('RPS by State'!CH:CH,MATCH($C18,'RPS by State'!$B:$B,0))),0)</f>
        <v>0</v>
      </c>
      <c r="BX18" s="100">
        <f>IFERROR(IF($A18=FALSE,0,INDEX('RPS by State'!CI:CI,MATCH($C18,'RPS by State'!$B:$B,0))),0)</f>
        <v>0</v>
      </c>
      <c r="BY18" s="100">
        <f>IFERROR(IF($A18=FALSE,0,INDEX('RPS by State'!CJ:CJ,MATCH($C18,'RPS by State'!$B:$B,0))),0)</f>
        <v>0</v>
      </c>
      <c r="BZ18" s="100">
        <f>IFERROR(IF($A18=FALSE,0,INDEX('RPS by State'!CK:CK,MATCH($C18,'RPS by State'!$B:$B,0))),0)</f>
        <v>0</v>
      </c>
      <c r="CA18" s="100">
        <f>IFERROR(IF($A18=FALSE,0,INDEX('RPS by State'!CL:CL,MATCH($C18,'RPS by State'!$B:$B,0))),0)</f>
        <v>0</v>
      </c>
      <c r="CB18" s="100">
        <f>IFERROR(IF($A18=FALSE,0,INDEX('RPS by State'!CM:CM,MATCH($C18,'RPS by State'!$B:$B,0))),0)</f>
        <v>0</v>
      </c>
      <c r="CC18" s="100">
        <f>IFERROR(IF($A18=FALSE,0,INDEX('RPS by State'!CN:CN,MATCH($C18,'RPS by State'!$B:$B,0))),0)</f>
        <v>0</v>
      </c>
      <c r="CD18" s="100">
        <f>IFERROR(IF($A18=FALSE,0,INDEX('RPS by State'!CO:CO,MATCH($C18,'RPS by State'!$B:$B,0))),0)</f>
        <v>0</v>
      </c>
      <c r="CE18" s="100">
        <f>IFERROR(IF($A18=FALSE,0,INDEX('RPS by State'!CP:CP,MATCH($C18,'RPS by State'!$B:$B,0))),0)</f>
        <v>0</v>
      </c>
    </row>
    <row r="19" spans="1:83" x14ac:dyDescent="0.25">
      <c r="A19" t="b">
        <f>IFERROR(INDEX('RPS by State'!G:G,MATCH(B19,'RPS by State'!A:A,0)),0)</f>
        <v>0</v>
      </c>
      <c r="B19" s="120" t="s">
        <v>44</v>
      </c>
      <c r="C19" s="120" t="str">
        <f>IFERROR(INDEX(About!L:L,MATCH(B19,About!K:K,0)),0)</f>
        <v>KY</v>
      </c>
      <c r="D19" s="100">
        <f>IFERROR(IF($A19=FALSE,0,INDEX('RPS by State'!O:O,MATCH($C19,'RPS by State'!$B:$B,0))),0)</f>
        <v>0</v>
      </c>
      <c r="E19" s="100">
        <f>IFERROR(IF($A19=FALSE,0,INDEX('RPS by State'!P:P,MATCH($C19,'RPS by State'!$B:$B,0))),0)</f>
        <v>0</v>
      </c>
      <c r="F19" s="100">
        <f>IFERROR(IF($A19=FALSE,0,INDEX('RPS by State'!Q:Q,MATCH($C19,'RPS by State'!$B:$B,0))),0)</f>
        <v>0</v>
      </c>
      <c r="G19" s="100">
        <f>IFERROR(IF($A19=FALSE,0,INDEX('RPS by State'!R:R,MATCH($C19,'RPS by State'!$B:$B,0))),0)</f>
        <v>0</v>
      </c>
      <c r="H19" s="100">
        <f>IFERROR(IF($A19=FALSE,0,INDEX('RPS by State'!S:S,MATCH($C19,'RPS by State'!$B:$B,0))),0)</f>
        <v>0</v>
      </c>
      <c r="I19" s="100">
        <f>IFERROR(IF($A19=FALSE,0,INDEX('RPS by State'!T:T,MATCH($C19,'RPS by State'!$B:$B,0))),0)</f>
        <v>0</v>
      </c>
      <c r="J19" s="100">
        <f>IFERROR(IF($A19=FALSE,0,INDEX('RPS by State'!U:U,MATCH($C19,'RPS by State'!$B:$B,0))),0)</f>
        <v>0</v>
      </c>
      <c r="K19" s="100">
        <f>IFERROR(IF($A19=FALSE,0,INDEX('RPS by State'!V:V,MATCH($C19,'RPS by State'!$B:$B,0))),0)</f>
        <v>0</v>
      </c>
      <c r="L19" s="100">
        <f>IFERROR(IF($A19=FALSE,0,INDEX('RPS by State'!W:W,MATCH($C19,'RPS by State'!$B:$B,0))),0)</f>
        <v>0</v>
      </c>
      <c r="M19" s="100">
        <f>IFERROR(IF($A19=FALSE,0,INDEX('RPS by State'!X:X,MATCH($C19,'RPS by State'!$B:$B,0))),0)</f>
        <v>0</v>
      </c>
      <c r="N19" s="100">
        <f>IFERROR(IF($A19=FALSE,0,INDEX('RPS by State'!Y:Y,MATCH($C19,'RPS by State'!$B:$B,0))),0)</f>
        <v>0</v>
      </c>
      <c r="O19" s="100">
        <f>IFERROR(IF($A19=FALSE,0,INDEX('RPS by State'!Z:Z,MATCH($C19,'RPS by State'!$B:$B,0))),0)</f>
        <v>0</v>
      </c>
      <c r="P19" s="100">
        <f>IFERROR(IF($A19=FALSE,0,INDEX('RPS by State'!AA:AA,MATCH($C19,'RPS by State'!$B:$B,0))),0)</f>
        <v>0</v>
      </c>
      <c r="Q19" s="100">
        <f>IFERROR(IF($A19=FALSE,0,INDEX('RPS by State'!AB:AB,MATCH($C19,'RPS by State'!$B:$B,0))),0)</f>
        <v>0</v>
      </c>
      <c r="R19" s="100">
        <f>IFERROR(IF($A19=FALSE,0,INDEX('RPS by State'!AC:AC,MATCH($C19,'RPS by State'!$B:$B,0))),0)</f>
        <v>0</v>
      </c>
      <c r="S19" s="100">
        <f>IFERROR(IF($A19=FALSE,0,INDEX('RPS by State'!AD:AD,MATCH($C19,'RPS by State'!$B:$B,0))),0)</f>
        <v>0</v>
      </c>
      <c r="T19" s="100">
        <f>IFERROR(IF($A19=FALSE,0,INDEX('RPS by State'!AE:AE,MATCH($C19,'RPS by State'!$B:$B,0))),0)</f>
        <v>0</v>
      </c>
      <c r="U19" s="100">
        <f>IFERROR(IF($A19=FALSE,0,INDEX('RPS by State'!AF:AF,MATCH($C19,'RPS by State'!$B:$B,0))),0)</f>
        <v>0</v>
      </c>
      <c r="V19" s="100">
        <f>IFERROR(IF($A19=FALSE,0,INDEX('RPS by State'!AG:AG,MATCH($C19,'RPS by State'!$B:$B,0))),0)</f>
        <v>0</v>
      </c>
      <c r="W19" s="100">
        <f>IFERROR(IF($A19=FALSE,0,INDEX('RPS by State'!AH:AH,MATCH($C19,'RPS by State'!$B:$B,0))),0)</f>
        <v>0</v>
      </c>
      <c r="X19" s="100">
        <f>IFERROR(IF($A19=FALSE,0,INDEX('RPS by State'!AI:AI,MATCH($C19,'RPS by State'!$B:$B,0))),0)</f>
        <v>0</v>
      </c>
      <c r="Y19" s="100">
        <f>IFERROR(IF($A19=FALSE,0,INDEX('RPS by State'!AJ:AJ,MATCH($C19,'RPS by State'!$B:$B,0))),0)</f>
        <v>0</v>
      </c>
      <c r="Z19" s="100">
        <f>IFERROR(IF($A19=FALSE,0,INDEX('RPS by State'!AK:AK,MATCH($C19,'RPS by State'!$B:$B,0))),0)</f>
        <v>0</v>
      </c>
      <c r="AA19" s="100">
        <f>IFERROR(IF($A19=FALSE,0,INDEX('RPS by State'!AL:AL,MATCH($C19,'RPS by State'!$B:$B,0))),0)</f>
        <v>0</v>
      </c>
      <c r="AB19" s="100">
        <f>IFERROR(IF($A19=FALSE,0,INDEX('RPS by State'!AM:AM,MATCH($C19,'RPS by State'!$B:$B,0))),0)</f>
        <v>0</v>
      </c>
      <c r="AC19" s="100">
        <f>IFERROR(IF($A19=FALSE,0,INDEX('RPS by State'!AN:AN,MATCH($C19,'RPS by State'!$B:$B,0))),0)</f>
        <v>0</v>
      </c>
      <c r="AD19" s="100">
        <f>IFERROR(IF($A19=FALSE,0,INDEX('RPS by State'!AO:AO,MATCH($C19,'RPS by State'!$B:$B,0))),0)</f>
        <v>0</v>
      </c>
      <c r="AE19" s="100">
        <f>IFERROR(IF($A19=FALSE,0,INDEX('RPS by State'!AP:AP,MATCH($C19,'RPS by State'!$B:$B,0))),0)</f>
        <v>0</v>
      </c>
      <c r="AF19" s="100">
        <f>IFERROR(IF($A19=FALSE,0,INDEX('RPS by State'!AQ:AQ,MATCH($C19,'RPS by State'!$B:$B,0))),0)</f>
        <v>0</v>
      </c>
      <c r="AG19" s="100">
        <f>IFERROR(IF($A19=FALSE,0,INDEX('RPS by State'!AR:AR,MATCH($C19,'RPS by State'!$B:$B,0))),0)</f>
        <v>0</v>
      </c>
      <c r="AH19" s="100">
        <f>IFERROR(IF($A19=FALSE,0,INDEX('RPS by State'!AS:AS,MATCH($C19,'RPS by State'!$B:$B,0))),0)</f>
        <v>0</v>
      </c>
      <c r="AI19" s="100">
        <f>IFERROR(IF($A19=FALSE,0,INDEX('RPS by State'!AT:AT,MATCH($C19,'RPS by State'!$B:$B,0))),0)</f>
        <v>0</v>
      </c>
      <c r="AJ19" s="100">
        <f>IFERROR(IF($A19=FALSE,0,INDEX('RPS by State'!AU:AU,MATCH($C19,'RPS by State'!$B:$B,0))),0)</f>
        <v>0</v>
      </c>
      <c r="AK19" s="100">
        <f>IFERROR(IF($A19=FALSE,0,INDEX('RPS by State'!AV:AV,MATCH($C19,'RPS by State'!$B:$B,0))),0)</f>
        <v>0</v>
      </c>
      <c r="AL19" s="100">
        <f>IFERROR(IF($A19=FALSE,0,INDEX('RPS by State'!AW:AW,MATCH($C19,'RPS by State'!$B:$B,0))),0)</f>
        <v>0</v>
      </c>
      <c r="AM19" s="100">
        <f>IFERROR(IF($A19=FALSE,0,INDEX('RPS by State'!AX:AX,MATCH($C19,'RPS by State'!$B:$B,0))),0)</f>
        <v>0</v>
      </c>
      <c r="AN19" s="100">
        <f>IFERROR(IF($A19=FALSE,0,INDEX('RPS by State'!AY:AY,MATCH($C19,'RPS by State'!$B:$B,0))),0)</f>
        <v>0</v>
      </c>
      <c r="AO19" s="100">
        <f>IFERROR(IF($A19=FALSE,0,INDEX('RPS by State'!AZ:AZ,MATCH($C19,'RPS by State'!$B:$B,0))),0)</f>
        <v>0</v>
      </c>
      <c r="AP19" s="100">
        <f>IFERROR(IF($A19=FALSE,0,INDEX('RPS by State'!BA:BA,MATCH($C19,'RPS by State'!$B:$B,0))),0)</f>
        <v>0</v>
      </c>
      <c r="AQ19" s="100">
        <f>IFERROR(IF($A19=FALSE,0,INDEX('RPS by State'!BB:BB,MATCH($C19,'RPS by State'!$B:$B,0))),0)</f>
        <v>0</v>
      </c>
      <c r="AR19" s="100">
        <f>IFERROR(IF($A19=FALSE,0,INDEX('RPS by State'!BC:BC,MATCH($C19,'RPS by State'!$B:$B,0))),0)</f>
        <v>0</v>
      </c>
      <c r="AS19" s="100">
        <f>IFERROR(IF($A19=FALSE,0,INDEX('RPS by State'!BD:BD,MATCH($C19,'RPS by State'!$B:$B,0))),0)</f>
        <v>0</v>
      </c>
      <c r="AT19" s="100">
        <f>IFERROR(IF($A19=FALSE,0,INDEX('RPS by State'!BE:BE,MATCH($C19,'RPS by State'!$B:$B,0))),0)</f>
        <v>0</v>
      </c>
      <c r="AU19" s="100">
        <f>IFERROR(IF($A19=FALSE,0,INDEX('RPS by State'!BF:BF,MATCH($C19,'RPS by State'!$B:$B,0))),0)</f>
        <v>0</v>
      </c>
      <c r="AV19" s="100">
        <f>IFERROR(IF($A19=FALSE,0,INDEX('RPS by State'!BG:BG,MATCH($C19,'RPS by State'!$B:$B,0))),0)</f>
        <v>0</v>
      </c>
      <c r="AW19" s="100">
        <f>IFERROR(IF($A19=FALSE,0,INDEX('RPS by State'!BH:BH,MATCH($C19,'RPS by State'!$B:$B,0))),0)</f>
        <v>0</v>
      </c>
      <c r="AX19" s="100">
        <f>IFERROR(IF($A19=FALSE,0,INDEX('RPS by State'!BI:BI,MATCH($C19,'RPS by State'!$B:$B,0))),0)</f>
        <v>0</v>
      </c>
      <c r="AY19" s="100">
        <f>IFERROR(IF($A19=FALSE,0,INDEX('RPS by State'!BJ:BJ,MATCH($C19,'RPS by State'!$B:$B,0))),0)</f>
        <v>0</v>
      </c>
      <c r="AZ19" s="100">
        <f>IFERROR(IF($A19=FALSE,0,INDEX('RPS by State'!BK:BK,MATCH($C19,'RPS by State'!$B:$B,0))),0)</f>
        <v>0</v>
      </c>
      <c r="BA19" s="100">
        <f>IFERROR(IF($A19=FALSE,0,INDEX('RPS by State'!BL:BL,MATCH($C19,'RPS by State'!$B:$B,0))),0)</f>
        <v>0</v>
      </c>
      <c r="BB19" s="100">
        <f>IFERROR(IF($A19=FALSE,0,INDEX('RPS by State'!BM:BM,MATCH($C19,'RPS by State'!$B:$B,0))),0)</f>
        <v>0</v>
      </c>
      <c r="BC19" s="100">
        <f>IFERROR(IF($A19=FALSE,0,INDEX('RPS by State'!BN:BN,MATCH($C19,'RPS by State'!$B:$B,0))),0)</f>
        <v>0</v>
      </c>
      <c r="BD19" s="100">
        <f>IFERROR(IF($A19=FALSE,0,INDEX('RPS by State'!BO:BO,MATCH($C19,'RPS by State'!$B:$B,0))),0)</f>
        <v>0</v>
      </c>
      <c r="BE19" s="100">
        <f>IFERROR(IF($A19=FALSE,0,INDEX('RPS by State'!BP:BP,MATCH($C19,'RPS by State'!$B:$B,0))),0)</f>
        <v>0</v>
      </c>
      <c r="BF19" s="100">
        <f>IFERROR(IF($A19=FALSE,0,INDEX('RPS by State'!BQ:BQ,MATCH($C19,'RPS by State'!$B:$B,0))),0)</f>
        <v>0</v>
      </c>
      <c r="BG19" s="100">
        <f>IFERROR(IF($A19=FALSE,0,INDEX('RPS by State'!BR:BR,MATCH($C19,'RPS by State'!$B:$B,0))),0)</f>
        <v>0</v>
      </c>
      <c r="BH19" s="100">
        <f>IFERROR(IF($A19=FALSE,0,INDEX('RPS by State'!BS:BS,MATCH($C19,'RPS by State'!$B:$B,0))),0)</f>
        <v>0</v>
      </c>
      <c r="BI19" s="100">
        <f>IFERROR(IF($A19=FALSE,0,INDEX('RPS by State'!BT:BT,MATCH($C19,'RPS by State'!$B:$B,0))),0)</f>
        <v>0</v>
      </c>
      <c r="BJ19" s="100">
        <f>IFERROR(IF($A19=FALSE,0,INDEX('RPS by State'!BU:BU,MATCH($C19,'RPS by State'!$B:$B,0))),0)</f>
        <v>0</v>
      </c>
      <c r="BK19" s="100">
        <f>IFERROR(IF($A19=FALSE,0,INDEX('RPS by State'!BV:BV,MATCH($C19,'RPS by State'!$B:$B,0))),0)</f>
        <v>0</v>
      </c>
      <c r="BL19" s="100">
        <f>IFERROR(IF($A19=FALSE,0,INDEX('RPS by State'!BW:BW,MATCH($C19,'RPS by State'!$B:$B,0))),0)</f>
        <v>0</v>
      </c>
      <c r="BM19" s="100">
        <f>IFERROR(IF($A19=FALSE,0,INDEX('RPS by State'!BX:BX,MATCH($C19,'RPS by State'!$B:$B,0))),0)</f>
        <v>0</v>
      </c>
      <c r="BN19" s="100">
        <f>IFERROR(IF($A19=FALSE,0,INDEX('RPS by State'!BY:BY,MATCH($C19,'RPS by State'!$B:$B,0))),0)</f>
        <v>0</v>
      </c>
      <c r="BO19" s="100">
        <f>IFERROR(IF($A19=FALSE,0,INDEX('RPS by State'!BZ:BZ,MATCH($C19,'RPS by State'!$B:$B,0))),0)</f>
        <v>0</v>
      </c>
      <c r="BP19" s="100">
        <f>IFERROR(IF($A19=FALSE,0,INDEX('RPS by State'!CA:CA,MATCH($C19,'RPS by State'!$B:$B,0))),0)</f>
        <v>0</v>
      </c>
      <c r="BQ19" s="100">
        <f>IFERROR(IF($A19=FALSE,0,INDEX('RPS by State'!CB:CB,MATCH($C19,'RPS by State'!$B:$B,0))),0)</f>
        <v>0</v>
      </c>
      <c r="BR19" s="100">
        <f>IFERROR(IF($A19=FALSE,0,INDEX('RPS by State'!CC:CC,MATCH($C19,'RPS by State'!$B:$B,0))),0)</f>
        <v>0</v>
      </c>
      <c r="BS19" s="100">
        <f>IFERROR(IF($A19=FALSE,0,INDEX('RPS by State'!CD:CD,MATCH($C19,'RPS by State'!$B:$B,0))),0)</f>
        <v>0</v>
      </c>
      <c r="BT19" s="100">
        <f>IFERROR(IF($A19=FALSE,0,INDEX('RPS by State'!CE:CE,MATCH($C19,'RPS by State'!$B:$B,0))),0)</f>
        <v>0</v>
      </c>
      <c r="BU19" s="100">
        <f>IFERROR(IF($A19=FALSE,0,INDEX('RPS by State'!CF:CF,MATCH($C19,'RPS by State'!$B:$B,0))),0)</f>
        <v>0</v>
      </c>
      <c r="BV19" s="100">
        <f>IFERROR(IF($A19=FALSE,0,INDEX('RPS by State'!CG:CG,MATCH($C19,'RPS by State'!$B:$B,0))),0)</f>
        <v>0</v>
      </c>
      <c r="BW19" s="100">
        <f>IFERROR(IF($A19=FALSE,0,INDEX('RPS by State'!CH:CH,MATCH($C19,'RPS by State'!$B:$B,0))),0)</f>
        <v>0</v>
      </c>
      <c r="BX19" s="100">
        <f>IFERROR(IF($A19=FALSE,0,INDEX('RPS by State'!CI:CI,MATCH($C19,'RPS by State'!$B:$B,0))),0)</f>
        <v>0</v>
      </c>
      <c r="BY19" s="100">
        <f>IFERROR(IF($A19=FALSE,0,INDEX('RPS by State'!CJ:CJ,MATCH($C19,'RPS by State'!$B:$B,0))),0)</f>
        <v>0</v>
      </c>
      <c r="BZ19" s="100">
        <f>IFERROR(IF($A19=FALSE,0,INDEX('RPS by State'!CK:CK,MATCH($C19,'RPS by State'!$B:$B,0))),0)</f>
        <v>0</v>
      </c>
      <c r="CA19" s="100">
        <f>IFERROR(IF($A19=FALSE,0,INDEX('RPS by State'!CL:CL,MATCH($C19,'RPS by State'!$B:$B,0))),0)</f>
        <v>0</v>
      </c>
      <c r="CB19" s="100">
        <f>IFERROR(IF($A19=FALSE,0,INDEX('RPS by State'!CM:CM,MATCH($C19,'RPS by State'!$B:$B,0))),0)</f>
        <v>0</v>
      </c>
      <c r="CC19" s="100">
        <f>IFERROR(IF($A19=FALSE,0,INDEX('RPS by State'!CN:CN,MATCH($C19,'RPS by State'!$B:$B,0))),0)</f>
        <v>0</v>
      </c>
      <c r="CD19" s="100">
        <f>IFERROR(IF($A19=FALSE,0,INDEX('RPS by State'!CO:CO,MATCH($C19,'RPS by State'!$B:$B,0))),0)</f>
        <v>0</v>
      </c>
      <c r="CE19" s="100">
        <f>IFERROR(IF($A19=FALSE,0,INDEX('RPS by State'!CP:CP,MATCH($C19,'RPS by State'!$B:$B,0))),0)</f>
        <v>0</v>
      </c>
    </row>
    <row r="20" spans="1:83" x14ac:dyDescent="0.25">
      <c r="A20" t="b">
        <f>IFERROR(INDEX('RPS by State'!G:G,MATCH(B20,'RPS by State'!A:A,0)),0)</f>
        <v>0</v>
      </c>
      <c r="B20" s="120" t="s">
        <v>47</v>
      </c>
      <c r="C20" s="120" t="str">
        <f>IFERROR(INDEX(About!L:L,MATCH(B20,About!K:K,0)),0)</f>
        <v>LA</v>
      </c>
      <c r="D20" s="100">
        <f>IFERROR(IF($A20=FALSE,0,INDEX('RPS by State'!O:O,MATCH($C20,'RPS by State'!$B:$B,0))),0)</f>
        <v>0</v>
      </c>
      <c r="E20" s="100">
        <f>IFERROR(IF($A20=FALSE,0,INDEX('RPS by State'!P:P,MATCH($C20,'RPS by State'!$B:$B,0))),0)</f>
        <v>0</v>
      </c>
      <c r="F20" s="100">
        <f>IFERROR(IF($A20=FALSE,0,INDEX('RPS by State'!Q:Q,MATCH($C20,'RPS by State'!$B:$B,0))),0)</f>
        <v>0</v>
      </c>
      <c r="G20" s="100">
        <f>IFERROR(IF($A20=FALSE,0,INDEX('RPS by State'!R:R,MATCH($C20,'RPS by State'!$B:$B,0))),0)</f>
        <v>0</v>
      </c>
      <c r="H20" s="100">
        <f>IFERROR(IF($A20=FALSE,0,INDEX('RPS by State'!S:S,MATCH($C20,'RPS by State'!$B:$B,0))),0)</f>
        <v>0</v>
      </c>
      <c r="I20" s="100">
        <f>IFERROR(IF($A20=FALSE,0,INDEX('RPS by State'!T:T,MATCH($C20,'RPS by State'!$B:$B,0))),0)</f>
        <v>0</v>
      </c>
      <c r="J20" s="100">
        <f>IFERROR(IF($A20=FALSE,0,INDEX('RPS by State'!U:U,MATCH($C20,'RPS by State'!$B:$B,0))),0)</f>
        <v>0</v>
      </c>
      <c r="K20" s="100">
        <f>IFERROR(IF($A20=FALSE,0,INDEX('RPS by State'!V:V,MATCH($C20,'RPS by State'!$B:$B,0))),0)</f>
        <v>0</v>
      </c>
      <c r="L20" s="100">
        <f>IFERROR(IF($A20=FALSE,0,INDEX('RPS by State'!W:W,MATCH($C20,'RPS by State'!$B:$B,0))),0)</f>
        <v>0</v>
      </c>
      <c r="M20" s="100">
        <f>IFERROR(IF($A20=FALSE,0,INDEX('RPS by State'!X:X,MATCH($C20,'RPS by State'!$B:$B,0))),0)</f>
        <v>0</v>
      </c>
      <c r="N20" s="100">
        <f>IFERROR(IF($A20=FALSE,0,INDEX('RPS by State'!Y:Y,MATCH($C20,'RPS by State'!$B:$B,0))),0)</f>
        <v>0</v>
      </c>
      <c r="O20" s="100">
        <f>IFERROR(IF($A20=FALSE,0,INDEX('RPS by State'!Z:Z,MATCH($C20,'RPS by State'!$B:$B,0))),0)</f>
        <v>0</v>
      </c>
      <c r="P20" s="100">
        <f>IFERROR(IF($A20=FALSE,0,INDEX('RPS by State'!AA:AA,MATCH($C20,'RPS by State'!$B:$B,0))),0)</f>
        <v>0</v>
      </c>
      <c r="Q20" s="100">
        <f>IFERROR(IF($A20=FALSE,0,INDEX('RPS by State'!AB:AB,MATCH($C20,'RPS by State'!$B:$B,0))),0)</f>
        <v>0</v>
      </c>
      <c r="R20" s="100">
        <f>IFERROR(IF($A20=FALSE,0,INDEX('RPS by State'!AC:AC,MATCH($C20,'RPS by State'!$B:$B,0))),0)</f>
        <v>0</v>
      </c>
      <c r="S20" s="100">
        <f>IFERROR(IF($A20=FALSE,0,INDEX('RPS by State'!AD:AD,MATCH($C20,'RPS by State'!$B:$B,0))),0)</f>
        <v>0</v>
      </c>
      <c r="T20" s="100">
        <f>IFERROR(IF($A20=FALSE,0,INDEX('RPS by State'!AE:AE,MATCH($C20,'RPS by State'!$B:$B,0))),0)</f>
        <v>0</v>
      </c>
      <c r="U20" s="100">
        <f>IFERROR(IF($A20=FALSE,0,INDEX('RPS by State'!AF:AF,MATCH($C20,'RPS by State'!$B:$B,0))),0)</f>
        <v>0</v>
      </c>
      <c r="V20" s="100">
        <f>IFERROR(IF($A20=FALSE,0,INDEX('RPS by State'!AG:AG,MATCH($C20,'RPS by State'!$B:$B,0))),0)</f>
        <v>0</v>
      </c>
      <c r="W20" s="100">
        <f>IFERROR(IF($A20=FALSE,0,INDEX('RPS by State'!AH:AH,MATCH($C20,'RPS by State'!$B:$B,0))),0)</f>
        <v>0</v>
      </c>
      <c r="X20" s="100">
        <f>IFERROR(IF($A20=FALSE,0,INDEX('RPS by State'!AI:AI,MATCH($C20,'RPS by State'!$B:$B,0))),0)</f>
        <v>0</v>
      </c>
      <c r="Y20" s="100">
        <f>IFERROR(IF($A20=FALSE,0,INDEX('RPS by State'!AJ:AJ,MATCH($C20,'RPS by State'!$B:$B,0))),0)</f>
        <v>0</v>
      </c>
      <c r="Z20" s="100">
        <f>IFERROR(IF($A20=FALSE,0,INDEX('RPS by State'!AK:AK,MATCH($C20,'RPS by State'!$B:$B,0))),0)</f>
        <v>0</v>
      </c>
      <c r="AA20" s="100">
        <f>IFERROR(IF($A20=FALSE,0,INDEX('RPS by State'!AL:AL,MATCH($C20,'RPS by State'!$B:$B,0))),0)</f>
        <v>0</v>
      </c>
      <c r="AB20" s="100">
        <f>IFERROR(IF($A20=FALSE,0,INDEX('RPS by State'!AM:AM,MATCH($C20,'RPS by State'!$B:$B,0))),0)</f>
        <v>0</v>
      </c>
      <c r="AC20" s="100">
        <f>IFERROR(IF($A20=FALSE,0,INDEX('RPS by State'!AN:AN,MATCH($C20,'RPS by State'!$B:$B,0))),0)</f>
        <v>0</v>
      </c>
      <c r="AD20" s="100">
        <f>IFERROR(IF($A20=FALSE,0,INDEX('RPS by State'!AO:AO,MATCH($C20,'RPS by State'!$B:$B,0))),0)</f>
        <v>0</v>
      </c>
      <c r="AE20" s="100">
        <f>IFERROR(IF($A20=FALSE,0,INDEX('RPS by State'!AP:AP,MATCH($C20,'RPS by State'!$B:$B,0))),0)</f>
        <v>0</v>
      </c>
      <c r="AF20" s="100">
        <f>IFERROR(IF($A20=FALSE,0,INDEX('RPS by State'!AQ:AQ,MATCH($C20,'RPS by State'!$B:$B,0))),0)</f>
        <v>0</v>
      </c>
      <c r="AG20" s="100">
        <f>IFERROR(IF($A20=FALSE,0,INDEX('RPS by State'!AR:AR,MATCH($C20,'RPS by State'!$B:$B,0))),0)</f>
        <v>0</v>
      </c>
      <c r="AH20" s="100">
        <f>IFERROR(IF($A20=FALSE,0,INDEX('RPS by State'!AS:AS,MATCH($C20,'RPS by State'!$B:$B,0))),0)</f>
        <v>0</v>
      </c>
      <c r="AI20" s="100">
        <f>IFERROR(IF($A20=FALSE,0,INDEX('RPS by State'!AT:AT,MATCH($C20,'RPS by State'!$B:$B,0))),0)</f>
        <v>0</v>
      </c>
      <c r="AJ20" s="100">
        <f>IFERROR(IF($A20=FALSE,0,INDEX('RPS by State'!AU:AU,MATCH($C20,'RPS by State'!$B:$B,0))),0)</f>
        <v>0</v>
      </c>
      <c r="AK20" s="100">
        <f>IFERROR(IF($A20=FALSE,0,INDEX('RPS by State'!AV:AV,MATCH($C20,'RPS by State'!$B:$B,0))),0)</f>
        <v>0</v>
      </c>
      <c r="AL20" s="100">
        <f>IFERROR(IF($A20=FALSE,0,INDEX('RPS by State'!AW:AW,MATCH($C20,'RPS by State'!$B:$B,0))),0)</f>
        <v>0</v>
      </c>
      <c r="AM20" s="100">
        <f>IFERROR(IF($A20=FALSE,0,INDEX('RPS by State'!AX:AX,MATCH($C20,'RPS by State'!$B:$B,0))),0)</f>
        <v>0</v>
      </c>
      <c r="AN20" s="100">
        <f>IFERROR(IF($A20=FALSE,0,INDEX('RPS by State'!AY:AY,MATCH($C20,'RPS by State'!$B:$B,0))),0)</f>
        <v>0</v>
      </c>
      <c r="AO20" s="100">
        <f>IFERROR(IF($A20=FALSE,0,INDEX('RPS by State'!AZ:AZ,MATCH($C20,'RPS by State'!$B:$B,0))),0)</f>
        <v>0</v>
      </c>
      <c r="AP20" s="100">
        <f>IFERROR(IF($A20=FALSE,0,INDEX('RPS by State'!BA:BA,MATCH($C20,'RPS by State'!$B:$B,0))),0)</f>
        <v>0</v>
      </c>
      <c r="AQ20" s="100">
        <f>IFERROR(IF($A20=FALSE,0,INDEX('RPS by State'!BB:BB,MATCH($C20,'RPS by State'!$B:$B,0))),0)</f>
        <v>0</v>
      </c>
      <c r="AR20" s="100">
        <f>IFERROR(IF($A20=FALSE,0,INDEX('RPS by State'!BC:BC,MATCH($C20,'RPS by State'!$B:$B,0))),0)</f>
        <v>0</v>
      </c>
      <c r="AS20" s="100">
        <f>IFERROR(IF($A20=FALSE,0,INDEX('RPS by State'!BD:BD,MATCH($C20,'RPS by State'!$B:$B,0))),0)</f>
        <v>0</v>
      </c>
      <c r="AT20" s="100">
        <f>IFERROR(IF($A20=FALSE,0,INDEX('RPS by State'!BE:BE,MATCH($C20,'RPS by State'!$B:$B,0))),0)</f>
        <v>0</v>
      </c>
      <c r="AU20" s="100">
        <f>IFERROR(IF($A20=FALSE,0,INDEX('RPS by State'!BF:BF,MATCH($C20,'RPS by State'!$B:$B,0))),0)</f>
        <v>0</v>
      </c>
      <c r="AV20" s="100">
        <f>IFERROR(IF($A20=FALSE,0,INDEX('RPS by State'!BG:BG,MATCH($C20,'RPS by State'!$B:$B,0))),0)</f>
        <v>0</v>
      </c>
      <c r="AW20" s="100">
        <f>IFERROR(IF($A20=FALSE,0,INDEX('RPS by State'!BH:BH,MATCH($C20,'RPS by State'!$B:$B,0))),0)</f>
        <v>0</v>
      </c>
      <c r="AX20" s="100">
        <f>IFERROR(IF($A20=FALSE,0,INDEX('RPS by State'!BI:BI,MATCH($C20,'RPS by State'!$B:$B,0))),0)</f>
        <v>0</v>
      </c>
      <c r="AY20" s="100">
        <f>IFERROR(IF($A20=FALSE,0,INDEX('RPS by State'!BJ:BJ,MATCH($C20,'RPS by State'!$B:$B,0))),0)</f>
        <v>0</v>
      </c>
      <c r="AZ20" s="100">
        <f>IFERROR(IF($A20=FALSE,0,INDEX('RPS by State'!BK:BK,MATCH($C20,'RPS by State'!$B:$B,0))),0)</f>
        <v>0</v>
      </c>
      <c r="BA20" s="100">
        <f>IFERROR(IF($A20=FALSE,0,INDEX('RPS by State'!BL:BL,MATCH($C20,'RPS by State'!$B:$B,0))),0)</f>
        <v>0</v>
      </c>
      <c r="BB20" s="100">
        <f>IFERROR(IF($A20=FALSE,0,INDEX('RPS by State'!BM:BM,MATCH($C20,'RPS by State'!$B:$B,0))),0)</f>
        <v>0</v>
      </c>
      <c r="BC20" s="100">
        <f>IFERROR(IF($A20=FALSE,0,INDEX('RPS by State'!BN:BN,MATCH($C20,'RPS by State'!$B:$B,0))),0)</f>
        <v>0</v>
      </c>
      <c r="BD20" s="100">
        <f>IFERROR(IF($A20=FALSE,0,INDEX('RPS by State'!BO:BO,MATCH($C20,'RPS by State'!$B:$B,0))),0)</f>
        <v>0</v>
      </c>
      <c r="BE20" s="100">
        <f>IFERROR(IF($A20=FALSE,0,INDEX('RPS by State'!BP:BP,MATCH($C20,'RPS by State'!$B:$B,0))),0)</f>
        <v>0</v>
      </c>
      <c r="BF20" s="100">
        <f>IFERROR(IF($A20=FALSE,0,INDEX('RPS by State'!BQ:BQ,MATCH($C20,'RPS by State'!$B:$B,0))),0)</f>
        <v>0</v>
      </c>
      <c r="BG20" s="100">
        <f>IFERROR(IF($A20=FALSE,0,INDEX('RPS by State'!BR:BR,MATCH($C20,'RPS by State'!$B:$B,0))),0)</f>
        <v>0</v>
      </c>
      <c r="BH20" s="100">
        <f>IFERROR(IF($A20=FALSE,0,INDEX('RPS by State'!BS:BS,MATCH($C20,'RPS by State'!$B:$B,0))),0)</f>
        <v>0</v>
      </c>
      <c r="BI20" s="100">
        <f>IFERROR(IF($A20=FALSE,0,INDEX('RPS by State'!BT:BT,MATCH($C20,'RPS by State'!$B:$B,0))),0)</f>
        <v>0</v>
      </c>
      <c r="BJ20" s="100">
        <f>IFERROR(IF($A20=FALSE,0,INDEX('RPS by State'!BU:BU,MATCH($C20,'RPS by State'!$B:$B,0))),0)</f>
        <v>0</v>
      </c>
      <c r="BK20" s="100">
        <f>IFERROR(IF($A20=FALSE,0,INDEX('RPS by State'!BV:BV,MATCH($C20,'RPS by State'!$B:$B,0))),0)</f>
        <v>0</v>
      </c>
      <c r="BL20" s="100">
        <f>IFERROR(IF($A20=FALSE,0,INDEX('RPS by State'!BW:BW,MATCH($C20,'RPS by State'!$B:$B,0))),0)</f>
        <v>0</v>
      </c>
      <c r="BM20" s="100">
        <f>IFERROR(IF($A20=FALSE,0,INDEX('RPS by State'!BX:BX,MATCH($C20,'RPS by State'!$B:$B,0))),0)</f>
        <v>0</v>
      </c>
      <c r="BN20" s="100">
        <f>IFERROR(IF($A20=FALSE,0,INDEX('RPS by State'!BY:BY,MATCH($C20,'RPS by State'!$B:$B,0))),0)</f>
        <v>0</v>
      </c>
      <c r="BO20" s="100">
        <f>IFERROR(IF($A20=FALSE,0,INDEX('RPS by State'!BZ:BZ,MATCH($C20,'RPS by State'!$B:$B,0))),0)</f>
        <v>0</v>
      </c>
      <c r="BP20" s="100">
        <f>IFERROR(IF($A20=FALSE,0,INDEX('RPS by State'!CA:CA,MATCH($C20,'RPS by State'!$B:$B,0))),0)</f>
        <v>0</v>
      </c>
      <c r="BQ20" s="100">
        <f>IFERROR(IF($A20=FALSE,0,INDEX('RPS by State'!CB:CB,MATCH($C20,'RPS by State'!$B:$B,0))),0)</f>
        <v>0</v>
      </c>
      <c r="BR20" s="100">
        <f>IFERROR(IF($A20=FALSE,0,INDEX('RPS by State'!CC:CC,MATCH($C20,'RPS by State'!$B:$B,0))),0)</f>
        <v>0</v>
      </c>
      <c r="BS20" s="100">
        <f>IFERROR(IF($A20=FALSE,0,INDEX('RPS by State'!CD:CD,MATCH($C20,'RPS by State'!$B:$B,0))),0)</f>
        <v>0</v>
      </c>
      <c r="BT20" s="100">
        <f>IFERROR(IF($A20=FALSE,0,INDEX('RPS by State'!CE:CE,MATCH($C20,'RPS by State'!$B:$B,0))),0)</f>
        <v>0</v>
      </c>
      <c r="BU20" s="100">
        <f>IFERROR(IF($A20=FALSE,0,INDEX('RPS by State'!CF:CF,MATCH($C20,'RPS by State'!$B:$B,0))),0)</f>
        <v>0</v>
      </c>
      <c r="BV20" s="100">
        <f>IFERROR(IF($A20=FALSE,0,INDEX('RPS by State'!CG:CG,MATCH($C20,'RPS by State'!$B:$B,0))),0)</f>
        <v>0</v>
      </c>
      <c r="BW20" s="100">
        <f>IFERROR(IF($A20=FALSE,0,INDEX('RPS by State'!CH:CH,MATCH($C20,'RPS by State'!$B:$B,0))),0)</f>
        <v>0</v>
      </c>
      <c r="BX20" s="100">
        <f>IFERROR(IF($A20=FALSE,0,INDEX('RPS by State'!CI:CI,MATCH($C20,'RPS by State'!$B:$B,0))),0)</f>
        <v>0</v>
      </c>
      <c r="BY20" s="100">
        <f>IFERROR(IF($A20=FALSE,0,INDEX('RPS by State'!CJ:CJ,MATCH($C20,'RPS by State'!$B:$B,0))),0)</f>
        <v>0</v>
      </c>
      <c r="BZ20" s="100">
        <f>IFERROR(IF($A20=FALSE,0,INDEX('RPS by State'!CK:CK,MATCH($C20,'RPS by State'!$B:$B,0))),0)</f>
        <v>0</v>
      </c>
      <c r="CA20" s="100">
        <f>IFERROR(IF($A20=FALSE,0,INDEX('RPS by State'!CL:CL,MATCH($C20,'RPS by State'!$B:$B,0))),0)</f>
        <v>0</v>
      </c>
      <c r="CB20" s="100">
        <f>IFERROR(IF($A20=FALSE,0,INDEX('RPS by State'!CM:CM,MATCH($C20,'RPS by State'!$B:$B,0))),0)</f>
        <v>0</v>
      </c>
      <c r="CC20" s="100">
        <f>IFERROR(IF($A20=FALSE,0,INDEX('RPS by State'!CN:CN,MATCH($C20,'RPS by State'!$B:$B,0))),0)</f>
        <v>0</v>
      </c>
      <c r="CD20" s="100">
        <f>IFERROR(IF($A20=FALSE,0,INDEX('RPS by State'!CO:CO,MATCH($C20,'RPS by State'!$B:$B,0))),0)</f>
        <v>0</v>
      </c>
      <c r="CE20" s="100">
        <f>IFERROR(IF($A20=FALSE,0,INDEX('RPS by State'!CP:CP,MATCH($C20,'RPS by State'!$B:$B,0))),0)</f>
        <v>0</v>
      </c>
    </row>
    <row r="21" spans="1:83" x14ac:dyDescent="0.25">
      <c r="A21" t="b">
        <f>IFERROR(INDEX('RPS by State'!G:G,MATCH(B21,'RPS by State'!A:A,0)),0)</f>
        <v>1</v>
      </c>
      <c r="B21" s="120" t="s">
        <v>50</v>
      </c>
      <c r="C21" s="120" t="str">
        <f>IFERROR(INDEX(About!L:L,MATCH(B21,About!K:K,0)),0)</f>
        <v>ME</v>
      </c>
      <c r="D21" s="100">
        <f>IFERROR(IF($A21=FALSE,0,INDEX('RPS by State'!O:O,MATCH($C21,'RPS by State'!$B:$B,0))),0)</f>
        <v>0.52307692307692311</v>
      </c>
      <c r="E21" s="100">
        <f>IFERROR(IF($A21=FALSE,0,INDEX('RPS by State'!P:P,MATCH($C21,'RPS by State'!$B:$B,0))),0)</f>
        <v>0.55384615384615388</v>
      </c>
      <c r="F21" s="100">
        <f>IFERROR(IF($A21=FALSE,0,INDEX('RPS by State'!Q:Q,MATCH($C21,'RPS by State'!$B:$B,0))),0)</f>
        <v>0.58461538461538465</v>
      </c>
      <c r="G21" s="100">
        <f>IFERROR(IF($A21=FALSE,0,INDEX('RPS by State'!R:R,MATCH($C21,'RPS by State'!$B:$B,0))),0)</f>
        <v>0.61538461538461542</v>
      </c>
      <c r="H21" s="100">
        <f>IFERROR(IF($A21=FALSE,0,INDEX('RPS by State'!S:S,MATCH($C21,'RPS by State'!$B:$B,0))),0)</f>
        <v>0.64615384615384619</v>
      </c>
      <c r="I21" s="100">
        <f>IFERROR(IF($A21=FALSE,0,INDEX('RPS by State'!T:T,MATCH($C21,'RPS by State'!$B:$B,0))),0)</f>
        <v>0.67692307692307696</v>
      </c>
      <c r="J21" s="100">
        <f>IFERROR(IF($A21=FALSE,0,INDEX('RPS by State'!U:U,MATCH($C21,'RPS by State'!$B:$B,0))),0)</f>
        <v>0.70769230769230773</v>
      </c>
      <c r="K21" s="100">
        <f>IFERROR(IF($A21=FALSE,0,INDEX('RPS by State'!V:V,MATCH($C21,'RPS by State'!$B:$B,0))),0)</f>
        <v>0.7384615384615385</v>
      </c>
      <c r="L21" s="100">
        <f>IFERROR(IF($A21=FALSE,0,INDEX('RPS by State'!W:W,MATCH($C21,'RPS by State'!$B:$B,0))),0)</f>
        <v>0.76923076923076927</v>
      </c>
      <c r="M21" s="100">
        <f>IFERROR(IF($A21=FALSE,0,INDEX('RPS by State'!X:X,MATCH($C21,'RPS by State'!$B:$B,0))),0)</f>
        <v>0.8</v>
      </c>
      <c r="N21" s="100">
        <f>IFERROR(IF($A21=FALSE,0,INDEX('RPS by State'!Y:Y,MATCH($C21,'RPS by State'!$B:$B,0))),0)</f>
        <v>0.81</v>
      </c>
      <c r="O21" s="100">
        <f>IFERROR(IF($A21=FALSE,0,INDEX('RPS by State'!Z:Z,MATCH($C21,'RPS by State'!$B:$B,0))),0)</f>
        <v>0.82000000000000006</v>
      </c>
      <c r="P21" s="100">
        <f>IFERROR(IF($A21=FALSE,0,INDEX('RPS by State'!AA:AA,MATCH($C21,'RPS by State'!$B:$B,0))),0)</f>
        <v>0.83000000000000007</v>
      </c>
      <c r="Q21" s="100">
        <f>IFERROR(IF($A21=FALSE,0,INDEX('RPS by State'!AB:AB,MATCH($C21,'RPS by State'!$B:$B,0))),0)</f>
        <v>0.84000000000000008</v>
      </c>
      <c r="R21" s="100">
        <f>IFERROR(IF($A21=FALSE,0,INDEX('RPS by State'!AC:AC,MATCH($C21,'RPS by State'!$B:$B,0))),0)</f>
        <v>0.85000000000000009</v>
      </c>
      <c r="S21" s="100">
        <f>IFERROR(IF($A21=FALSE,0,INDEX('RPS by State'!AD:AD,MATCH($C21,'RPS by State'!$B:$B,0))),0)</f>
        <v>0.8600000000000001</v>
      </c>
      <c r="T21" s="100">
        <f>IFERROR(IF($A21=FALSE,0,INDEX('RPS by State'!AE:AE,MATCH($C21,'RPS by State'!$B:$B,0))),0)</f>
        <v>0.87000000000000011</v>
      </c>
      <c r="U21" s="100">
        <f>IFERROR(IF($A21=FALSE,0,INDEX('RPS by State'!AF:AF,MATCH($C21,'RPS by State'!$B:$B,0))),0)</f>
        <v>0.88000000000000012</v>
      </c>
      <c r="V21" s="100">
        <f>IFERROR(IF($A21=FALSE,0,INDEX('RPS by State'!AG:AG,MATCH($C21,'RPS by State'!$B:$B,0))),0)</f>
        <v>0.89000000000000012</v>
      </c>
      <c r="W21" s="100">
        <f>IFERROR(IF($A21=FALSE,0,INDEX('RPS by State'!AH:AH,MATCH($C21,'RPS by State'!$B:$B,0))),0)</f>
        <v>0.90000000000000013</v>
      </c>
      <c r="X21" s="100">
        <f>IFERROR(IF($A21=FALSE,0,INDEX('RPS by State'!AI:AI,MATCH($C21,'RPS by State'!$B:$B,0))),0)</f>
        <v>0.91000000000000014</v>
      </c>
      <c r="Y21" s="100">
        <f>IFERROR(IF($A21=FALSE,0,INDEX('RPS by State'!AJ:AJ,MATCH($C21,'RPS by State'!$B:$B,0))),0)</f>
        <v>0.92000000000000015</v>
      </c>
      <c r="Z21" s="100">
        <f>IFERROR(IF($A21=FALSE,0,INDEX('RPS by State'!AK:AK,MATCH($C21,'RPS by State'!$B:$B,0))),0)</f>
        <v>0.93000000000000016</v>
      </c>
      <c r="AA21" s="100">
        <f>IFERROR(IF($A21=FALSE,0,INDEX('RPS by State'!AL:AL,MATCH($C21,'RPS by State'!$B:$B,0))),0)</f>
        <v>0.94000000000000017</v>
      </c>
      <c r="AB21" s="100">
        <f>IFERROR(IF($A21=FALSE,0,INDEX('RPS by State'!AM:AM,MATCH($C21,'RPS by State'!$B:$B,0))),0)</f>
        <v>0.95000000000000018</v>
      </c>
      <c r="AC21" s="100">
        <f>IFERROR(IF($A21=FALSE,0,INDEX('RPS by State'!AN:AN,MATCH($C21,'RPS by State'!$B:$B,0))),0)</f>
        <v>0.96000000000000019</v>
      </c>
      <c r="AD21" s="100">
        <f>IFERROR(IF($A21=FALSE,0,INDEX('RPS by State'!AO:AO,MATCH($C21,'RPS by State'!$B:$B,0))),0)</f>
        <v>0.9700000000000002</v>
      </c>
      <c r="AE21" s="100">
        <f>IFERROR(IF($A21=FALSE,0,INDEX('RPS by State'!AP:AP,MATCH($C21,'RPS by State'!$B:$B,0))),0)</f>
        <v>0.9800000000000002</v>
      </c>
      <c r="AF21" s="100">
        <f>IFERROR(IF($A21=FALSE,0,INDEX('RPS by State'!AQ:AQ,MATCH($C21,'RPS by State'!$B:$B,0))),0)</f>
        <v>0.99000000000000021</v>
      </c>
      <c r="AG21" s="100">
        <f>IFERROR(IF($A21=FALSE,0,INDEX('RPS by State'!AR:AR,MATCH($C21,'RPS by State'!$B:$B,0))),0)</f>
        <v>1</v>
      </c>
      <c r="AH21" s="100">
        <f>IFERROR(IF($A21=FALSE,0,INDEX('RPS by State'!AS:AS,MATCH($C21,'RPS by State'!$B:$B,0))),0)</f>
        <v>0</v>
      </c>
      <c r="AI21" s="100">
        <f>IFERROR(IF($A21=FALSE,0,INDEX('RPS by State'!AT:AT,MATCH($C21,'RPS by State'!$B:$B,0))),0)</f>
        <v>0</v>
      </c>
      <c r="AJ21" s="100">
        <f>IFERROR(IF($A21=FALSE,0,INDEX('RPS by State'!AU:AU,MATCH($C21,'RPS by State'!$B:$B,0))),0)</f>
        <v>0</v>
      </c>
      <c r="AK21" s="100">
        <f>IFERROR(IF($A21=FALSE,0,INDEX('RPS by State'!AV:AV,MATCH($C21,'RPS by State'!$B:$B,0))),0)</f>
        <v>0</v>
      </c>
      <c r="AL21" s="100">
        <f>IFERROR(IF($A21=FALSE,0,INDEX('RPS by State'!AW:AW,MATCH($C21,'RPS by State'!$B:$B,0))),0)</f>
        <v>0</v>
      </c>
      <c r="AM21" s="100">
        <f>IFERROR(IF($A21=FALSE,0,INDEX('RPS by State'!AX:AX,MATCH($C21,'RPS by State'!$B:$B,0))),0)</f>
        <v>0</v>
      </c>
      <c r="AN21" s="100">
        <f>IFERROR(IF($A21=FALSE,0,INDEX('RPS by State'!AY:AY,MATCH($C21,'RPS by State'!$B:$B,0))),0)</f>
        <v>0</v>
      </c>
      <c r="AO21" s="100">
        <f>IFERROR(IF($A21=FALSE,0,INDEX('RPS by State'!AZ:AZ,MATCH($C21,'RPS by State'!$B:$B,0))),0)</f>
        <v>0</v>
      </c>
      <c r="AP21" s="100">
        <f>IFERROR(IF($A21=FALSE,0,INDEX('RPS by State'!BA:BA,MATCH($C21,'RPS by State'!$B:$B,0))),0)</f>
        <v>0</v>
      </c>
      <c r="AQ21" s="100">
        <f>IFERROR(IF($A21=FALSE,0,INDEX('RPS by State'!BB:BB,MATCH($C21,'RPS by State'!$B:$B,0))),0)</f>
        <v>0</v>
      </c>
      <c r="AR21" s="100">
        <f>IFERROR(IF($A21=FALSE,0,INDEX('RPS by State'!BC:BC,MATCH($C21,'RPS by State'!$B:$B,0))),0)</f>
        <v>0</v>
      </c>
      <c r="AS21" s="100">
        <f>IFERROR(IF($A21=FALSE,0,INDEX('RPS by State'!BD:BD,MATCH($C21,'RPS by State'!$B:$B,0))),0)</f>
        <v>0</v>
      </c>
      <c r="AT21" s="100">
        <f>IFERROR(IF($A21=FALSE,0,INDEX('RPS by State'!BE:BE,MATCH($C21,'RPS by State'!$B:$B,0))),0)</f>
        <v>0</v>
      </c>
      <c r="AU21" s="100">
        <f>IFERROR(IF($A21=FALSE,0,INDEX('RPS by State'!BF:BF,MATCH($C21,'RPS by State'!$B:$B,0))),0)</f>
        <v>0</v>
      </c>
      <c r="AV21" s="100">
        <f>IFERROR(IF($A21=FALSE,0,INDEX('RPS by State'!BG:BG,MATCH($C21,'RPS by State'!$B:$B,0))),0)</f>
        <v>0</v>
      </c>
      <c r="AW21" s="100">
        <f>IFERROR(IF($A21=FALSE,0,INDEX('RPS by State'!BH:BH,MATCH($C21,'RPS by State'!$B:$B,0))),0)</f>
        <v>0</v>
      </c>
      <c r="AX21" s="100">
        <f>IFERROR(IF($A21=FALSE,0,INDEX('RPS by State'!BI:BI,MATCH($C21,'RPS by State'!$B:$B,0))),0)</f>
        <v>0</v>
      </c>
      <c r="AY21" s="100">
        <f>IFERROR(IF($A21=FALSE,0,INDEX('RPS by State'!BJ:BJ,MATCH($C21,'RPS by State'!$B:$B,0))),0)</f>
        <v>0</v>
      </c>
      <c r="AZ21" s="100">
        <f>IFERROR(IF($A21=FALSE,0,INDEX('RPS by State'!BK:BK,MATCH($C21,'RPS by State'!$B:$B,0))),0)</f>
        <v>0</v>
      </c>
      <c r="BA21" s="100">
        <f>IFERROR(IF($A21=FALSE,0,INDEX('RPS by State'!BL:BL,MATCH($C21,'RPS by State'!$B:$B,0))),0)</f>
        <v>0</v>
      </c>
      <c r="BB21" s="100">
        <f>IFERROR(IF($A21=FALSE,0,INDEX('RPS by State'!BM:BM,MATCH($C21,'RPS by State'!$B:$B,0))),0)</f>
        <v>0</v>
      </c>
      <c r="BC21" s="100">
        <f>IFERROR(IF($A21=FALSE,0,INDEX('RPS by State'!BN:BN,MATCH($C21,'RPS by State'!$B:$B,0))),0)</f>
        <v>0</v>
      </c>
      <c r="BD21" s="100">
        <f>IFERROR(IF($A21=FALSE,0,INDEX('RPS by State'!BO:BO,MATCH($C21,'RPS by State'!$B:$B,0))),0)</f>
        <v>0</v>
      </c>
      <c r="BE21" s="100">
        <f>IFERROR(IF($A21=FALSE,0,INDEX('RPS by State'!BP:BP,MATCH($C21,'RPS by State'!$B:$B,0))),0)</f>
        <v>0</v>
      </c>
      <c r="BF21" s="100">
        <f>IFERROR(IF($A21=FALSE,0,INDEX('RPS by State'!BQ:BQ,MATCH($C21,'RPS by State'!$B:$B,0))),0)</f>
        <v>0</v>
      </c>
      <c r="BG21" s="100">
        <f>IFERROR(IF($A21=FALSE,0,INDEX('RPS by State'!BR:BR,MATCH($C21,'RPS by State'!$B:$B,0))),0)</f>
        <v>0</v>
      </c>
      <c r="BH21" s="100">
        <f>IFERROR(IF($A21=FALSE,0,INDEX('RPS by State'!BS:BS,MATCH($C21,'RPS by State'!$B:$B,0))),0)</f>
        <v>0</v>
      </c>
      <c r="BI21" s="100">
        <f>IFERROR(IF($A21=FALSE,0,INDEX('RPS by State'!BT:BT,MATCH($C21,'RPS by State'!$B:$B,0))),0)</f>
        <v>0</v>
      </c>
      <c r="BJ21" s="100">
        <f>IFERROR(IF($A21=FALSE,0,INDEX('RPS by State'!BU:BU,MATCH($C21,'RPS by State'!$B:$B,0))),0)</f>
        <v>0</v>
      </c>
      <c r="BK21" s="100">
        <f>IFERROR(IF($A21=FALSE,0,INDEX('RPS by State'!BV:BV,MATCH($C21,'RPS by State'!$B:$B,0))),0)</f>
        <v>0</v>
      </c>
      <c r="BL21" s="100">
        <f>IFERROR(IF($A21=FALSE,0,INDEX('RPS by State'!BW:BW,MATCH($C21,'RPS by State'!$B:$B,0))),0)</f>
        <v>0</v>
      </c>
      <c r="BM21" s="100">
        <f>IFERROR(IF($A21=FALSE,0,INDEX('RPS by State'!BX:BX,MATCH($C21,'RPS by State'!$B:$B,0))),0)</f>
        <v>0</v>
      </c>
      <c r="BN21" s="100">
        <f>IFERROR(IF($A21=FALSE,0,INDEX('RPS by State'!BY:BY,MATCH($C21,'RPS by State'!$B:$B,0))),0)</f>
        <v>0</v>
      </c>
      <c r="BO21" s="100">
        <f>IFERROR(IF($A21=FALSE,0,INDEX('RPS by State'!BZ:BZ,MATCH($C21,'RPS by State'!$B:$B,0))),0)</f>
        <v>0</v>
      </c>
      <c r="BP21" s="100">
        <f>IFERROR(IF($A21=FALSE,0,INDEX('RPS by State'!CA:CA,MATCH($C21,'RPS by State'!$B:$B,0))),0)</f>
        <v>0</v>
      </c>
      <c r="BQ21" s="100">
        <f>IFERROR(IF($A21=FALSE,0,INDEX('RPS by State'!CB:CB,MATCH($C21,'RPS by State'!$B:$B,0))),0)</f>
        <v>0</v>
      </c>
      <c r="BR21" s="100">
        <f>IFERROR(IF($A21=FALSE,0,INDEX('RPS by State'!CC:CC,MATCH($C21,'RPS by State'!$B:$B,0))),0)</f>
        <v>0</v>
      </c>
      <c r="BS21" s="100">
        <f>IFERROR(IF($A21=FALSE,0,INDEX('RPS by State'!CD:CD,MATCH($C21,'RPS by State'!$B:$B,0))),0)</f>
        <v>0</v>
      </c>
      <c r="BT21" s="100">
        <f>IFERROR(IF($A21=FALSE,0,INDEX('RPS by State'!CE:CE,MATCH($C21,'RPS by State'!$B:$B,0))),0)</f>
        <v>0</v>
      </c>
      <c r="BU21" s="100">
        <f>IFERROR(IF($A21=FALSE,0,INDEX('RPS by State'!CF:CF,MATCH($C21,'RPS by State'!$B:$B,0))),0)</f>
        <v>0</v>
      </c>
      <c r="BV21" s="100">
        <f>IFERROR(IF($A21=FALSE,0,INDEX('RPS by State'!CG:CG,MATCH($C21,'RPS by State'!$B:$B,0))),0)</f>
        <v>0</v>
      </c>
      <c r="BW21" s="100">
        <f>IFERROR(IF($A21=FALSE,0,INDEX('RPS by State'!CH:CH,MATCH($C21,'RPS by State'!$B:$B,0))),0)</f>
        <v>0</v>
      </c>
      <c r="BX21" s="100">
        <f>IFERROR(IF($A21=FALSE,0,INDEX('RPS by State'!CI:CI,MATCH($C21,'RPS by State'!$B:$B,0))),0)</f>
        <v>0</v>
      </c>
      <c r="BY21" s="100">
        <f>IFERROR(IF($A21=FALSE,0,INDEX('RPS by State'!CJ:CJ,MATCH($C21,'RPS by State'!$B:$B,0))),0)</f>
        <v>0</v>
      </c>
      <c r="BZ21" s="100">
        <f>IFERROR(IF($A21=FALSE,0,INDEX('RPS by State'!CK:CK,MATCH($C21,'RPS by State'!$B:$B,0))),0)</f>
        <v>0</v>
      </c>
      <c r="CA21" s="100">
        <f>IFERROR(IF($A21=FALSE,0,INDEX('RPS by State'!CL:CL,MATCH($C21,'RPS by State'!$B:$B,0))),0)</f>
        <v>0</v>
      </c>
      <c r="CB21" s="100">
        <f>IFERROR(IF($A21=FALSE,0,INDEX('RPS by State'!CM:CM,MATCH($C21,'RPS by State'!$B:$B,0))),0)</f>
        <v>0</v>
      </c>
      <c r="CC21" s="100">
        <f>IFERROR(IF($A21=FALSE,0,INDEX('RPS by State'!CN:CN,MATCH($C21,'RPS by State'!$B:$B,0))),0)</f>
        <v>0</v>
      </c>
      <c r="CD21" s="100">
        <f>IFERROR(IF($A21=FALSE,0,INDEX('RPS by State'!CO:CO,MATCH($C21,'RPS by State'!$B:$B,0))),0)</f>
        <v>0</v>
      </c>
      <c r="CE21" s="100">
        <f>IFERROR(IF($A21=FALSE,0,INDEX('RPS by State'!CP:CP,MATCH($C21,'RPS by State'!$B:$B,0))),0)</f>
        <v>0</v>
      </c>
    </row>
    <row r="22" spans="1:83" x14ac:dyDescent="0.25">
      <c r="A22" t="b">
        <f>IFERROR(INDEX('RPS by State'!G:G,MATCH(B22,'RPS by State'!A:A,0)),0)</f>
        <v>1</v>
      </c>
      <c r="B22" s="120" t="s">
        <v>52</v>
      </c>
      <c r="C22" s="120" t="str">
        <f>IFERROR(INDEX(About!L:L,MATCH(B22,About!K:K,0)),0)</f>
        <v>MD</v>
      </c>
      <c r="D22" s="100">
        <f>IFERROR(IF($A22=FALSE,0,INDEX('RPS by State'!O:O,MATCH($C22,'RPS by State'!$B:$B,0))),0)</f>
        <v>0.32450000000000001</v>
      </c>
      <c r="E22" s="100">
        <f>IFERROR(IF($A22=FALSE,0,INDEX('RPS by State'!P:P,MATCH($C22,'RPS by State'!$B:$B,0))),0)</f>
        <v>0.34400000000000003</v>
      </c>
      <c r="F22" s="100">
        <f>IFERROR(IF($A22=FALSE,0,INDEX('RPS by State'!Q:Q,MATCH($C22,'RPS by State'!$B:$B,0))),0)</f>
        <v>0.36350000000000005</v>
      </c>
      <c r="G22" s="100">
        <f>IFERROR(IF($A22=FALSE,0,INDEX('RPS by State'!R:R,MATCH($C22,'RPS by State'!$B:$B,0))),0)</f>
        <v>0.38300000000000006</v>
      </c>
      <c r="H22" s="100">
        <f>IFERROR(IF($A22=FALSE,0,INDEX('RPS by State'!S:S,MATCH($C22,'RPS by State'!$B:$B,0))),0)</f>
        <v>0.40250000000000008</v>
      </c>
      <c r="I22" s="100">
        <f>IFERROR(IF($A22=FALSE,0,INDEX('RPS by State'!T:T,MATCH($C22,'RPS by State'!$B:$B,0))),0)</f>
        <v>0.4220000000000001</v>
      </c>
      <c r="J22" s="100">
        <f>IFERROR(IF($A22=FALSE,0,INDEX('RPS by State'!U:U,MATCH($C22,'RPS by State'!$B:$B,0))),0)</f>
        <v>0.44150000000000011</v>
      </c>
      <c r="K22" s="100">
        <f>IFERROR(IF($A22=FALSE,0,INDEX('RPS by State'!V:V,MATCH($C22,'RPS by State'!$B:$B,0))),0)</f>
        <v>0.46100000000000013</v>
      </c>
      <c r="L22" s="100">
        <f>IFERROR(IF($A22=FALSE,0,INDEX('RPS by State'!W:W,MATCH($C22,'RPS by State'!$B:$B,0))),0)</f>
        <v>0.48050000000000015</v>
      </c>
      <c r="M22" s="100">
        <f>IFERROR(IF($A22=FALSE,0,INDEX('RPS by State'!X:X,MATCH($C22,'RPS by State'!$B:$B,0))),0)</f>
        <v>0.5</v>
      </c>
      <c r="N22" s="100">
        <f>IFERROR(IF($A22=FALSE,0,INDEX('RPS by State'!Y:Y,MATCH($C22,'RPS by State'!$B:$B,0))),0)</f>
        <v>0.5</v>
      </c>
      <c r="O22" s="100">
        <f>IFERROR(IF($A22=FALSE,0,INDEX('RPS by State'!Z:Z,MATCH($C22,'RPS by State'!$B:$B,0))),0)</f>
        <v>0.5</v>
      </c>
      <c r="P22" s="100">
        <f>IFERROR(IF($A22=FALSE,0,INDEX('RPS by State'!AA:AA,MATCH($C22,'RPS by State'!$B:$B,0))),0)</f>
        <v>0.5</v>
      </c>
      <c r="Q22" s="100">
        <f>IFERROR(IF($A22=FALSE,0,INDEX('RPS by State'!AB:AB,MATCH($C22,'RPS by State'!$B:$B,0))),0)</f>
        <v>0.5</v>
      </c>
      <c r="R22" s="100">
        <f>IFERROR(IF($A22=FALSE,0,INDEX('RPS by State'!AC:AC,MATCH($C22,'RPS by State'!$B:$B,0))),0)</f>
        <v>0.5</v>
      </c>
      <c r="S22" s="100">
        <f>IFERROR(IF($A22=FALSE,0,INDEX('RPS by State'!AD:AD,MATCH($C22,'RPS by State'!$B:$B,0))),0)</f>
        <v>0.5</v>
      </c>
      <c r="T22" s="100">
        <f>IFERROR(IF($A22=FALSE,0,INDEX('RPS by State'!AE:AE,MATCH($C22,'RPS by State'!$B:$B,0))),0)</f>
        <v>0.5</v>
      </c>
      <c r="U22" s="100">
        <f>IFERROR(IF($A22=FALSE,0,INDEX('RPS by State'!AF:AF,MATCH($C22,'RPS by State'!$B:$B,0))),0)</f>
        <v>0.5</v>
      </c>
      <c r="V22" s="100">
        <f>IFERROR(IF($A22=FALSE,0,INDEX('RPS by State'!AG:AG,MATCH($C22,'RPS by State'!$B:$B,0))),0)</f>
        <v>0.5</v>
      </c>
      <c r="W22" s="100">
        <f>IFERROR(IF($A22=FALSE,0,INDEX('RPS by State'!AH:AH,MATCH($C22,'RPS by State'!$B:$B,0))),0)</f>
        <v>0.5</v>
      </c>
      <c r="X22" s="100">
        <f>IFERROR(IF($A22=FALSE,0,INDEX('RPS by State'!AI:AI,MATCH($C22,'RPS by State'!$B:$B,0))),0)</f>
        <v>0.5</v>
      </c>
      <c r="Y22" s="100">
        <f>IFERROR(IF($A22=FALSE,0,INDEX('RPS by State'!AJ:AJ,MATCH($C22,'RPS by State'!$B:$B,0))),0)</f>
        <v>0.5</v>
      </c>
      <c r="Z22" s="100">
        <f>IFERROR(IF($A22=FALSE,0,INDEX('RPS by State'!AK:AK,MATCH($C22,'RPS by State'!$B:$B,0))),0)</f>
        <v>0.5</v>
      </c>
      <c r="AA22" s="100">
        <f>IFERROR(IF($A22=FALSE,0,INDEX('RPS by State'!AL:AL,MATCH($C22,'RPS by State'!$B:$B,0))),0)</f>
        <v>0.5</v>
      </c>
      <c r="AB22" s="100">
        <f>IFERROR(IF($A22=FALSE,0,INDEX('RPS by State'!AM:AM,MATCH($C22,'RPS by State'!$B:$B,0))),0)</f>
        <v>0.5</v>
      </c>
      <c r="AC22" s="100">
        <f>IFERROR(IF($A22=FALSE,0,INDEX('RPS by State'!AN:AN,MATCH($C22,'RPS by State'!$B:$B,0))),0)</f>
        <v>0.5</v>
      </c>
      <c r="AD22" s="100">
        <f>IFERROR(IF($A22=FALSE,0,INDEX('RPS by State'!AO:AO,MATCH($C22,'RPS by State'!$B:$B,0))),0)</f>
        <v>0.5</v>
      </c>
      <c r="AE22" s="100">
        <f>IFERROR(IF($A22=FALSE,0,INDEX('RPS by State'!AP:AP,MATCH($C22,'RPS by State'!$B:$B,0))),0)</f>
        <v>0.5</v>
      </c>
      <c r="AF22" s="100">
        <f>IFERROR(IF($A22=FALSE,0,INDEX('RPS by State'!AQ:AQ,MATCH($C22,'RPS by State'!$B:$B,0))),0)</f>
        <v>0.5</v>
      </c>
      <c r="AG22" s="100">
        <f>IFERROR(IF($A22=FALSE,0,INDEX('RPS by State'!AR:AR,MATCH($C22,'RPS by State'!$B:$B,0))),0)</f>
        <v>0.5</v>
      </c>
      <c r="AH22" s="100">
        <f>IFERROR(IF($A22=FALSE,0,INDEX('RPS by State'!AS:AS,MATCH($C22,'RPS by State'!$B:$B,0))),0)</f>
        <v>0</v>
      </c>
      <c r="AI22" s="100">
        <f>IFERROR(IF($A22=FALSE,0,INDEX('RPS by State'!AT:AT,MATCH($C22,'RPS by State'!$B:$B,0))),0)</f>
        <v>0</v>
      </c>
      <c r="AJ22" s="100">
        <f>IFERROR(IF($A22=FALSE,0,INDEX('RPS by State'!AU:AU,MATCH($C22,'RPS by State'!$B:$B,0))),0)</f>
        <v>0</v>
      </c>
      <c r="AK22" s="100">
        <f>IFERROR(IF($A22=FALSE,0,INDEX('RPS by State'!AV:AV,MATCH($C22,'RPS by State'!$B:$B,0))),0)</f>
        <v>0</v>
      </c>
      <c r="AL22" s="100">
        <f>IFERROR(IF($A22=FALSE,0,INDEX('RPS by State'!AW:AW,MATCH($C22,'RPS by State'!$B:$B,0))),0)</f>
        <v>0</v>
      </c>
      <c r="AM22" s="100">
        <f>IFERROR(IF($A22=FALSE,0,INDEX('RPS by State'!AX:AX,MATCH($C22,'RPS by State'!$B:$B,0))),0)</f>
        <v>0</v>
      </c>
      <c r="AN22" s="100">
        <f>IFERROR(IF($A22=FALSE,0,INDEX('RPS by State'!AY:AY,MATCH($C22,'RPS by State'!$B:$B,0))),0)</f>
        <v>0</v>
      </c>
      <c r="AO22" s="100">
        <f>IFERROR(IF($A22=FALSE,0,INDEX('RPS by State'!AZ:AZ,MATCH($C22,'RPS by State'!$B:$B,0))),0)</f>
        <v>0</v>
      </c>
      <c r="AP22" s="100">
        <f>IFERROR(IF($A22=FALSE,0,INDEX('RPS by State'!BA:BA,MATCH($C22,'RPS by State'!$B:$B,0))),0)</f>
        <v>0</v>
      </c>
      <c r="AQ22" s="100">
        <f>IFERROR(IF($A22=FALSE,0,INDEX('RPS by State'!BB:BB,MATCH($C22,'RPS by State'!$B:$B,0))),0)</f>
        <v>0</v>
      </c>
      <c r="AR22" s="100">
        <f>IFERROR(IF($A22=FALSE,0,INDEX('RPS by State'!BC:BC,MATCH($C22,'RPS by State'!$B:$B,0))),0)</f>
        <v>0</v>
      </c>
      <c r="AS22" s="100">
        <f>IFERROR(IF($A22=FALSE,0,INDEX('RPS by State'!BD:BD,MATCH($C22,'RPS by State'!$B:$B,0))),0)</f>
        <v>0</v>
      </c>
      <c r="AT22" s="100">
        <f>IFERROR(IF($A22=FALSE,0,INDEX('RPS by State'!BE:BE,MATCH($C22,'RPS by State'!$B:$B,0))),0)</f>
        <v>0</v>
      </c>
      <c r="AU22" s="100">
        <f>IFERROR(IF($A22=FALSE,0,INDEX('RPS by State'!BF:BF,MATCH($C22,'RPS by State'!$B:$B,0))),0)</f>
        <v>0</v>
      </c>
      <c r="AV22" s="100">
        <f>IFERROR(IF($A22=FALSE,0,INDEX('RPS by State'!BG:BG,MATCH($C22,'RPS by State'!$B:$B,0))),0)</f>
        <v>0</v>
      </c>
      <c r="AW22" s="100">
        <f>IFERROR(IF($A22=FALSE,0,INDEX('RPS by State'!BH:BH,MATCH($C22,'RPS by State'!$B:$B,0))),0)</f>
        <v>0</v>
      </c>
      <c r="AX22" s="100">
        <f>IFERROR(IF($A22=FALSE,0,INDEX('RPS by State'!BI:BI,MATCH($C22,'RPS by State'!$B:$B,0))),0)</f>
        <v>0</v>
      </c>
      <c r="AY22" s="100">
        <f>IFERROR(IF($A22=FALSE,0,INDEX('RPS by State'!BJ:BJ,MATCH($C22,'RPS by State'!$B:$B,0))),0)</f>
        <v>0</v>
      </c>
      <c r="AZ22" s="100">
        <f>IFERROR(IF($A22=FALSE,0,INDEX('RPS by State'!BK:BK,MATCH($C22,'RPS by State'!$B:$B,0))),0)</f>
        <v>0</v>
      </c>
      <c r="BA22" s="100">
        <f>IFERROR(IF($A22=FALSE,0,INDEX('RPS by State'!BL:BL,MATCH($C22,'RPS by State'!$B:$B,0))),0)</f>
        <v>0</v>
      </c>
      <c r="BB22" s="100">
        <f>IFERROR(IF($A22=FALSE,0,INDEX('RPS by State'!BM:BM,MATCH($C22,'RPS by State'!$B:$B,0))),0)</f>
        <v>0</v>
      </c>
      <c r="BC22" s="100">
        <f>IFERROR(IF($A22=FALSE,0,INDEX('RPS by State'!BN:BN,MATCH($C22,'RPS by State'!$B:$B,0))),0)</f>
        <v>0</v>
      </c>
      <c r="BD22" s="100">
        <f>IFERROR(IF($A22=FALSE,0,INDEX('RPS by State'!BO:BO,MATCH($C22,'RPS by State'!$B:$B,0))),0)</f>
        <v>0</v>
      </c>
      <c r="BE22" s="100">
        <f>IFERROR(IF($A22=FALSE,0,INDEX('RPS by State'!BP:BP,MATCH($C22,'RPS by State'!$B:$B,0))),0)</f>
        <v>0</v>
      </c>
      <c r="BF22" s="100">
        <f>IFERROR(IF($A22=FALSE,0,INDEX('RPS by State'!BQ:BQ,MATCH($C22,'RPS by State'!$B:$B,0))),0)</f>
        <v>0</v>
      </c>
      <c r="BG22" s="100">
        <f>IFERROR(IF($A22=FALSE,0,INDEX('RPS by State'!BR:BR,MATCH($C22,'RPS by State'!$B:$B,0))),0)</f>
        <v>0</v>
      </c>
      <c r="BH22" s="100">
        <f>IFERROR(IF($A22=FALSE,0,INDEX('RPS by State'!BS:BS,MATCH($C22,'RPS by State'!$B:$B,0))),0)</f>
        <v>0</v>
      </c>
      <c r="BI22" s="100">
        <f>IFERROR(IF($A22=FALSE,0,INDEX('RPS by State'!BT:BT,MATCH($C22,'RPS by State'!$B:$B,0))),0)</f>
        <v>0</v>
      </c>
      <c r="BJ22" s="100">
        <f>IFERROR(IF($A22=FALSE,0,INDEX('RPS by State'!BU:BU,MATCH($C22,'RPS by State'!$B:$B,0))),0)</f>
        <v>0</v>
      </c>
      <c r="BK22" s="100">
        <f>IFERROR(IF($A22=FALSE,0,INDEX('RPS by State'!BV:BV,MATCH($C22,'RPS by State'!$B:$B,0))),0)</f>
        <v>0</v>
      </c>
      <c r="BL22" s="100">
        <f>IFERROR(IF($A22=FALSE,0,INDEX('RPS by State'!BW:BW,MATCH($C22,'RPS by State'!$B:$B,0))),0)</f>
        <v>0</v>
      </c>
      <c r="BM22" s="100">
        <f>IFERROR(IF($A22=FALSE,0,INDEX('RPS by State'!BX:BX,MATCH($C22,'RPS by State'!$B:$B,0))),0)</f>
        <v>0</v>
      </c>
      <c r="BN22" s="100">
        <f>IFERROR(IF($A22=FALSE,0,INDEX('RPS by State'!BY:BY,MATCH($C22,'RPS by State'!$B:$B,0))),0)</f>
        <v>0</v>
      </c>
      <c r="BO22" s="100">
        <f>IFERROR(IF($A22=FALSE,0,INDEX('RPS by State'!BZ:BZ,MATCH($C22,'RPS by State'!$B:$B,0))),0)</f>
        <v>0</v>
      </c>
      <c r="BP22" s="100">
        <f>IFERROR(IF($A22=FALSE,0,INDEX('RPS by State'!CA:CA,MATCH($C22,'RPS by State'!$B:$B,0))),0)</f>
        <v>0</v>
      </c>
      <c r="BQ22" s="100">
        <f>IFERROR(IF($A22=FALSE,0,INDEX('RPS by State'!CB:CB,MATCH($C22,'RPS by State'!$B:$B,0))),0)</f>
        <v>0</v>
      </c>
      <c r="BR22" s="100">
        <f>IFERROR(IF($A22=FALSE,0,INDEX('RPS by State'!CC:CC,MATCH($C22,'RPS by State'!$B:$B,0))),0)</f>
        <v>0</v>
      </c>
      <c r="BS22" s="100">
        <f>IFERROR(IF($A22=FALSE,0,INDEX('RPS by State'!CD:CD,MATCH($C22,'RPS by State'!$B:$B,0))),0)</f>
        <v>0</v>
      </c>
      <c r="BT22" s="100">
        <f>IFERROR(IF($A22=FALSE,0,INDEX('RPS by State'!CE:CE,MATCH($C22,'RPS by State'!$B:$B,0))),0)</f>
        <v>0</v>
      </c>
      <c r="BU22" s="100">
        <f>IFERROR(IF($A22=FALSE,0,INDEX('RPS by State'!CF:CF,MATCH($C22,'RPS by State'!$B:$B,0))),0)</f>
        <v>0</v>
      </c>
      <c r="BV22" s="100">
        <f>IFERROR(IF($A22=FALSE,0,INDEX('RPS by State'!CG:CG,MATCH($C22,'RPS by State'!$B:$B,0))),0)</f>
        <v>0</v>
      </c>
      <c r="BW22" s="100">
        <f>IFERROR(IF($A22=FALSE,0,INDEX('RPS by State'!CH:CH,MATCH($C22,'RPS by State'!$B:$B,0))),0)</f>
        <v>0</v>
      </c>
      <c r="BX22" s="100">
        <f>IFERROR(IF($A22=FALSE,0,INDEX('RPS by State'!CI:CI,MATCH($C22,'RPS by State'!$B:$B,0))),0)</f>
        <v>0</v>
      </c>
      <c r="BY22" s="100">
        <f>IFERROR(IF($A22=FALSE,0,INDEX('RPS by State'!CJ:CJ,MATCH($C22,'RPS by State'!$B:$B,0))),0)</f>
        <v>0</v>
      </c>
      <c r="BZ22" s="100">
        <f>IFERROR(IF($A22=FALSE,0,INDEX('RPS by State'!CK:CK,MATCH($C22,'RPS by State'!$B:$B,0))),0)</f>
        <v>0</v>
      </c>
      <c r="CA22" s="100">
        <f>IFERROR(IF($A22=FALSE,0,INDEX('RPS by State'!CL:CL,MATCH($C22,'RPS by State'!$B:$B,0))),0)</f>
        <v>0</v>
      </c>
      <c r="CB22" s="100">
        <f>IFERROR(IF($A22=FALSE,0,INDEX('RPS by State'!CM:CM,MATCH($C22,'RPS by State'!$B:$B,0))),0)</f>
        <v>0</v>
      </c>
      <c r="CC22" s="100">
        <f>IFERROR(IF($A22=FALSE,0,INDEX('RPS by State'!CN:CN,MATCH($C22,'RPS by State'!$B:$B,0))),0)</f>
        <v>0</v>
      </c>
      <c r="CD22" s="100">
        <f>IFERROR(IF($A22=FALSE,0,INDEX('RPS by State'!CO:CO,MATCH($C22,'RPS by State'!$B:$B,0))),0)</f>
        <v>0</v>
      </c>
      <c r="CE22" s="100">
        <f>IFERROR(IF($A22=FALSE,0,INDEX('RPS by State'!CP:CP,MATCH($C22,'RPS by State'!$B:$B,0))),0)</f>
        <v>0</v>
      </c>
    </row>
    <row r="23" spans="1:83" x14ac:dyDescent="0.25">
      <c r="A23" t="b">
        <f>IFERROR(INDEX('RPS by State'!G:G,MATCH(B23,'RPS by State'!A:A,0)),0)</f>
        <v>1</v>
      </c>
      <c r="B23" s="120" t="s">
        <v>55</v>
      </c>
      <c r="C23" s="120" t="str">
        <f>IFERROR(INDEX(About!L:L,MATCH(B23,About!K:K,0)),0)</f>
        <v>MA</v>
      </c>
      <c r="D23" s="100">
        <f>IFERROR(IF($A23=FALSE,0,INDEX('RPS by State'!O:O,MATCH($C23,'RPS by State'!$B:$B,0))),0)</f>
        <v>0.18</v>
      </c>
      <c r="E23" s="100">
        <f>IFERROR(IF($A23=FALSE,0,INDEX('RPS by State'!P:P,MATCH($C23,'RPS by State'!$B:$B,0))),0)</f>
        <v>0.2</v>
      </c>
      <c r="F23" s="100">
        <f>IFERROR(IF($A23=FALSE,0,INDEX('RPS by State'!Q:Q,MATCH($C23,'RPS by State'!$B:$B,0))),0)</f>
        <v>0.22</v>
      </c>
      <c r="G23" s="100">
        <f>IFERROR(IF($A23=FALSE,0,INDEX('RPS by State'!R:R,MATCH($C23,'RPS by State'!$B:$B,0))),0)</f>
        <v>0.24</v>
      </c>
      <c r="H23" s="100">
        <f>IFERROR(IF($A23=FALSE,0,INDEX('RPS by State'!S:S,MATCH($C23,'RPS by State'!$B:$B,0))),0)</f>
        <v>0.27</v>
      </c>
      <c r="I23" s="100">
        <f>IFERROR(IF($A23=FALSE,0,INDEX('RPS by State'!T:T,MATCH($C23,'RPS by State'!$B:$B,0))),0)</f>
        <v>0.3</v>
      </c>
      <c r="J23" s="100">
        <f>IFERROR(IF($A23=FALSE,0,INDEX('RPS by State'!U:U,MATCH($C23,'RPS by State'!$B:$B,0))),0)</f>
        <v>0.33</v>
      </c>
      <c r="K23" s="100">
        <f>IFERROR(IF($A23=FALSE,0,INDEX('RPS by State'!V:V,MATCH($C23,'RPS by State'!$B:$B,0))),0)</f>
        <v>0.36</v>
      </c>
      <c r="L23" s="100">
        <f>IFERROR(IF($A23=FALSE,0,INDEX('RPS by State'!W:W,MATCH($C23,'RPS by State'!$B:$B,0))),0)</f>
        <v>0.39</v>
      </c>
      <c r="M23" s="100">
        <f>IFERROR(IF($A23=FALSE,0,INDEX('RPS by State'!X:X,MATCH($C23,'RPS by State'!$B:$B,0))),0)</f>
        <v>0.4</v>
      </c>
      <c r="N23" s="100">
        <f>IFERROR(IF($A23=FALSE,0,INDEX('RPS by State'!Y:Y,MATCH($C23,'RPS by State'!$B:$B,0))),0)</f>
        <v>0.41000000000000003</v>
      </c>
      <c r="O23" s="100">
        <f>IFERROR(IF($A23=FALSE,0,INDEX('RPS by State'!Z:Z,MATCH($C23,'RPS by State'!$B:$B,0))),0)</f>
        <v>0.42000000000000004</v>
      </c>
      <c r="P23" s="100">
        <f>IFERROR(IF($A23=FALSE,0,INDEX('RPS by State'!AA:AA,MATCH($C23,'RPS by State'!$B:$B,0))),0)</f>
        <v>0.43000000000000005</v>
      </c>
      <c r="Q23" s="100">
        <f>IFERROR(IF($A23=FALSE,0,INDEX('RPS by State'!AB:AB,MATCH($C23,'RPS by State'!$B:$B,0))),0)</f>
        <v>0.44000000000000006</v>
      </c>
      <c r="R23" s="100">
        <f>IFERROR(IF($A23=FALSE,0,INDEX('RPS by State'!AC:AC,MATCH($C23,'RPS by State'!$B:$B,0))),0)</f>
        <v>0.45000000000000007</v>
      </c>
      <c r="S23" s="100">
        <f>IFERROR(IF($A23=FALSE,0,INDEX('RPS by State'!AD:AD,MATCH($C23,'RPS by State'!$B:$B,0))),0)</f>
        <v>0.46000000000000008</v>
      </c>
      <c r="T23" s="100">
        <f>IFERROR(IF($A23=FALSE,0,INDEX('RPS by State'!AE:AE,MATCH($C23,'RPS by State'!$B:$B,0))),0)</f>
        <v>0.47000000000000008</v>
      </c>
      <c r="U23" s="100">
        <f>IFERROR(IF($A23=FALSE,0,INDEX('RPS by State'!AF:AF,MATCH($C23,'RPS by State'!$B:$B,0))),0)</f>
        <v>0.48000000000000009</v>
      </c>
      <c r="V23" s="100">
        <f>IFERROR(IF($A23=FALSE,0,INDEX('RPS by State'!AG:AG,MATCH($C23,'RPS by State'!$B:$B,0))),0)</f>
        <v>0.4900000000000001</v>
      </c>
      <c r="W23" s="100">
        <f>IFERROR(IF($A23=FALSE,0,INDEX('RPS by State'!AH:AH,MATCH($C23,'RPS by State'!$B:$B,0))),0)</f>
        <v>0.50000000000000011</v>
      </c>
      <c r="X23" s="100">
        <f>IFERROR(IF($A23=FALSE,0,INDEX('RPS by State'!AI:AI,MATCH($C23,'RPS by State'!$B:$B,0))),0)</f>
        <v>0.51000000000000012</v>
      </c>
      <c r="Y23" s="100">
        <f>IFERROR(IF($A23=FALSE,0,INDEX('RPS by State'!AJ:AJ,MATCH($C23,'RPS by State'!$B:$B,0))),0)</f>
        <v>0.52000000000000013</v>
      </c>
      <c r="Z23" s="100">
        <f>IFERROR(IF($A23=FALSE,0,INDEX('RPS by State'!AK:AK,MATCH($C23,'RPS by State'!$B:$B,0))),0)</f>
        <v>0.53000000000000014</v>
      </c>
      <c r="AA23" s="100">
        <f>IFERROR(IF($A23=FALSE,0,INDEX('RPS by State'!AL:AL,MATCH($C23,'RPS by State'!$B:$B,0))),0)</f>
        <v>0.54000000000000015</v>
      </c>
      <c r="AB23" s="100">
        <f>IFERROR(IF($A23=FALSE,0,INDEX('RPS by State'!AM:AM,MATCH($C23,'RPS by State'!$B:$B,0))),0)</f>
        <v>0.55000000000000016</v>
      </c>
      <c r="AC23" s="100">
        <f>IFERROR(IF($A23=FALSE,0,INDEX('RPS by State'!AN:AN,MATCH($C23,'RPS by State'!$B:$B,0))),0)</f>
        <v>0.56000000000000016</v>
      </c>
      <c r="AD23" s="100">
        <f>IFERROR(IF($A23=FALSE,0,INDEX('RPS by State'!AO:AO,MATCH($C23,'RPS by State'!$B:$B,0))),0)</f>
        <v>0.57000000000000017</v>
      </c>
      <c r="AE23" s="100">
        <f>IFERROR(IF($A23=FALSE,0,INDEX('RPS by State'!AP:AP,MATCH($C23,'RPS by State'!$B:$B,0))),0)</f>
        <v>0.58000000000000018</v>
      </c>
      <c r="AF23" s="100">
        <f>IFERROR(IF($A23=FALSE,0,INDEX('RPS by State'!AQ:AQ,MATCH($C23,'RPS by State'!$B:$B,0))),0)</f>
        <v>0.59000000000000019</v>
      </c>
      <c r="AG23" s="100">
        <f>IFERROR(IF($A23=FALSE,0,INDEX('RPS by State'!AR:AR,MATCH($C23,'RPS by State'!$B:$B,0))),0)</f>
        <v>0.6000000000000002</v>
      </c>
      <c r="AH23" s="100">
        <f>IFERROR(IF($A23=FALSE,0,INDEX('RPS by State'!AS:AS,MATCH($C23,'RPS by State'!$B:$B,0))),0)</f>
        <v>0</v>
      </c>
      <c r="AI23" s="100">
        <f>IFERROR(IF($A23=FALSE,0,INDEX('RPS by State'!AT:AT,MATCH($C23,'RPS by State'!$B:$B,0))),0)</f>
        <v>0</v>
      </c>
      <c r="AJ23" s="100">
        <f>IFERROR(IF($A23=FALSE,0,INDEX('RPS by State'!AU:AU,MATCH($C23,'RPS by State'!$B:$B,0))),0)</f>
        <v>0</v>
      </c>
      <c r="AK23" s="100">
        <f>IFERROR(IF($A23=FALSE,0,INDEX('RPS by State'!AV:AV,MATCH($C23,'RPS by State'!$B:$B,0))),0)</f>
        <v>0</v>
      </c>
      <c r="AL23" s="100">
        <f>IFERROR(IF($A23=FALSE,0,INDEX('RPS by State'!AW:AW,MATCH($C23,'RPS by State'!$B:$B,0))),0)</f>
        <v>0</v>
      </c>
      <c r="AM23" s="100">
        <f>IFERROR(IF($A23=FALSE,0,INDEX('RPS by State'!AX:AX,MATCH($C23,'RPS by State'!$B:$B,0))),0)</f>
        <v>0</v>
      </c>
      <c r="AN23" s="100">
        <f>IFERROR(IF($A23=FALSE,0,INDEX('RPS by State'!AY:AY,MATCH($C23,'RPS by State'!$B:$B,0))),0)</f>
        <v>0</v>
      </c>
      <c r="AO23" s="100">
        <f>IFERROR(IF($A23=FALSE,0,INDEX('RPS by State'!AZ:AZ,MATCH($C23,'RPS by State'!$B:$B,0))),0)</f>
        <v>0</v>
      </c>
      <c r="AP23" s="100">
        <f>IFERROR(IF($A23=FALSE,0,INDEX('RPS by State'!BA:BA,MATCH($C23,'RPS by State'!$B:$B,0))),0)</f>
        <v>0</v>
      </c>
      <c r="AQ23" s="100">
        <f>IFERROR(IF($A23=FALSE,0,INDEX('RPS by State'!BB:BB,MATCH($C23,'RPS by State'!$B:$B,0))),0)</f>
        <v>0</v>
      </c>
      <c r="AR23" s="100">
        <f>IFERROR(IF($A23=FALSE,0,INDEX('RPS by State'!BC:BC,MATCH($C23,'RPS by State'!$B:$B,0))),0)</f>
        <v>0</v>
      </c>
      <c r="AS23" s="100">
        <f>IFERROR(IF($A23=FALSE,0,INDEX('RPS by State'!BD:BD,MATCH($C23,'RPS by State'!$B:$B,0))),0)</f>
        <v>0</v>
      </c>
      <c r="AT23" s="100">
        <f>IFERROR(IF($A23=FALSE,0,INDEX('RPS by State'!BE:BE,MATCH($C23,'RPS by State'!$B:$B,0))),0)</f>
        <v>0</v>
      </c>
      <c r="AU23" s="100">
        <f>IFERROR(IF($A23=FALSE,0,INDEX('RPS by State'!BF:BF,MATCH($C23,'RPS by State'!$B:$B,0))),0)</f>
        <v>0</v>
      </c>
      <c r="AV23" s="100">
        <f>IFERROR(IF($A23=FALSE,0,INDEX('RPS by State'!BG:BG,MATCH($C23,'RPS by State'!$B:$B,0))),0)</f>
        <v>0</v>
      </c>
      <c r="AW23" s="100">
        <f>IFERROR(IF($A23=FALSE,0,INDEX('RPS by State'!BH:BH,MATCH($C23,'RPS by State'!$B:$B,0))),0)</f>
        <v>0</v>
      </c>
      <c r="AX23" s="100">
        <f>IFERROR(IF($A23=FALSE,0,INDEX('RPS by State'!BI:BI,MATCH($C23,'RPS by State'!$B:$B,0))),0)</f>
        <v>0</v>
      </c>
      <c r="AY23" s="100">
        <f>IFERROR(IF($A23=FALSE,0,INDEX('RPS by State'!BJ:BJ,MATCH($C23,'RPS by State'!$B:$B,0))),0)</f>
        <v>0</v>
      </c>
      <c r="AZ23" s="100">
        <f>IFERROR(IF($A23=FALSE,0,INDEX('RPS by State'!BK:BK,MATCH($C23,'RPS by State'!$B:$B,0))),0)</f>
        <v>0</v>
      </c>
      <c r="BA23" s="100">
        <f>IFERROR(IF($A23=FALSE,0,INDEX('RPS by State'!BL:BL,MATCH($C23,'RPS by State'!$B:$B,0))),0)</f>
        <v>0</v>
      </c>
      <c r="BB23" s="100">
        <f>IFERROR(IF($A23=FALSE,0,INDEX('RPS by State'!BM:BM,MATCH($C23,'RPS by State'!$B:$B,0))),0)</f>
        <v>0</v>
      </c>
      <c r="BC23" s="100">
        <f>IFERROR(IF($A23=FALSE,0,INDEX('RPS by State'!BN:BN,MATCH($C23,'RPS by State'!$B:$B,0))),0)</f>
        <v>0</v>
      </c>
      <c r="BD23" s="100">
        <f>IFERROR(IF($A23=FALSE,0,INDEX('RPS by State'!BO:BO,MATCH($C23,'RPS by State'!$B:$B,0))),0)</f>
        <v>0</v>
      </c>
      <c r="BE23" s="100">
        <f>IFERROR(IF($A23=FALSE,0,INDEX('RPS by State'!BP:BP,MATCH($C23,'RPS by State'!$B:$B,0))),0)</f>
        <v>0</v>
      </c>
      <c r="BF23" s="100">
        <f>IFERROR(IF($A23=FALSE,0,INDEX('RPS by State'!BQ:BQ,MATCH($C23,'RPS by State'!$B:$B,0))),0)</f>
        <v>0</v>
      </c>
      <c r="BG23" s="100">
        <f>IFERROR(IF($A23=FALSE,0,INDEX('RPS by State'!BR:BR,MATCH($C23,'RPS by State'!$B:$B,0))),0)</f>
        <v>0</v>
      </c>
      <c r="BH23" s="100">
        <f>IFERROR(IF($A23=FALSE,0,INDEX('RPS by State'!BS:BS,MATCH($C23,'RPS by State'!$B:$B,0))),0)</f>
        <v>0</v>
      </c>
      <c r="BI23" s="100">
        <f>IFERROR(IF($A23=FALSE,0,INDEX('RPS by State'!BT:BT,MATCH($C23,'RPS by State'!$B:$B,0))),0)</f>
        <v>0</v>
      </c>
      <c r="BJ23" s="100">
        <f>IFERROR(IF($A23=FALSE,0,INDEX('RPS by State'!BU:BU,MATCH($C23,'RPS by State'!$B:$B,0))),0)</f>
        <v>0</v>
      </c>
      <c r="BK23" s="100">
        <f>IFERROR(IF($A23=FALSE,0,INDEX('RPS by State'!BV:BV,MATCH($C23,'RPS by State'!$B:$B,0))),0)</f>
        <v>0</v>
      </c>
      <c r="BL23" s="100">
        <f>IFERROR(IF($A23=FALSE,0,INDEX('RPS by State'!BW:BW,MATCH($C23,'RPS by State'!$B:$B,0))),0)</f>
        <v>0</v>
      </c>
      <c r="BM23" s="100">
        <f>IFERROR(IF($A23=FALSE,0,INDEX('RPS by State'!BX:BX,MATCH($C23,'RPS by State'!$B:$B,0))),0)</f>
        <v>0</v>
      </c>
      <c r="BN23" s="100">
        <f>IFERROR(IF($A23=FALSE,0,INDEX('RPS by State'!BY:BY,MATCH($C23,'RPS by State'!$B:$B,0))),0)</f>
        <v>0</v>
      </c>
      <c r="BO23" s="100">
        <f>IFERROR(IF($A23=FALSE,0,INDEX('RPS by State'!BZ:BZ,MATCH($C23,'RPS by State'!$B:$B,0))),0)</f>
        <v>0</v>
      </c>
      <c r="BP23" s="100">
        <f>IFERROR(IF($A23=FALSE,0,INDEX('RPS by State'!CA:CA,MATCH($C23,'RPS by State'!$B:$B,0))),0)</f>
        <v>0</v>
      </c>
      <c r="BQ23" s="100">
        <f>IFERROR(IF($A23=FALSE,0,INDEX('RPS by State'!CB:CB,MATCH($C23,'RPS by State'!$B:$B,0))),0)</f>
        <v>0</v>
      </c>
      <c r="BR23" s="100">
        <f>IFERROR(IF($A23=FALSE,0,INDEX('RPS by State'!CC:CC,MATCH($C23,'RPS by State'!$B:$B,0))),0)</f>
        <v>0</v>
      </c>
      <c r="BS23" s="100">
        <f>IFERROR(IF($A23=FALSE,0,INDEX('RPS by State'!CD:CD,MATCH($C23,'RPS by State'!$B:$B,0))),0)</f>
        <v>0</v>
      </c>
      <c r="BT23" s="100">
        <f>IFERROR(IF($A23=FALSE,0,INDEX('RPS by State'!CE:CE,MATCH($C23,'RPS by State'!$B:$B,0))),0)</f>
        <v>0</v>
      </c>
      <c r="BU23" s="100">
        <f>IFERROR(IF($A23=FALSE,0,INDEX('RPS by State'!CF:CF,MATCH($C23,'RPS by State'!$B:$B,0))),0)</f>
        <v>0</v>
      </c>
      <c r="BV23" s="100">
        <f>IFERROR(IF($A23=FALSE,0,INDEX('RPS by State'!CG:CG,MATCH($C23,'RPS by State'!$B:$B,0))),0)</f>
        <v>0</v>
      </c>
      <c r="BW23" s="100">
        <f>IFERROR(IF($A23=FALSE,0,INDEX('RPS by State'!CH:CH,MATCH($C23,'RPS by State'!$B:$B,0))),0)</f>
        <v>0</v>
      </c>
      <c r="BX23" s="100">
        <f>IFERROR(IF($A23=FALSE,0,INDEX('RPS by State'!CI:CI,MATCH($C23,'RPS by State'!$B:$B,0))),0)</f>
        <v>0</v>
      </c>
      <c r="BY23" s="100">
        <f>IFERROR(IF($A23=FALSE,0,INDEX('RPS by State'!CJ:CJ,MATCH($C23,'RPS by State'!$B:$B,0))),0)</f>
        <v>0</v>
      </c>
      <c r="BZ23" s="100">
        <f>IFERROR(IF($A23=FALSE,0,INDEX('RPS by State'!CK:CK,MATCH($C23,'RPS by State'!$B:$B,0))),0)</f>
        <v>0</v>
      </c>
      <c r="CA23" s="100">
        <f>IFERROR(IF($A23=FALSE,0,INDEX('RPS by State'!CL:CL,MATCH($C23,'RPS by State'!$B:$B,0))),0)</f>
        <v>0</v>
      </c>
      <c r="CB23" s="100">
        <f>IFERROR(IF($A23=FALSE,0,INDEX('RPS by State'!CM:CM,MATCH($C23,'RPS by State'!$B:$B,0))),0)</f>
        <v>0</v>
      </c>
      <c r="CC23" s="100">
        <f>IFERROR(IF($A23=FALSE,0,INDEX('RPS by State'!CN:CN,MATCH($C23,'RPS by State'!$B:$B,0))),0)</f>
        <v>0</v>
      </c>
      <c r="CD23" s="100">
        <f>IFERROR(IF($A23=FALSE,0,INDEX('RPS by State'!CO:CO,MATCH($C23,'RPS by State'!$B:$B,0))),0)</f>
        <v>0</v>
      </c>
      <c r="CE23" s="100">
        <f>IFERROR(IF($A23=FALSE,0,INDEX('RPS by State'!CP:CP,MATCH($C23,'RPS by State'!$B:$B,0))),0)</f>
        <v>0</v>
      </c>
    </row>
    <row r="24" spans="1:83" x14ac:dyDescent="0.25">
      <c r="A24" t="b">
        <f>IFERROR(INDEX('RPS by State'!G:G,MATCH(B24,'RPS by State'!A:A,0)),0)</f>
        <v>1</v>
      </c>
      <c r="B24" s="120" t="s">
        <v>58</v>
      </c>
      <c r="C24" s="120" t="str">
        <f>IFERROR(INDEX(About!L:L,MATCH(B24,About!K:K,0)),0)</f>
        <v>MI</v>
      </c>
      <c r="D24" s="100">
        <f>IFERROR(IF($A24=FALSE,0,INDEX('RPS by State'!O:O,MATCH($C24,'RPS by State'!$B:$B,0))),0)</f>
        <v>0.15</v>
      </c>
      <c r="E24" s="100">
        <f>IFERROR(IF($A24=FALSE,0,INDEX('RPS by State'!P:P,MATCH($C24,'RPS by State'!$B:$B,0))),0)</f>
        <v>0.15</v>
      </c>
      <c r="F24" s="100">
        <f>IFERROR(IF($A24=FALSE,0,INDEX('RPS by State'!Q:Q,MATCH($C24,'RPS by State'!$B:$B,0))),0)</f>
        <v>0.15</v>
      </c>
      <c r="G24" s="100">
        <f>IFERROR(IF($A24=FALSE,0,INDEX('RPS by State'!R:R,MATCH($C24,'RPS by State'!$B:$B,0))),0)</f>
        <v>0.15</v>
      </c>
      <c r="H24" s="100">
        <f>IFERROR(IF($A24=FALSE,0,INDEX('RPS by State'!S:S,MATCH($C24,'RPS by State'!$B:$B,0))),0)</f>
        <v>0.15</v>
      </c>
      <c r="I24" s="100">
        <f>IFERROR(IF($A24=FALSE,0,INDEX('RPS by State'!T:T,MATCH($C24,'RPS by State'!$B:$B,0))),0)</f>
        <v>0.15</v>
      </c>
      <c r="J24" s="100">
        <f>IFERROR(IF($A24=FALSE,0,INDEX('RPS by State'!U:U,MATCH($C24,'RPS by State'!$B:$B,0))),0)</f>
        <v>0.15</v>
      </c>
      <c r="K24" s="100">
        <f>IFERROR(IF($A24=FALSE,0,INDEX('RPS by State'!V:V,MATCH($C24,'RPS by State'!$B:$B,0))),0)</f>
        <v>0.15</v>
      </c>
      <c r="L24" s="100">
        <f>IFERROR(IF($A24=FALSE,0,INDEX('RPS by State'!W:W,MATCH($C24,'RPS by State'!$B:$B,0))),0)</f>
        <v>0.15</v>
      </c>
      <c r="M24" s="100">
        <f>IFERROR(IF($A24=FALSE,0,INDEX('RPS by State'!X:X,MATCH($C24,'RPS by State'!$B:$B,0))),0)</f>
        <v>0.15</v>
      </c>
      <c r="N24" s="100">
        <f>IFERROR(IF($A24=FALSE,0,INDEX('RPS by State'!Y:Y,MATCH($C24,'RPS by State'!$B:$B,0))),0)</f>
        <v>0.15</v>
      </c>
      <c r="O24" s="100">
        <f>IFERROR(IF($A24=FALSE,0,INDEX('RPS by State'!Z:Z,MATCH($C24,'RPS by State'!$B:$B,0))),0)</f>
        <v>0.15</v>
      </c>
      <c r="P24" s="100">
        <f>IFERROR(IF($A24=FALSE,0,INDEX('RPS by State'!AA:AA,MATCH($C24,'RPS by State'!$B:$B,0))),0)</f>
        <v>0.15</v>
      </c>
      <c r="Q24" s="100">
        <f>IFERROR(IF($A24=FALSE,0,INDEX('RPS by State'!AB:AB,MATCH($C24,'RPS by State'!$B:$B,0))),0)</f>
        <v>0.15</v>
      </c>
      <c r="R24" s="100">
        <f>IFERROR(IF($A24=FALSE,0,INDEX('RPS by State'!AC:AC,MATCH($C24,'RPS by State'!$B:$B,0))),0)</f>
        <v>0.15</v>
      </c>
      <c r="S24" s="100">
        <f>IFERROR(IF($A24=FALSE,0,INDEX('RPS by State'!AD:AD,MATCH($C24,'RPS by State'!$B:$B,0))),0)</f>
        <v>0.15</v>
      </c>
      <c r="T24" s="100">
        <f>IFERROR(IF($A24=FALSE,0,INDEX('RPS by State'!AE:AE,MATCH($C24,'RPS by State'!$B:$B,0))),0)</f>
        <v>0.15</v>
      </c>
      <c r="U24" s="100">
        <f>IFERROR(IF($A24=FALSE,0,INDEX('RPS by State'!AF:AF,MATCH($C24,'RPS by State'!$B:$B,0))),0)</f>
        <v>0.15</v>
      </c>
      <c r="V24" s="100">
        <f>IFERROR(IF($A24=FALSE,0,INDEX('RPS by State'!AG:AG,MATCH($C24,'RPS by State'!$B:$B,0))),0)</f>
        <v>0.15</v>
      </c>
      <c r="W24" s="100">
        <f>IFERROR(IF($A24=FALSE,0,INDEX('RPS by State'!AH:AH,MATCH($C24,'RPS by State'!$B:$B,0))),0)</f>
        <v>0.15</v>
      </c>
      <c r="X24" s="100">
        <f>IFERROR(IF($A24=FALSE,0,INDEX('RPS by State'!AI:AI,MATCH($C24,'RPS by State'!$B:$B,0))),0)</f>
        <v>0.15</v>
      </c>
      <c r="Y24" s="100">
        <f>IFERROR(IF($A24=FALSE,0,INDEX('RPS by State'!AJ:AJ,MATCH($C24,'RPS by State'!$B:$B,0))),0)</f>
        <v>0.15</v>
      </c>
      <c r="Z24" s="100">
        <f>IFERROR(IF($A24=FALSE,0,INDEX('RPS by State'!AK:AK,MATCH($C24,'RPS by State'!$B:$B,0))),0)</f>
        <v>0.15</v>
      </c>
      <c r="AA24" s="100">
        <f>IFERROR(IF($A24=FALSE,0,INDEX('RPS by State'!AL:AL,MATCH($C24,'RPS by State'!$B:$B,0))),0)</f>
        <v>0.15</v>
      </c>
      <c r="AB24" s="100">
        <f>IFERROR(IF($A24=FALSE,0,INDEX('RPS by State'!AM:AM,MATCH($C24,'RPS by State'!$B:$B,0))),0)</f>
        <v>0.15</v>
      </c>
      <c r="AC24" s="100">
        <f>IFERROR(IF($A24=FALSE,0,INDEX('RPS by State'!AN:AN,MATCH($C24,'RPS by State'!$B:$B,0))),0)</f>
        <v>0.15</v>
      </c>
      <c r="AD24" s="100">
        <f>IFERROR(IF($A24=FALSE,0,INDEX('RPS by State'!AO:AO,MATCH($C24,'RPS by State'!$B:$B,0))),0)</f>
        <v>0.15</v>
      </c>
      <c r="AE24" s="100">
        <f>IFERROR(IF($A24=FALSE,0,INDEX('RPS by State'!AP:AP,MATCH($C24,'RPS by State'!$B:$B,0))),0)</f>
        <v>0.15</v>
      </c>
      <c r="AF24" s="100">
        <f>IFERROR(IF($A24=FALSE,0,INDEX('RPS by State'!AQ:AQ,MATCH($C24,'RPS by State'!$B:$B,0))),0)</f>
        <v>0.15</v>
      </c>
      <c r="AG24" s="100">
        <f>IFERROR(IF($A24=FALSE,0,INDEX('RPS by State'!AR:AR,MATCH($C24,'RPS by State'!$B:$B,0))),0)</f>
        <v>0.15</v>
      </c>
      <c r="AH24" s="100">
        <f>IFERROR(IF($A24=FALSE,0,INDEX('RPS by State'!AS:AS,MATCH($C24,'RPS by State'!$B:$B,0))),0)</f>
        <v>0</v>
      </c>
      <c r="AI24" s="100">
        <f>IFERROR(IF($A24=FALSE,0,INDEX('RPS by State'!AT:AT,MATCH($C24,'RPS by State'!$B:$B,0))),0)</f>
        <v>0</v>
      </c>
      <c r="AJ24" s="100">
        <f>IFERROR(IF($A24=FALSE,0,INDEX('RPS by State'!AU:AU,MATCH($C24,'RPS by State'!$B:$B,0))),0)</f>
        <v>0</v>
      </c>
      <c r="AK24" s="100">
        <f>IFERROR(IF($A24=FALSE,0,INDEX('RPS by State'!AV:AV,MATCH($C24,'RPS by State'!$B:$B,0))),0)</f>
        <v>0</v>
      </c>
      <c r="AL24" s="100">
        <f>IFERROR(IF($A24=FALSE,0,INDEX('RPS by State'!AW:AW,MATCH($C24,'RPS by State'!$B:$B,0))),0)</f>
        <v>0</v>
      </c>
      <c r="AM24" s="100">
        <f>IFERROR(IF($A24=FALSE,0,INDEX('RPS by State'!AX:AX,MATCH($C24,'RPS by State'!$B:$B,0))),0)</f>
        <v>0</v>
      </c>
      <c r="AN24" s="100">
        <f>IFERROR(IF($A24=FALSE,0,INDEX('RPS by State'!AY:AY,MATCH($C24,'RPS by State'!$B:$B,0))),0)</f>
        <v>0</v>
      </c>
      <c r="AO24" s="100">
        <f>IFERROR(IF($A24=FALSE,0,INDEX('RPS by State'!AZ:AZ,MATCH($C24,'RPS by State'!$B:$B,0))),0)</f>
        <v>0</v>
      </c>
      <c r="AP24" s="100">
        <f>IFERROR(IF($A24=FALSE,0,INDEX('RPS by State'!BA:BA,MATCH($C24,'RPS by State'!$B:$B,0))),0)</f>
        <v>0</v>
      </c>
      <c r="AQ24" s="100">
        <f>IFERROR(IF($A24=FALSE,0,INDEX('RPS by State'!BB:BB,MATCH($C24,'RPS by State'!$B:$B,0))),0)</f>
        <v>0</v>
      </c>
      <c r="AR24" s="100">
        <f>IFERROR(IF($A24=FALSE,0,INDEX('RPS by State'!BC:BC,MATCH($C24,'RPS by State'!$B:$B,0))),0)</f>
        <v>0</v>
      </c>
      <c r="AS24" s="100">
        <f>IFERROR(IF($A24=FALSE,0,INDEX('RPS by State'!BD:BD,MATCH($C24,'RPS by State'!$B:$B,0))),0)</f>
        <v>0</v>
      </c>
      <c r="AT24" s="100">
        <f>IFERROR(IF($A24=FALSE,0,INDEX('RPS by State'!BE:BE,MATCH($C24,'RPS by State'!$B:$B,0))),0)</f>
        <v>0</v>
      </c>
      <c r="AU24" s="100">
        <f>IFERROR(IF($A24=FALSE,0,INDEX('RPS by State'!BF:BF,MATCH($C24,'RPS by State'!$B:$B,0))),0)</f>
        <v>0</v>
      </c>
      <c r="AV24" s="100">
        <f>IFERROR(IF($A24=FALSE,0,INDEX('RPS by State'!BG:BG,MATCH($C24,'RPS by State'!$B:$B,0))),0)</f>
        <v>0</v>
      </c>
      <c r="AW24" s="100">
        <f>IFERROR(IF($A24=FALSE,0,INDEX('RPS by State'!BH:BH,MATCH($C24,'RPS by State'!$B:$B,0))),0)</f>
        <v>0</v>
      </c>
      <c r="AX24" s="100">
        <f>IFERROR(IF($A24=FALSE,0,INDEX('RPS by State'!BI:BI,MATCH($C24,'RPS by State'!$B:$B,0))),0)</f>
        <v>0</v>
      </c>
      <c r="AY24" s="100">
        <f>IFERROR(IF($A24=FALSE,0,INDEX('RPS by State'!BJ:BJ,MATCH($C24,'RPS by State'!$B:$B,0))),0)</f>
        <v>0</v>
      </c>
      <c r="AZ24" s="100">
        <f>IFERROR(IF($A24=FALSE,0,INDEX('RPS by State'!BK:BK,MATCH($C24,'RPS by State'!$B:$B,0))),0)</f>
        <v>0</v>
      </c>
      <c r="BA24" s="100">
        <f>IFERROR(IF($A24=FALSE,0,INDEX('RPS by State'!BL:BL,MATCH($C24,'RPS by State'!$B:$B,0))),0)</f>
        <v>0</v>
      </c>
      <c r="BB24" s="100">
        <f>IFERROR(IF($A24=FALSE,0,INDEX('RPS by State'!BM:BM,MATCH($C24,'RPS by State'!$B:$B,0))),0)</f>
        <v>0</v>
      </c>
      <c r="BC24" s="100">
        <f>IFERROR(IF($A24=FALSE,0,INDEX('RPS by State'!BN:BN,MATCH($C24,'RPS by State'!$B:$B,0))),0)</f>
        <v>0</v>
      </c>
      <c r="BD24" s="100">
        <f>IFERROR(IF($A24=FALSE,0,INDEX('RPS by State'!BO:BO,MATCH($C24,'RPS by State'!$B:$B,0))),0)</f>
        <v>0</v>
      </c>
      <c r="BE24" s="100">
        <f>IFERROR(IF($A24=FALSE,0,INDEX('RPS by State'!BP:BP,MATCH($C24,'RPS by State'!$B:$B,0))),0)</f>
        <v>0</v>
      </c>
      <c r="BF24" s="100">
        <f>IFERROR(IF($A24=FALSE,0,INDEX('RPS by State'!BQ:BQ,MATCH($C24,'RPS by State'!$B:$B,0))),0)</f>
        <v>0</v>
      </c>
      <c r="BG24" s="100">
        <f>IFERROR(IF($A24=FALSE,0,INDEX('RPS by State'!BR:BR,MATCH($C24,'RPS by State'!$B:$B,0))),0)</f>
        <v>0</v>
      </c>
      <c r="BH24" s="100">
        <f>IFERROR(IF($A24=FALSE,0,INDEX('RPS by State'!BS:BS,MATCH($C24,'RPS by State'!$B:$B,0))),0)</f>
        <v>0</v>
      </c>
      <c r="BI24" s="100">
        <f>IFERROR(IF($A24=FALSE,0,INDEX('RPS by State'!BT:BT,MATCH($C24,'RPS by State'!$B:$B,0))),0)</f>
        <v>0</v>
      </c>
      <c r="BJ24" s="100">
        <f>IFERROR(IF($A24=FALSE,0,INDEX('RPS by State'!BU:BU,MATCH($C24,'RPS by State'!$B:$B,0))),0)</f>
        <v>0</v>
      </c>
      <c r="BK24" s="100">
        <f>IFERROR(IF($A24=FALSE,0,INDEX('RPS by State'!BV:BV,MATCH($C24,'RPS by State'!$B:$B,0))),0)</f>
        <v>0</v>
      </c>
      <c r="BL24" s="100">
        <f>IFERROR(IF($A24=FALSE,0,INDEX('RPS by State'!BW:BW,MATCH($C24,'RPS by State'!$B:$B,0))),0)</f>
        <v>0</v>
      </c>
      <c r="BM24" s="100">
        <f>IFERROR(IF($A24=FALSE,0,INDEX('RPS by State'!BX:BX,MATCH($C24,'RPS by State'!$B:$B,0))),0)</f>
        <v>0</v>
      </c>
      <c r="BN24" s="100">
        <f>IFERROR(IF($A24=FALSE,0,INDEX('RPS by State'!BY:BY,MATCH($C24,'RPS by State'!$B:$B,0))),0)</f>
        <v>0</v>
      </c>
      <c r="BO24" s="100">
        <f>IFERROR(IF($A24=FALSE,0,INDEX('RPS by State'!BZ:BZ,MATCH($C24,'RPS by State'!$B:$B,0))),0)</f>
        <v>0</v>
      </c>
      <c r="BP24" s="100">
        <f>IFERROR(IF($A24=FALSE,0,INDEX('RPS by State'!CA:CA,MATCH($C24,'RPS by State'!$B:$B,0))),0)</f>
        <v>0</v>
      </c>
      <c r="BQ24" s="100">
        <f>IFERROR(IF($A24=FALSE,0,INDEX('RPS by State'!CB:CB,MATCH($C24,'RPS by State'!$B:$B,0))),0)</f>
        <v>0</v>
      </c>
      <c r="BR24" s="100">
        <f>IFERROR(IF($A24=FALSE,0,INDEX('RPS by State'!CC:CC,MATCH($C24,'RPS by State'!$B:$B,0))),0)</f>
        <v>0</v>
      </c>
      <c r="BS24" s="100">
        <f>IFERROR(IF($A24=FALSE,0,INDEX('RPS by State'!CD:CD,MATCH($C24,'RPS by State'!$B:$B,0))),0)</f>
        <v>0</v>
      </c>
      <c r="BT24" s="100">
        <f>IFERROR(IF($A24=FALSE,0,INDEX('RPS by State'!CE:CE,MATCH($C24,'RPS by State'!$B:$B,0))),0)</f>
        <v>0</v>
      </c>
      <c r="BU24" s="100">
        <f>IFERROR(IF($A24=FALSE,0,INDEX('RPS by State'!CF:CF,MATCH($C24,'RPS by State'!$B:$B,0))),0)</f>
        <v>0</v>
      </c>
      <c r="BV24" s="100">
        <f>IFERROR(IF($A24=FALSE,0,INDEX('RPS by State'!CG:CG,MATCH($C24,'RPS by State'!$B:$B,0))),0)</f>
        <v>0</v>
      </c>
      <c r="BW24" s="100">
        <f>IFERROR(IF($A24=FALSE,0,INDEX('RPS by State'!CH:CH,MATCH($C24,'RPS by State'!$B:$B,0))),0)</f>
        <v>0</v>
      </c>
      <c r="BX24" s="100">
        <f>IFERROR(IF($A24=FALSE,0,INDEX('RPS by State'!CI:CI,MATCH($C24,'RPS by State'!$B:$B,0))),0)</f>
        <v>0</v>
      </c>
      <c r="BY24" s="100">
        <f>IFERROR(IF($A24=FALSE,0,INDEX('RPS by State'!CJ:CJ,MATCH($C24,'RPS by State'!$B:$B,0))),0)</f>
        <v>0</v>
      </c>
      <c r="BZ24" s="100">
        <f>IFERROR(IF($A24=FALSE,0,INDEX('RPS by State'!CK:CK,MATCH($C24,'RPS by State'!$B:$B,0))),0)</f>
        <v>0</v>
      </c>
      <c r="CA24" s="100">
        <f>IFERROR(IF($A24=FALSE,0,INDEX('RPS by State'!CL:CL,MATCH($C24,'RPS by State'!$B:$B,0))),0)</f>
        <v>0</v>
      </c>
      <c r="CB24" s="100">
        <f>IFERROR(IF($A24=FALSE,0,INDEX('RPS by State'!CM:CM,MATCH($C24,'RPS by State'!$B:$B,0))),0)</f>
        <v>0</v>
      </c>
      <c r="CC24" s="100">
        <f>IFERROR(IF($A24=FALSE,0,INDEX('RPS by State'!CN:CN,MATCH($C24,'RPS by State'!$B:$B,0))),0)</f>
        <v>0</v>
      </c>
      <c r="CD24" s="100">
        <f>IFERROR(IF($A24=FALSE,0,INDEX('RPS by State'!CO:CO,MATCH($C24,'RPS by State'!$B:$B,0))),0)</f>
        <v>0</v>
      </c>
      <c r="CE24" s="100">
        <f>IFERROR(IF($A24=FALSE,0,INDEX('RPS by State'!CP:CP,MATCH($C24,'RPS by State'!$B:$B,0))),0)</f>
        <v>0</v>
      </c>
    </row>
    <row r="25" spans="1:83" x14ac:dyDescent="0.25">
      <c r="A25" t="b">
        <f>IFERROR(INDEX('RPS by State'!G:G,MATCH(B25,'RPS by State'!A:A,0)),0)</f>
        <v>1</v>
      </c>
      <c r="B25" s="120" t="s">
        <v>60</v>
      </c>
      <c r="C25" s="120" t="str">
        <f>IFERROR(INDEX(About!L:L,MATCH(B25,About!K:K,0)),0)</f>
        <v>MN</v>
      </c>
      <c r="D25" s="100">
        <f>IFERROR(IF($A25=FALSE,0,INDEX('RPS by State'!O:O,MATCH($C25,'RPS by State'!$B:$B,0))),0)</f>
        <v>0.21951384696326892</v>
      </c>
      <c r="E25" s="100">
        <f>IFERROR(IF($A25=FALSE,0,INDEX('RPS by State'!P:P,MATCH($C25,'RPS by State'!$B:$B,0))),0)</f>
        <v>0.22949790199815603</v>
      </c>
      <c r="F25" s="100">
        <f>IFERROR(IF($A25=FALSE,0,INDEX('RPS by State'!Q:Q,MATCH($C25,'RPS by State'!$B:$B,0))),0)</f>
        <v>0.23948195703304315</v>
      </c>
      <c r="G25" s="100">
        <f>IFERROR(IF($A25=FALSE,0,INDEX('RPS by State'!R:R,MATCH($C25,'RPS by State'!$B:$B,0))),0)</f>
        <v>0.24946601206793026</v>
      </c>
      <c r="H25" s="100">
        <f>IFERROR(IF($A25=FALSE,0,INDEX('RPS by State'!S:S,MATCH($C25,'RPS by State'!$B:$B,0))),0)</f>
        <v>0.25945006710281737</v>
      </c>
      <c r="I25" s="100">
        <f>IFERROR(IF($A25=FALSE,0,INDEX('RPS by State'!T:T,MATCH($C25,'RPS by State'!$B:$B,0))),0)</f>
        <v>0.25945006710281737</v>
      </c>
      <c r="J25" s="100">
        <f>IFERROR(IF($A25=FALSE,0,INDEX('RPS by State'!U:U,MATCH($C25,'RPS by State'!$B:$B,0))),0)</f>
        <v>0.25945006710281737</v>
      </c>
      <c r="K25" s="100">
        <f>IFERROR(IF($A25=FALSE,0,INDEX('RPS by State'!V:V,MATCH($C25,'RPS by State'!$B:$B,0))),0)</f>
        <v>0.25945006710281737</v>
      </c>
      <c r="L25" s="100">
        <f>IFERROR(IF($A25=FALSE,0,INDEX('RPS by State'!W:W,MATCH($C25,'RPS by State'!$B:$B,0))),0)</f>
        <v>0.25945006710281737</v>
      </c>
      <c r="M25" s="100">
        <f>IFERROR(IF($A25=FALSE,0,INDEX('RPS by State'!X:X,MATCH($C25,'RPS by State'!$B:$B,0))),0)</f>
        <v>0.4984759909111266</v>
      </c>
      <c r="N25" s="100">
        <f>IFERROR(IF($A25=FALSE,0,INDEX('RPS by State'!Y:Y,MATCH($C25,'RPS by State'!$B:$B,0))),0)</f>
        <v>0.51093789068390472</v>
      </c>
      <c r="O25" s="100">
        <f>IFERROR(IF($A25=FALSE,0,INDEX('RPS by State'!Z:Z,MATCH($C25,'RPS by State'!$B:$B,0))),0)</f>
        <v>0.52339979045668283</v>
      </c>
      <c r="P25" s="100">
        <f>IFERROR(IF($A25=FALSE,0,INDEX('RPS by State'!AA:AA,MATCH($C25,'RPS by State'!$B:$B,0))),0)</f>
        <v>0.53586169022946095</v>
      </c>
      <c r="Q25" s="100">
        <f>IFERROR(IF($A25=FALSE,0,INDEX('RPS by State'!AB:AB,MATCH($C25,'RPS by State'!$B:$B,0))),0)</f>
        <v>0.54832359000223907</v>
      </c>
      <c r="R25" s="100">
        <f>IFERROR(IF($A25=FALSE,0,INDEX('RPS by State'!AC:AC,MATCH($C25,'RPS by State'!$B:$B,0))),0)</f>
        <v>0.56078548977501741</v>
      </c>
      <c r="S25" s="100">
        <f>IFERROR(IF($A25=FALSE,0,INDEX('RPS by State'!AD:AD,MATCH($C25,'RPS by State'!$B:$B,0))),0)</f>
        <v>0.57324738954779553</v>
      </c>
      <c r="T25" s="100">
        <f>IFERROR(IF($A25=FALSE,0,INDEX('RPS by State'!AE:AE,MATCH($C25,'RPS by State'!$B:$B,0))),0)</f>
        <v>0.58570928932057365</v>
      </c>
      <c r="U25" s="100">
        <f>IFERROR(IF($A25=FALSE,0,INDEX('RPS by State'!AF:AF,MATCH($C25,'RPS by State'!$B:$B,0))),0)</f>
        <v>0.59817118909335176</v>
      </c>
      <c r="V25" s="100">
        <f>IFERROR(IF($A25=FALSE,0,INDEX('RPS by State'!AG:AG,MATCH($C25,'RPS by State'!$B:$B,0))),0)</f>
        <v>0.61063308886612988</v>
      </c>
      <c r="W25" s="100">
        <f>IFERROR(IF($A25=FALSE,0,INDEX('RPS by State'!AH:AH,MATCH($C25,'RPS by State'!$B:$B,0))),0)</f>
        <v>0.62309498863890822</v>
      </c>
      <c r="X25" s="100">
        <f>IFERROR(IF($A25=FALSE,0,INDEX('RPS by State'!AI:AI,MATCH($C25,'RPS by State'!$B:$B,0))),0)</f>
        <v>0.62309498863890822</v>
      </c>
      <c r="Y25" s="100">
        <f>IFERROR(IF($A25=FALSE,0,INDEX('RPS by State'!AJ:AJ,MATCH($C25,'RPS by State'!$B:$B,0))),0)</f>
        <v>0.62309498863890822</v>
      </c>
      <c r="Z25" s="100">
        <f>IFERROR(IF($A25=FALSE,0,INDEX('RPS by State'!AK:AK,MATCH($C25,'RPS by State'!$B:$B,0))),0)</f>
        <v>0.62309498863890822</v>
      </c>
      <c r="AA25" s="100">
        <f>IFERROR(IF($A25=FALSE,0,INDEX('RPS by State'!AL:AL,MATCH($C25,'RPS by State'!$B:$B,0))),0)</f>
        <v>0.62309498863890822</v>
      </c>
      <c r="AB25" s="100">
        <f>IFERROR(IF($A25=FALSE,0,INDEX('RPS by State'!AM:AM,MATCH($C25,'RPS by State'!$B:$B,0))),0)</f>
        <v>0.62309498863890822</v>
      </c>
      <c r="AC25" s="100">
        <f>IFERROR(IF($A25=FALSE,0,INDEX('RPS by State'!AN:AN,MATCH($C25,'RPS by State'!$B:$B,0))),0)</f>
        <v>0.62309498863890822</v>
      </c>
      <c r="AD25" s="100">
        <f>IFERROR(IF($A25=FALSE,0,INDEX('RPS by State'!AO:AO,MATCH($C25,'RPS by State'!$B:$B,0))),0)</f>
        <v>0.62309498863890822</v>
      </c>
      <c r="AE25" s="100">
        <f>IFERROR(IF($A25=FALSE,0,INDEX('RPS by State'!AP:AP,MATCH($C25,'RPS by State'!$B:$B,0))),0)</f>
        <v>0.62309498863890822</v>
      </c>
      <c r="AF25" s="100">
        <f>IFERROR(IF($A25=FALSE,0,INDEX('RPS by State'!AQ:AQ,MATCH($C25,'RPS by State'!$B:$B,0))),0)</f>
        <v>0.62309498863890822</v>
      </c>
      <c r="AG25" s="100">
        <f>IFERROR(IF($A25=FALSE,0,INDEX('RPS by State'!AR:AR,MATCH($C25,'RPS by State'!$B:$B,0))),0)</f>
        <v>0.62309498863890822</v>
      </c>
      <c r="AH25" s="100">
        <f>IFERROR(IF($A25=FALSE,0,INDEX('RPS by State'!AS:AS,MATCH($C25,'RPS by State'!$B:$B,0))),0)</f>
        <v>0</v>
      </c>
      <c r="AI25" s="100">
        <f>IFERROR(IF($A25=FALSE,0,INDEX('RPS by State'!AT:AT,MATCH($C25,'RPS by State'!$B:$B,0))),0)</f>
        <v>0</v>
      </c>
      <c r="AJ25" s="100">
        <f>IFERROR(IF($A25=FALSE,0,INDEX('RPS by State'!AU:AU,MATCH($C25,'RPS by State'!$B:$B,0))),0)</f>
        <v>0</v>
      </c>
      <c r="AK25" s="100">
        <f>IFERROR(IF($A25=FALSE,0,INDEX('RPS by State'!AV:AV,MATCH($C25,'RPS by State'!$B:$B,0))),0)</f>
        <v>0</v>
      </c>
      <c r="AL25" s="100">
        <f>IFERROR(IF($A25=FALSE,0,INDEX('RPS by State'!AW:AW,MATCH($C25,'RPS by State'!$B:$B,0))),0)</f>
        <v>0</v>
      </c>
      <c r="AM25" s="100">
        <f>IFERROR(IF($A25=FALSE,0,INDEX('RPS by State'!AX:AX,MATCH($C25,'RPS by State'!$B:$B,0))),0)</f>
        <v>0</v>
      </c>
      <c r="AN25" s="100">
        <f>IFERROR(IF($A25=FALSE,0,INDEX('RPS by State'!AY:AY,MATCH($C25,'RPS by State'!$B:$B,0))),0)</f>
        <v>0</v>
      </c>
      <c r="AO25" s="100">
        <f>IFERROR(IF($A25=FALSE,0,INDEX('RPS by State'!AZ:AZ,MATCH($C25,'RPS by State'!$B:$B,0))),0)</f>
        <v>0</v>
      </c>
      <c r="AP25" s="100">
        <f>IFERROR(IF($A25=FALSE,0,INDEX('RPS by State'!BA:BA,MATCH($C25,'RPS by State'!$B:$B,0))),0)</f>
        <v>0</v>
      </c>
      <c r="AQ25" s="100">
        <f>IFERROR(IF($A25=FALSE,0,INDEX('RPS by State'!BB:BB,MATCH($C25,'RPS by State'!$B:$B,0))),0)</f>
        <v>0</v>
      </c>
      <c r="AR25" s="100">
        <f>IFERROR(IF($A25=FALSE,0,INDEX('RPS by State'!BC:BC,MATCH($C25,'RPS by State'!$B:$B,0))),0)</f>
        <v>0</v>
      </c>
      <c r="AS25" s="100">
        <f>IFERROR(IF($A25=FALSE,0,INDEX('RPS by State'!BD:BD,MATCH($C25,'RPS by State'!$B:$B,0))),0)</f>
        <v>0</v>
      </c>
      <c r="AT25" s="100">
        <f>IFERROR(IF($A25=FALSE,0,INDEX('RPS by State'!BE:BE,MATCH($C25,'RPS by State'!$B:$B,0))),0)</f>
        <v>0</v>
      </c>
      <c r="AU25" s="100">
        <f>IFERROR(IF($A25=FALSE,0,INDEX('RPS by State'!BF:BF,MATCH($C25,'RPS by State'!$B:$B,0))),0)</f>
        <v>0</v>
      </c>
      <c r="AV25" s="100">
        <f>IFERROR(IF($A25=FALSE,0,INDEX('RPS by State'!BG:BG,MATCH($C25,'RPS by State'!$B:$B,0))),0)</f>
        <v>0</v>
      </c>
      <c r="AW25" s="100">
        <f>IFERROR(IF($A25=FALSE,0,INDEX('RPS by State'!BH:BH,MATCH($C25,'RPS by State'!$B:$B,0))),0)</f>
        <v>0</v>
      </c>
      <c r="AX25" s="100">
        <f>IFERROR(IF($A25=FALSE,0,INDEX('RPS by State'!BI:BI,MATCH($C25,'RPS by State'!$B:$B,0))),0)</f>
        <v>0</v>
      </c>
      <c r="AY25" s="100">
        <f>IFERROR(IF($A25=FALSE,0,INDEX('RPS by State'!BJ:BJ,MATCH($C25,'RPS by State'!$B:$B,0))),0)</f>
        <v>0</v>
      </c>
      <c r="AZ25" s="100">
        <f>IFERROR(IF($A25=FALSE,0,INDEX('RPS by State'!BK:BK,MATCH($C25,'RPS by State'!$B:$B,0))),0)</f>
        <v>0</v>
      </c>
      <c r="BA25" s="100">
        <f>IFERROR(IF($A25=FALSE,0,INDEX('RPS by State'!BL:BL,MATCH($C25,'RPS by State'!$B:$B,0))),0)</f>
        <v>0</v>
      </c>
      <c r="BB25" s="100">
        <f>IFERROR(IF($A25=FALSE,0,INDEX('RPS by State'!BM:BM,MATCH($C25,'RPS by State'!$B:$B,0))),0)</f>
        <v>0</v>
      </c>
      <c r="BC25" s="100">
        <f>IFERROR(IF($A25=FALSE,0,INDEX('RPS by State'!BN:BN,MATCH($C25,'RPS by State'!$B:$B,0))),0)</f>
        <v>0</v>
      </c>
      <c r="BD25" s="100">
        <f>IFERROR(IF($A25=FALSE,0,INDEX('RPS by State'!BO:BO,MATCH($C25,'RPS by State'!$B:$B,0))),0)</f>
        <v>0</v>
      </c>
      <c r="BE25" s="100">
        <f>IFERROR(IF($A25=FALSE,0,INDEX('RPS by State'!BP:BP,MATCH($C25,'RPS by State'!$B:$B,0))),0)</f>
        <v>0</v>
      </c>
      <c r="BF25" s="100">
        <f>IFERROR(IF($A25=FALSE,0,INDEX('RPS by State'!BQ:BQ,MATCH($C25,'RPS by State'!$B:$B,0))),0)</f>
        <v>0</v>
      </c>
      <c r="BG25" s="100">
        <f>IFERROR(IF($A25=FALSE,0,INDEX('RPS by State'!BR:BR,MATCH($C25,'RPS by State'!$B:$B,0))),0)</f>
        <v>0</v>
      </c>
      <c r="BH25" s="100">
        <f>IFERROR(IF($A25=FALSE,0,INDEX('RPS by State'!BS:BS,MATCH($C25,'RPS by State'!$B:$B,0))),0)</f>
        <v>0</v>
      </c>
      <c r="BI25" s="100">
        <f>IFERROR(IF($A25=FALSE,0,INDEX('RPS by State'!BT:BT,MATCH($C25,'RPS by State'!$B:$B,0))),0)</f>
        <v>0</v>
      </c>
      <c r="BJ25" s="100">
        <f>IFERROR(IF($A25=FALSE,0,INDEX('RPS by State'!BU:BU,MATCH($C25,'RPS by State'!$B:$B,0))),0)</f>
        <v>0</v>
      </c>
      <c r="BK25" s="100">
        <f>IFERROR(IF($A25=FALSE,0,INDEX('RPS by State'!BV:BV,MATCH($C25,'RPS by State'!$B:$B,0))),0)</f>
        <v>0</v>
      </c>
      <c r="BL25" s="100">
        <f>IFERROR(IF($A25=FALSE,0,INDEX('RPS by State'!BW:BW,MATCH($C25,'RPS by State'!$B:$B,0))),0)</f>
        <v>0</v>
      </c>
      <c r="BM25" s="100">
        <f>IFERROR(IF($A25=FALSE,0,INDEX('RPS by State'!BX:BX,MATCH($C25,'RPS by State'!$B:$B,0))),0)</f>
        <v>0</v>
      </c>
      <c r="BN25" s="100">
        <f>IFERROR(IF($A25=FALSE,0,INDEX('RPS by State'!BY:BY,MATCH($C25,'RPS by State'!$B:$B,0))),0)</f>
        <v>0</v>
      </c>
      <c r="BO25" s="100">
        <f>IFERROR(IF($A25=FALSE,0,INDEX('RPS by State'!BZ:BZ,MATCH($C25,'RPS by State'!$B:$B,0))),0)</f>
        <v>0</v>
      </c>
      <c r="BP25" s="100">
        <f>IFERROR(IF($A25=FALSE,0,INDEX('RPS by State'!CA:CA,MATCH($C25,'RPS by State'!$B:$B,0))),0)</f>
        <v>0</v>
      </c>
      <c r="BQ25" s="100">
        <f>IFERROR(IF($A25=FALSE,0,INDEX('RPS by State'!CB:CB,MATCH($C25,'RPS by State'!$B:$B,0))),0)</f>
        <v>0</v>
      </c>
      <c r="BR25" s="100">
        <f>IFERROR(IF($A25=FALSE,0,INDEX('RPS by State'!CC:CC,MATCH($C25,'RPS by State'!$B:$B,0))),0)</f>
        <v>0</v>
      </c>
      <c r="BS25" s="100">
        <f>IFERROR(IF($A25=FALSE,0,INDEX('RPS by State'!CD:CD,MATCH($C25,'RPS by State'!$B:$B,0))),0)</f>
        <v>0</v>
      </c>
      <c r="BT25" s="100">
        <f>IFERROR(IF($A25=FALSE,0,INDEX('RPS by State'!CE:CE,MATCH($C25,'RPS by State'!$B:$B,0))),0)</f>
        <v>0</v>
      </c>
      <c r="BU25" s="100">
        <f>IFERROR(IF($A25=FALSE,0,INDEX('RPS by State'!CF:CF,MATCH($C25,'RPS by State'!$B:$B,0))),0)</f>
        <v>0</v>
      </c>
      <c r="BV25" s="100">
        <f>IFERROR(IF($A25=FALSE,0,INDEX('RPS by State'!CG:CG,MATCH($C25,'RPS by State'!$B:$B,0))),0)</f>
        <v>0</v>
      </c>
      <c r="BW25" s="100">
        <f>IFERROR(IF($A25=FALSE,0,INDEX('RPS by State'!CH:CH,MATCH($C25,'RPS by State'!$B:$B,0))),0)</f>
        <v>0</v>
      </c>
      <c r="BX25" s="100">
        <f>IFERROR(IF($A25=FALSE,0,INDEX('RPS by State'!CI:CI,MATCH($C25,'RPS by State'!$B:$B,0))),0)</f>
        <v>0</v>
      </c>
      <c r="BY25" s="100">
        <f>IFERROR(IF($A25=FALSE,0,INDEX('RPS by State'!CJ:CJ,MATCH($C25,'RPS by State'!$B:$B,0))),0)</f>
        <v>0</v>
      </c>
      <c r="BZ25" s="100">
        <f>IFERROR(IF($A25=FALSE,0,INDEX('RPS by State'!CK:CK,MATCH($C25,'RPS by State'!$B:$B,0))),0)</f>
        <v>0</v>
      </c>
      <c r="CA25" s="100">
        <f>IFERROR(IF($A25=FALSE,0,INDEX('RPS by State'!CL:CL,MATCH($C25,'RPS by State'!$B:$B,0))),0)</f>
        <v>0</v>
      </c>
      <c r="CB25" s="100">
        <f>IFERROR(IF($A25=FALSE,0,INDEX('RPS by State'!CM:CM,MATCH($C25,'RPS by State'!$B:$B,0))),0)</f>
        <v>0</v>
      </c>
      <c r="CC25" s="100">
        <f>IFERROR(IF($A25=FALSE,0,INDEX('RPS by State'!CN:CN,MATCH($C25,'RPS by State'!$B:$B,0))),0)</f>
        <v>0</v>
      </c>
      <c r="CD25" s="100">
        <f>IFERROR(IF($A25=FALSE,0,INDEX('RPS by State'!CO:CO,MATCH($C25,'RPS by State'!$B:$B,0))),0)</f>
        <v>0</v>
      </c>
      <c r="CE25" s="100">
        <f>IFERROR(IF($A25=FALSE,0,INDEX('RPS by State'!CP:CP,MATCH($C25,'RPS by State'!$B:$B,0))),0)</f>
        <v>0</v>
      </c>
    </row>
    <row r="26" spans="1:83" x14ac:dyDescent="0.25">
      <c r="A26" t="b">
        <f>IFERROR(INDEX('RPS by State'!G:G,MATCH(B26,'RPS by State'!A:A,0)),0)</f>
        <v>0</v>
      </c>
      <c r="B26" s="120" t="s">
        <v>63</v>
      </c>
      <c r="C26" s="120" t="str">
        <f>IFERROR(INDEX(About!L:L,MATCH(B26,About!K:K,0)),0)</f>
        <v>MS</v>
      </c>
      <c r="D26" s="100">
        <f>IFERROR(IF($A26=FALSE,0,INDEX('RPS by State'!O:O,MATCH($C26,'RPS by State'!$B:$B,0))),0)</f>
        <v>0</v>
      </c>
      <c r="E26" s="100">
        <f>IFERROR(IF($A26=FALSE,0,INDEX('RPS by State'!P:P,MATCH($C26,'RPS by State'!$B:$B,0))),0)</f>
        <v>0</v>
      </c>
      <c r="F26" s="100">
        <f>IFERROR(IF($A26=FALSE,0,INDEX('RPS by State'!Q:Q,MATCH($C26,'RPS by State'!$B:$B,0))),0)</f>
        <v>0</v>
      </c>
      <c r="G26" s="100">
        <f>IFERROR(IF($A26=FALSE,0,INDEX('RPS by State'!R:R,MATCH($C26,'RPS by State'!$B:$B,0))),0)</f>
        <v>0</v>
      </c>
      <c r="H26" s="100">
        <f>IFERROR(IF($A26=FALSE,0,INDEX('RPS by State'!S:S,MATCH($C26,'RPS by State'!$B:$B,0))),0)</f>
        <v>0</v>
      </c>
      <c r="I26" s="100">
        <f>IFERROR(IF($A26=FALSE,0,INDEX('RPS by State'!T:T,MATCH($C26,'RPS by State'!$B:$B,0))),0)</f>
        <v>0</v>
      </c>
      <c r="J26" s="100">
        <f>IFERROR(IF($A26=FALSE,0,INDEX('RPS by State'!U:U,MATCH($C26,'RPS by State'!$B:$B,0))),0)</f>
        <v>0</v>
      </c>
      <c r="K26" s="100">
        <f>IFERROR(IF($A26=FALSE,0,INDEX('RPS by State'!V:V,MATCH($C26,'RPS by State'!$B:$B,0))),0)</f>
        <v>0</v>
      </c>
      <c r="L26" s="100">
        <f>IFERROR(IF($A26=FALSE,0,INDEX('RPS by State'!W:W,MATCH($C26,'RPS by State'!$B:$B,0))),0)</f>
        <v>0</v>
      </c>
      <c r="M26" s="100">
        <f>IFERROR(IF($A26=FALSE,0,INDEX('RPS by State'!X:X,MATCH($C26,'RPS by State'!$B:$B,0))),0)</f>
        <v>0</v>
      </c>
      <c r="N26" s="100">
        <f>IFERROR(IF($A26=FALSE,0,INDEX('RPS by State'!Y:Y,MATCH($C26,'RPS by State'!$B:$B,0))),0)</f>
        <v>0</v>
      </c>
      <c r="O26" s="100">
        <f>IFERROR(IF($A26=FALSE,0,INDEX('RPS by State'!Z:Z,MATCH($C26,'RPS by State'!$B:$B,0))),0)</f>
        <v>0</v>
      </c>
      <c r="P26" s="100">
        <f>IFERROR(IF($A26=FALSE,0,INDEX('RPS by State'!AA:AA,MATCH($C26,'RPS by State'!$B:$B,0))),0)</f>
        <v>0</v>
      </c>
      <c r="Q26" s="100">
        <f>IFERROR(IF($A26=FALSE,0,INDEX('RPS by State'!AB:AB,MATCH($C26,'RPS by State'!$B:$B,0))),0)</f>
        <v>0</v>
      </c>
      <c r="R26" s="100">
        <f>IFERROR(IF($A26=FALSE,0,INDEX('RPS by State'!AC:AC,MATCH($C26,'RPS by State'!$B:$B,0))),0)</f>
        <v>0</v>
      </c>
      <c r="S26" s="100">
        <f>IFERROR(IF($A26=FALSE,0,INDEX('RPS by State'!AD:AD,MATCH($C26,'RPS by State'!$B:$B,0))),0)</f>
        <v>0</v>
      </c>
      <c r="T26" s="100">
        <f>IFERROR(IF($A26=FALSE,0,INDEX('RPS by State'!AE:AE,MATCH($C26,'RPS by State'!$B:$B,0))),0)</f>
        <v>0</v>
      </c>
      <c r="U26" s="100">
        <f>IFERROR(IF($A26=FALSE,0,INDEX('RPS by State'!AF:AF,MATCH($C26,'RPS by State'!$B:$B,0))),0)</f>
        <v>0</v>
      </c>
      <c r="V26" s="100">
        <f>IFERROR(IF($A26=FALSE,0,INDEX('RPS by State'!AG:AG,MATCH($C26,'RPS by State'!$B:$B,0))),0)</f>
        <v>0</v>
      </c>
      <c r="W26" s="100">
        <f>IFERROR(IF($A26=FALSE,0,INDEX('RPS by State'!AH:AH,MATCH($C26,'RPS by State'!$B:$B,0))),0)</f>
        <v>0</v>
      </c>
      <c r="X26" s="100">
        <f>IFERROR(IF($A26=FALSE,0,INDEX('RPS by State'!AI:AI,MATCH($C26,'RPS by State'!$B:$B,0))),0)</f>
        <v>0</v>
      </c>
      <c r="Y26" s="100">
        <f>IFERROR(IF($A26=FALSE,0,INDEX('RPS by State'!AJ:AJ,MATCH($C26,'RPS by State'!$B:$B,0))),0)</f>
        <v>0</v>
      </c>
      <c r="Z26" s="100">
        <f>IFERROR(IF($A26=FALSE,0,INDEX('RPS by State'!AK:AK,MATCH($C26,'RPS by State'!$B:$B,0))),0)</f>
        <v>0</v>
      </c>
      <c r="AA26" s="100">
        <f>IFERROR(IF($A26=FALSE,0,INDEX('RPS by State'!AL:AL,MATCH($C26,'RPS by State'!$B:$B,0))),0)</f>
        <v>0</v>
      </c>
      <c r="AB26" s="100">
        <f>IFERROR(IF($A26=FALSE,0,INDEX('RPS by State'!AM:AM,MATCH($C26,'RPS by State'!$B:$B,0))),0)</f>
        <v>0</v>
      </c>
      <c r="AC26" s="100">
        <f>IFERROR(IF($A26=FALSE,0,INDEX('RPS by State'!AN:AN,MATCH($C26,'RPS by State'!$B:$B,0))),0)</f>
        <v>0</v>
      </c>
      <c r="AD26" s="100">
        <f>IFERROR(IF($A26=FALSE,0,INDEX('RPS by State'!AO:AO,MATCH($C26,'RPS by State'!$B:$B,0))),0)</f>
        <v>0</v>
      </c>
      <c r="AE26" s="100">
        <f>IFERROR(IF($A26=FALSE,0,INDEX('RPS by State'!AP:AP,MATCH($C26,'RPS by State'!$B:$B,0))),0)</f>
        <v>0</v>
      </c>
      <c r="AF26" s="100">
        <f>IFERROR(IF($A26=FALSE,0,INDEX('RPS by State'!AQ:AQ,MATCH($C26,'RPS by State'!$B:$B,0))),0)</f>
        <v>0</v>
      </c>
      <c r="AG26" s="100">
        <f>IFERROR(IF($A26=FALSE,0,INDEX('RPS by State'!AR:AR,MATCH($C26,'RPS by State'!$B:$B,0))),0)</f>
        <v>0</v>
      </c>
      <c r="AH26" s="100">
        <f>IFERROR(IF($A26=FALSE,0,INDEX('RPS by State'!AS:AS,MATCH($C26,'RPS by State'!$B:$B,0))),0)</f>
        <v>0</v>
      </c>
      <c r="AI26" s="100">
        <f>IFERROR(IF($A26=FALSE,0,INDEX('RPS by State'!AT:AT,MATCH($C26,'RPS by State'!$B:$B,0))),0)</f>
        <v>0</v>
      </c>
      <c r="AJ26" s="100">
        <f>IFERROR(IF($A26=FALSE,0,INDEX('RPS by State'!AU:AU,MATCH($C26,'RPS by State'!$B:$B,0))),0)</f>
        <v>0</v>
      </c>
      <c r="AK26" s="100">
        <f>IFERROR(IF($A26=FALSE,0,INDEX('RPS by State'!AV:AV,MATCH($C26,'RPS by State'!$B:$B,0))),0)</f>
        <v>0</v>
      </c>
      <c r="AL26" s="100">
        <f>IFERROR(IF($A26=FALSE,0,INDEX('RPS by State'!AW:AW,MATCH($C26,'RPS by State'!$B:$B,0))),0)</f>
        <v>0</v>
      </c>
      <c r="AM26" s="100">
        <f>IFERROR(IF($A26=FALSE,0,INDEX('RPS by State'!AX:AX,MATCH($C26,'RPS by State'!$B:$B,0))),0)</f>
        <v>0</v>
      </c>
      <c r="AN26" s="100">
        <f>IFERROR(IF($A26=FALSE,0,INDEX('RPS by State'!AY:AY,MATCH($C26,'RPS by State'!$B:$B,0))),0)</f>
        <v>0</v>
      </c>
      <c r="AO26" s="100">
        <f>IFERROR(IF($A26=FALSE,0,INDEX('RPS by State'!AZ:AZ,MATCH($C26,'RPS by State'!$B:$B,0))),0)</f>
        <v>0</v>
      </c>
      <c r="AP26" s="100">
        <f>IFERROR(IF($A26=FALSE,0,INDEX('RPS by State'!BA:BA,MATCH($C26,'RPS by State'!$B:$B,0))),0)</f>
        <v>0</v>
      </c>
      <c r="AQ26" s="100">
        <f>IFERROR(IF($A26=FALSE,0,INDEX('RPS by State'!BB:BB,MATCH($C26,'RPS by State'!$B:$B,0))),0)</f>
        <v>0</v>
      </c>
      <c r="AR26" s="100">
        <f>IFERROR(IF($A26=FALSE,0,INDEX('RPS by State'!BC:BC,MATCH($C26,'RPS by State'!$B:$B,0))),0)</f>
        <v>0</v>
      </c>
      <c r="AS26" s="100">
        <f>IFERROR(IF($A26=FALSE,0,INDEX('RPS by State'!BD:BD,MATCH($C26,'RPS by State'!$B:$B,0))),0)</f>
        <v>0</v>
      </c>
      <c r="AT26" s="100">
        <f>IFERROR(IF($A26=FALSE,0,INDEX('RPS by State'!BE:BE,MATCH($C26,'RPS by State'!$B:$B,0))),0)</f>
        <v>0</v>
      </c>
      <c r="AU26" s="100">
        <f>IFERROR(IF($A26=FALSE,0,INDEX('RPS by State'!BF:BF,MATCH($C26,'RPS by State'!$B:$B,0))),0)</f>
        <v>0</v>
      </c>
      <c r="AV26" s="100">
        <f>IFERROR(IF($A26=FALSE,0,INDEX('RPS by State'!BG:BG,MATCH($C26,'RPS by State'!$B:$B,0))),0)</f>
        <v>0</v>
      </c>
      <c r="AW26" s="100">
        <f>IFERROR(IF($A26=FALSE,0,INDEX('RPS by State'!BH:BH,MATCH($C26,'RPS by State'!$B:$B,0))),0)</f>
        <v>0</v>
      </c>
      <c r="AX26" s="100">
        <f>IFERROR(IF($A26=FALSE,0,INDEX('RPS by State'!BI:BI,MATCH($C26,'RPS by State'!$B:$B,0))),0)</f>
        <v>0</v>
      </c>
      <c r="AY26" s="100">
        <f>IFERROR(IF($A26=FALSE,0,INDEX('RPS by State'!BJ:BJ,MATCH($C26,'RPS by State'!$B:$B,0))),0)</f>
        <v>0</v>
      </c>
      <c r="AZ26" s="100">
        <f>IFERROR(IF($A26=FALSE,0,INDEX('RPS by State'!BK:BK,MATCH($C26,'RPS by State'!$B:$B,0))),0)</f>
        <v>0</v>
      </c>
      <c r="BA26" s="100">
        <f>IFERROR(IF($A26=FALSE,0,INDEX('RPS by State'!BL:BL,MATCH($C26,'RPS by State'!$B:$B,0))),0)</f>
        <v>0</v>
      </c>
      <c r="BB26" s="100">
        <f>IFERROR(IF($A26=FALSE,0,INDEX('RPS by State'!BM:BM,MATCH($C26,'RPS by State'!$B:$B,0))),0)</f>
        <v>0</v>
      </c>
      <c r="BC26" s="100">
        <f>IFERROR(IF($A26=FALSE,0,INDEX('RPS by State'!BN:BN,MATCH($C26,'RPS by State'!$B:$B,0))),0)</f>
        <v>0</v>
      </c>
      <c r="BD26" s="100">
        <f>IFERROR(IF($A26=FALSE,0,INDEX('RPS by State'!BO:BO,MATCH($C26,'RPS by State'!$B:$B,0))),0)</f>
        <v>0</v>
      </c>
      <c r="BE26" s="100">
        <f>IFERROR(IF($A26=FALSE,0,INDEX('RPS by State'!BP:BP,MATCH($C26,'RPS by State'!$B:$B,0))),0)</f>
        <v>0</v>
      </c>
      <c r="BF26" s="100">
        <f>IFERROR(IF($A26=FALSE,0,INDEX('RPS by State'!BQ:BQ,MATCH($C26,'RPS by State'!$B:$B,0))),0)</f>
        <v>0</v>
      </c>
      <c r="BG26" s="100">
        <f>IFERROR(IF($A26=FALSE,0,INDEX('RPS by State'!BR:BR,MATCH($C26,'RPS by State'!$B:$B,0))),0)</f>
        <v>0</v>
      </c>
      <c r="BH26" s="100">
        <f>IFERROR(IF($A26=FALSE,0,INDEX('RPS by State'!BS:BS,MATCH($C26,'RPS by State'!$B:$B,0))),0)</f>
        <v>0</v>
      </c>
      <c r="BI26" s="100">
        <f>IFERROR(IF($A26=FALSE,0,INDEX('RPS by State'!BT:BT,MATCH($C26,'RPS by State'!$B:$B,0))),0)</f>
        <v>0</v>
      </c>
      <c r="BJ26" s="100">
        <f>IFERROR(IF($A26=FALSE,0,INDEX('RPS by State'!BU:BU,MATCH($C26,'RPS by State'!$B:$B,0))),0)</f>
        <v>0</v>
      </c>
      <c r="BK26" s="100">
        <f>IFERROR(IF($A26=FALSE,0,INDEX('RPS by State'!BV:BV,MATCH($C26,'RPS by State'!$B:$B,0))),0)</f>
        <v>0</v>
      </c>
      <c r="BL26" s="100">
        <f>IFERROR(IF($A26=FALSE,0,INDEX('RPS by State'!BW:BW,MATCH($C26,'RPS by State'!$B:$B,0))),0)</f>
        <v>0</v>
      </c>
      <c r="BM26" s="100">
        <f>IFERROR(IF($A26=FALSE,0,INDEX('RPS by State'!BX:BX,MATCH($C26,'RPS by State'!$B:$B,0))),0)</f>
        <v>0</v>
      </c>
      <c r="BN26" s="100">
        <f>IFERROR(IF($A26=FALSE,0,INDEX('RPS by State'!BY:BY,MATCH($C26,'RPS by State'!$B:$B,0))),0)</f>
        <v>0</v>
      </c>
      <c r="BO26" s="100">
        <f>IFERROR(IF($A26=FALSE,0,INDEX('RPS by State'!BZ:BZ,MATCH($C26,'RPS by State'!$B:$B,0))),0)</f>
        <v>0</v>
      </c>
      <c r="BP26" s="100">
        <f>IFERROR(IF($A26=FALSE,0,INDEX('RPS by State'!CA:CA,MATCH($C26,'RPS by State'!$B:$B,0))),0)</f>
        <v>0</v>
      </c>
      <c r="BQ26" s="100">
        <f>IFERROR(IF($A26=FALSE,0,INDEX('RPS by State'!CB:CB,MATCH($C26,'RPS by State'!$B:$B,0))),0)</f>
        <v>0</v>
      </c>
      <c r="BR26" s="100">
        <f>IFERROR(IF($A26=FALSE,0,INDEX('RPS by State'!CC:CC,MATCH($C26,'RPS by State'!$B:$B,0))),0)</f>
        <v>0</v>
      </c>
      <c r="BS26" s="100">
        <f>IFERROR(IF($A26=FALSE,0,INDEX('RPS by State'!CD:CD,MATCH($C26,'RPS by State'!$B:$B,0))),0)</f>
        <v>0</v>
      </c>
      <c r="BT26" s="100">
        <f>IFERROR(IF($A26=FALSE,0,INDEX('RPS by State'!CE:CE,MATCH($C26,'RPS by State'!$B:$B,0))),0)</f>
        <v>0</v>
      </c>
      <c r="BU26" s="100">
        <f>IFERROR(IF($A26=FALSE,0,INDEX('RPS by State'!CF:CF,MATCH($C26,'RPS by State'!$B:$B,0))),0)</f>
        <v>0</v>
      </c>
      <c r="BV26" s="100">
        <f>IFERROR(IF($A26=FALSE,0,INDEX('RPS by State'!CG:CG,MATCH($C26,'RPS by State'!$B:$B,0))),0)</f>
        <v>0</v>
      </c>
      <c r="BW26" s="100">
        <f>IFERROR(IF($A26=FALSE,0,INDEX('RPS by State'!CH:CH,MATCH($C26,'RPS by State'!$B:$B,0))),0)</f>
        <v>0</v>
      </c>
      <c r="BX26" s="100">
        <f>IFERROR(IF($A26=FALSE,0,INDEX('RPS by State'!CI:CI,MATCH($C26,'RPS by State'!$B:$B,0))),0)</f>
        <v>0</v>
      </c>
      <c r="BY26" s="100">
        <f>IFERROR(IF($A26=FALSE,0,INDEX('RPS by State'!CJ:CJ,MATCH($C26,'RPS by State'!$B:$B,0))),0)</f>
        <v>0</v>
      </c>
      <c r="BZ26" s="100">
        <f>IFERROR(IF($A26=FALSE,0,INDEX('RPS by State'!CK:CK,MATCH($C26,'RPS by State'!$B:$B,0))),0)</f>
        <v>0</v>
      </c>
      <c r="CA26" s="100">
        <f>IFERROR(IF($A26=FALSE,0,INDEX('RPS by State'!CL:CL,MATCH($C26,'RPS by State'!$B:$B,0))),0)</f>
        <v>0</v>
      </c>
      <c r="CB26" s="100">
        <f>IFERROR(IF($A26=FALSE,0,INDEX('RPS by State'!CM:CM,MATCH($C26,'RPS by State'!$B:$B,0))),0)</f>
        <v>0</v>
      </c>
      <c r="CC26" s="100">
        <f>IFERROR(IF($A26=FALSE,0,INDEX('RPS by State'!CN:CN,MATCH($C26,'RPS by State'!$B:$B,0))),0)</f>
        <v>0</v>
      </c>
      <c r="CD26" s="100">
        <f>IFERROR(IF($A26=FALSE,0,INDEX('RPS by State'!CO:CO,MATCH($C26,'RPS by State'!$B:$B,0))),0)</f>
        <v>0</v>
      </c>
      <c r="CE26" s="100">
        <f>IFERROR(IF($A26=FALSE,0,INDEX('RPS by State'!CP:CP,MATCH($C26,'RPS by State'!$B:$B,0))),0)</f>
        <v>0</v>
      </c>
    </row>
    <row r="27" spans="1:83" x14ac:dyDescent="0.25">
      <c r="A27" t="b">
        <f>IFERROR(INDEX('RPS by State'!G:G,MATCH(B27,'RPS by State'!A:A,0)),0)</f>
        <v>1</v>
      </c>
      <c r="B27" s="120" t="s">
        <v>66</v>
      </c>
      <c r="C27" s="120" t="str">
        <f>IFERROR(INDEX(About!L:L,MATCH(B27,About!K:K,0)),0)</f>
        <v>MO</v>
      </c>
      <c r="D27" s="100">
        <f>IFERROR(IF($A27=FALSE,0,INDEX('RPS by State'!O:O,MATCH($C27,'RPS by State'!$B:$B,0))),0)</f>
        <v>9.3142091372905328E-2</v>
      </c>
      <c r="E27" s="100">
        <f>IFERROR(IF($A27=FALSE,0,INDEX('RPS by State'!P:P,MATCH($C27,'RPS by State'!$B:$B,0))),0)</f>
        <v>0.10160955422498763</v>
      </c>
      <c r="F27" s="100">
        <f>IFERROR(IF($A27=FALSE,0,INDEX('RPS by State'!Q:Q,MATCH($C27,'RPS by State'!$B:$B,0))),0)</f>
        <v>0.10160955422498763</v>
      </c>
      <c r="G27" s="100">
        <f>IFERROR(IF($A27=FALSE,0,INDEX('RPS by State'!R:R,MATCH($C27,'RPS by State'!$B:$B,0))),0)</f>
        <v>0.10160955422498763</v>
      </c>
      <c r="H27" s="100">
        <f>IFERROR(IF($A27=FALSE,0,INDEX('RPS by State'!S:S,MATCH($C27,'RPS by State'!$B:$B,0))),0)</f>
        <v>0.10160955422498763</v>
      </c>
      <c r="I27" s="100">
        <f>IFERROR(IF($A27=FALSE,0,INDEX('RPS by State'!T:T,MATCH($C27,'RPS by State'!$B:$B,0))),0)</f>
        <v>0.10160955422498763</v>
      </c>
      <c r="J27" s="100">
        <f>IFERROR(IF($A27=FALSE,0,INDEX('RPS by State'!U:U,MATCH($C27,'RPS by State'!$B:$B,0))),0)</f>
        <v>0.10160955422498763</v>
      </c>
      <c r="K27" s="100">
        <f>IFERROR(IF($A27=FALSE,0,INDEX('RPS by State'!V:V,MATCH($C27,'RPS by State'!$B:$B,0))),0)</f>
        <v>0.10160955422498763</v>
      </c>
      <c r="L27" s="100">
        <f>IFERROR(IF($A27=FALSE,0,INDEX('RPS by State'!W:W,MATCH($C27,'RPS by State'!$B:$B,0))),0)</f>
        <v>0.10160955422498763</v>
      </c>
      <c r="M27" s="100">
        <f>IFERROR(IF($A27=FALSE,0,INDEX('RPS by State'!X:X,MATCH($C27,'RPS by State'!$B:$B,0))),0)</f>
        <v>0.10160955422498763</v>
      </c>
      <c r="N27" s="100">
        <f>IFERROR(IF($A27=FALSE,0,INDEX('RPS by State'!Y:Y,MATCH($C27,'RPS by State'!$B:$B,0))),0)</f>
        <v>0.10160955422498763</v>
      </c>
      <c r="O27" s="100">
        <f>IFERROR(IF($A27=FALSE,0,INDEX('RPS by State'!Z:Z,MATCH($C27,'RPS by State'!$B:$B,0))),0)</f>
        <v>0.10160955422498763</v>
      </c>
      <c r="P27" s="100">
        <f>IFERROR(IF($A27=FALSE,0,INDEX('RPS by State'!AA:AA,MATCH($C27,'RPS by State'!$B:$B,0))),0)</f>
        <v>0.10160955422498763</v>
      </c>
      <c r="Q27" s="100">
        <f>IFERROR(IF($A27=FALSE,0,INDEX('RPS by State'!AB:AB,MATCH($C27,'RPS by State'!$B:$B,0))),0)</f>
        <v>0.10160955422498763</v>
      </c>
      <c r="R27" s="100">
        <f>IFERROR(IF($A27=FALSE,0,INDEX('RPS by State'!AC:AC,MATCH($C27,'RPS by State'!$B:$B,0))),0)</f>
        <v>0.10160955422498763</v>
      </c>
      <c r="S27" s="100">
        <f>IFERROR(IF($A27=FALSE,0,INDEX('RPS by State'!AD:AD,MATCH($C27,'RPS by State'!$B:$B,0))),0)</f>
        <v>0.10160955422498763</v>
      </c>
      <c r="T27" s="100">
        <f>IFERROR(IF($A27=FALSE,0,INDEX('RPS by State'!AE:AE,MATCH($C27,'RPS by State'!$B:$B,0))),0)</f>
        <v>0.10160955422498763</v>
      </c>
      <c r="U27" s="100">
        <f>IFERROR(IF($A27=FALSE,0,INDEX('RPS by State'!AF:AF,MATCH($C27,'RPS by State'!$B:$B,0))),0)</f>
        <v>0.10160955422498763</v>
      </c>
      <c r="V27" s="100">
        <f>IFERROR(IF($A27=FALSE,0,INDEX('RPS by State'!AG:AG,MATCH($C27,'RPS by State'!$B:$B,0))),0)</f>
        <v>0.10160955422498763</v>
      </c>
      <c r="W27" s="100">
        <f>IFERROR(IF($A27=FALSE,0,INDEX('RPS by State'!AH:AH,MATCH($C27,'RPS by State'!$B:$B,0))),0)</f>
        <v>0.10160955422498763</v>
      </c>
      <c r="X27" s="100">
        <f>IFERROR(IF($A27=FALSE,0,INDEX('RPS by State'!AI:AI,MATCH($C27,'RPS by State'!$B:$B,0))),0)</f>
        <v>0.10160955422498763</v>
      </c>
      <c r="Y27" s="100">
        <f>IFERROR(IF($A27=FALSE,0,INDEX('RPS by State'!AJ:AJ,MATCH($C27,'RPS by State'!$B:$B,0))),0)</f>
        <v>0.10160955422498763</v>
      </c>
      <c r="Z27" s="100">
        <f>IFERROR(IF($A27=FALSE,0,INDEX('RPS by State'!AK:AK,MATCH($C27,'RPS by State'!$B:$B,0))),0)</f>
        <v>0.10160955422498763</v>
      </c>
      <c r="AA27" s="100">
        <f>IFERROR(IF($A27=FALSE,0,INDEX('RPS by State'!AL:AL,MATCH($C27,'RPS by State'!$B:$B,0))),0)</f>
        <v>0.10160955422498763</v>
      </c>
      <c r="AB27" s="100">
        <f>IFERROR(IF($A27=FALSE,0,INDEX('RPS by State'!AM:AM,MATCH($C27,'RPS by State'!$B:$B,0))),0)</f>
        <v>0.10160955422498763</v>
      </c>
      <c r="AC27" s="100">
        <f>IFERROR(IF($A27=FALSE,0,INDEX('RPS by State'!AN:AN,MATCH($C27,'RPS by State'!$B:$B,0))),0)</f>
        <v>0.10160955422498763</v>
      </c>
      <c r="AD27" s="100">
        <f>IFERROR(IF($A27=FALSE,0,INDEX('RPS by State'!AO:AO,MATCH($C27,'RPS by State'!$B:$B,0))),0)</f>
        <v>0.10160955422498763</v>
      </c>
      <c r="AE27" s="100">
        <f>IFERROR(IF($A27=FALSE,0,INDEX('RPS by State'!AP:AP,MATCH($C27,'RPS by State'!$B:$B,0))),0)</f>
        <v>0.10160955422498763</v>
      </c>
      <c r="AF27" s="100">
        <f>IFERROR(IF($A27=FALSE,0,INDEX('RPS by State'!AQ:AQ,MATCH($C27,'RPS by State'!$B:$B,0))),0)</f>
        <v>0.10160955422498763</v>
      </c>
      <c r="AG27" s="100">
        <f>IFERROR(IF($A27=FALSE,0,INDEX('RPS by State'!AR:AR,MATCH($C27,'RPS by State'!$B:$B,0))),0)</f>
        <v>0.10160955422498763</v>
      </c>
      <c r="AH27" s="100">
        <f>IFERROR(IF($A27=FALSE,0,INDEX('RPS by State'!AS:AS,MATCH($C27,'RPS by State'!$B:$B,0))),0)</f>
        <v>0</v>
      </c>
      <c r="AI27" s="100">
        <f>IFERROR(IF($A27=FALSE,0,INDEX('RPS by State'!AT:AT,MATCH($C27,'RPS by State'!$B:$B,0))),0)</f>
        <v>0</v>
      </c>
      <c r="AJ27" s="100">
        <f>IFERROR(IF($A27=FALSE,0,INDEX('RPS by State'!AU:AU,MATCH($C27,'RPS by State'!$B:$B,0))),0)</f>
        <v>0</v>
      </c>
      <c r="AK27" s="100">
        <f>IFERROR(IF($A27=FALSE,0,INDEX('RPS by State'!AV:AV,MATCH($C27,'RPS by State'!$B:$B,0))),0)</f>
        <v>0</v>
      </c>
      <c r="AL27" s="100">
        <f>IFERROR(IF($A27=FALSE,0,INDEX('RPS by State'!AW:AW,MATCH($C27,'RPS by State'!$B:$B,0))),0)</f>
        <v>0</v>
      </c>
      <c r="AM27" s="100">
        <f>IFERROR(IF($A27=FALSE,0,INDEX('RPS by State'!AX:AX,MATCH($C27,'RPS by State'!$B:$B,0))),0)</f>
        <v>0</v>
      </c>
      <c r="AN27" s="100">
        <f>IFERROR(IF($A27=FALSE,0,INDEX('RPS by State'!AY:AY,MATCH($C27,'RPS by State'!$B:$B,0))),0)</f>
        <v>0</v>
      </c>
      <c r="AO27" s="100">
        <f>IFERROR(IF($A27=FALSE,0,INDEX('RPS by State'!AZ:AZ,MATCH($C27,'RPS by State'!$B:$B,0))),0)</f>
        <v>0</v>
      </c>
      <c r="AP27" s="100">
        <f>IFERROR(IF($A27=FALSE,0,INDEX('RPS by State'!BA:BA,MATCH($C27,'RPS by State'!$B:$B,0))),0)</f>
        <v>0</v>
      </c>
      <c r="AQ27" s="100">
        <f>IFERROR(IF($A27=FALSE,0,INDEX('RPS by State'!BB:BB,MATCH($C27,'RPS by State'!$B:$B,0))),0)</f>
        <v>0</v>
      </c>
      <c r="AR27" s="100">
        <f>IFERROR(IF($A27=FALSE,0,INDEX('RPS by State'!BC:BC,MATCH($C27,'RPS by State'!$B:$B,0))),0)</f>
        <v>0</v>
      </c>
      <c r="AS27" s="100">
        <f>IFERROR(IF($A27=FALSE,0,INDEX('RPS by State'!BD:BD,MATCH($C27,'RPS by State'!$B:$B,0))),0)</f>
        <v>0</v>
      </c>
      <c r="AT27" s="100">
        <f>IFERROR(IF($A27=FALSE,0,INDEX('RPS by State'!BE:BE,MATCH($C27,'RPS by State'!$B:$B,0))),0)</f>
        <v>0</v>
      </c>
      <c r="AU27" s="100">
        <f>IFERROR(IF($A27=FALSE,0,INDEX('RPS by State'!BF:BF,MATCH($C27,'RPS by State'!$B:$B,0))),0)</f>
        <v>0</v>
      </c>
      <c r="AV27" s="100">
        <f>IFERROR(IF($A27=FALSE,0,INDEX('RPS by State'!BG:BG,MATCH($C27,'RPS by State'!$B:$B,0))),0)</f>
        <v>0</v>
      </c>
      <c r="AW27" s="100">
        <f>IFERROR(IF($A27=FALSE,0,INDEX('RPS by State'!BH:BH,MATCH($C27,'RPS by State'!$B:$B,0))),0)</f>
        <v>0</v>
      </c>
      <c r="AX27" s="100">
        <f>IFERROR(IF($A27=FALSE,0,INDEX('RPS by State'!BI:BI,MATCH($C27,'RPS by State'!$B:$B,0))),0)</f>
        <v>0</v>
      </c>
      <c r="AY27" s="100">
        <f>IFERROR(IF($A27=FALSE,0,INDEX('RPS by State'!BJ:BJ,MATCH($C27,'RPS by State'!$B:$B,0))),0)</f>
        <v>0</v>
      </c>
      <c r="AZ27" s="100">
        <f>IFERROR(IF($A27=FALSE,0,INDEX('RPS by State'!BK:BK,MATCH($C27,'RPS by State'!$B:$B,0))),0)</f>
        <v>0</v>
      </c>
      <c r="BA27" s="100">
        <f>IFERROR(IF($A27=FALSE,0,INDEX('RPS by State'!BL:BL,MATCH($C27,'RPS by State'!$B:$B,0))),0)</f>
        <v>0</v>
      </c>
      <c r="BB27" s="100">
        <f>IFERROR(IF($A27=FALSE,0,INDEX('RPS by State'!BM:BM,MATCH($C27,'RPS by State'!$B:$B,0))),0)</f>
        <v>0</v>
      </c>
      <c r="BC27" s="100">
        <f>IFERROR(IF($A27=FALSE,0,INDEX('RPS by State'!BN:BN,MATCH($C27,'RPS by State'!$B:$B,0))),0)</f>
        <v>0</v>
      </c>
      <c r="BD27" s="100">
        <f>IFERROR(IF($A27=FALSE,0,INDEX('RPS by State'!BO:BO,MATCH($C27,'RPS by State'!$B:$B,0))),0)</f>
        <v>0</v>
      </c>
      <c r="BE27" s="100">
        <f>IFERROR(IF($A27=FALSE,0,INDEX('RPS by State'!BP:BP,MATCH($C27,'RPS by State'!$B:$B,0))),0)</f>
        <v>0</v>
      </c>
      <c r="BF27" s="100">
        <f>IFERROR(IF($A27=FALSE,0,INDEX('RPS by State'!BQ:BQ,MATCH($C27,'RPS by State'!$B:$B,0))),0)</f>
        <v>0</v>
      </c>
      <c r="BG27" s="100">
        <f>IFERROR(IF($A27=FALSE,0,INDEX('RPS by State'!BR:BR,MATCH($C27,'RPS by State'!$B:$B,0))),0)</f>
        <v>0</v>
      </c>
      <c r="BH27" s="100">
        <f>IFERROR(IF($A27=FALSE,0,INDEX('RPS by State'!BS:BS,MATCH($C27,'RPS by State'!$B:$B,0))),0)</f>
        <v>0</v>
      </c>
      <c r="BI27" s="100">
        <f>IFERROR(IF($A27=FALSE,0,INDEX('RPS by State'!BT:BT,MATCH($C27,'RPS by State'!$B:$B,0))),0)</f>
        <v>0</v>
      </c>
      <c r="BJ27" s="100">
        <f>IFERROR(IF($A27=FALSE,0,INDEX('RPS by State'!BU:BU,MATCH($C27,'RPS by State'!$B:$B,0))),0)</f>
        <v>0</v>
      </c>
      <c r="BK27" s="100">
        <f>IFERROR(IF($A27=FALSE,0,INDEX('RPS by State'!BV:BV,MATCH($C27,'RPS by State'!$B:$B,0))),0)</f>
        <v>0</v>
      </c>
      <c r="BL27" s="100">
        <f>IFERROR(IF($A27=FALSE,0,INDEX('RPS by State'!BW:BW,MATCH($C27,'RPS by State'!$B:$B,0))),0)</f>
        <v>0</v>
      </c>
      <c r="BM27" s="100">
        <f>IFERROR(IF($A27=FALSE,0,INDEX('RPS by State'!BX:BX,MATCH($C27,'RPS by State'!$B:$B,0))),0)</f>
        <v>0</v>
      </c>
      <c r="BN27" s="100">
        <f>IFERROR(IF($A27=FALSE,0,INDEX('RPS by State'!BY:BY,MATCH($C27,'RPS by State'!$B:$B,0))),0)</f>
        <v>0</v>
      </c>
      <c r="BO27" s="100">
        <f>IFERROR(IF($A27=FALSE,0,INDEX('RPS by State'!BZ:BZ,MATCH($C27,'RPS by State'!$B:$B,0))),0)</f>
        <v>0</v>
      </c>
      <c r="BP27" s="100">
        <f>IFERROR(IF($A27=FALSE,0,INDEX('RPS by State'!CA:CA,MATCH($C27,'RPS by State'!$B:$B,0))),0)</f>
        <v>0</v>
      </c>
      <c r="BQ27" s="100">
        <f>IFERROR(IF($A27=FALSE,0,INDEX('RPS by State'!CB:CB,MATCH($C27,'RPS by State'!$B:$B,0))),0)</f>
        <v>0</v>
      </c>
      <c r="BR27" s="100">
        <f>IFERROR(IF($A27=FALSE,0,INDEX('RPS by State'!CC:CC,MATCH($C27,'RPS by State'!$B:$B,0))),0)</f>
        <v>0</v>
      </c>
      <c r="BS27" s="100">
        <f>IFERROR(IF($A27=FALSE,0,INDEX('RPS by State'!CD:CD,MATCH($C27,'RPS by State'!$B:$B,0))),0)</f>
        <v>0</v>
      </c>
      <c r="BT27" s="100">
        <f>IFERROR(IF($A27=FALSE,0,INDEX('RPS by State'!CE:CE,MATCH($C27,'RPS by State'!$B:$B,0))),0)</f>
        <v>0</v>
      </c>
      <c r="BU27" s="100">
        <f>IFERROR(IF($A27=FALSE,0,INDEX('RPS by State'!CF:CF,MATCH($C27,'RPS by State'!$B:$B,0))),0)</f>
        <v>0</v>
      </c>
      <c r="BV27" s="100">
        <f>IFERROR(IF($A27=FALSE,0,INDEX('RPS by State'!CG:CG,MATCH($C27,'RPS by State'!$B:$B,0))),0)</f>
        <v>0</v>
      </c>
      <c r="BW27" s="100">
        <f>IFERROR(IF($A27=FALSE,0,INDEX('RPS by State'!CH:CH,MATCH($C27,'RPS by State'!$B:$B,0))),0)</f>
        <v>0</v>
      </c>
      <c r="BX27" s="100">
        <f>IFERROR(IF($A27=FALSE,0,INDEX('RPS by State'!CI:CI,MATCH($C27,'RPS by State'!$B:$B,0))),0)</f>
        <v>0</v>
      </c>
      <c r="BY27" s="100">
        <f>IFERROR(IF($A27=FALSE,0,INDEX('RPS by State'!CJ:CJ,MATCH($C27,'RPS by State'!$B:$B,0))),0)</f>
        <v>0</v>
      </c>
      <c r="BZ27" s="100">
        <f>IFERROR(IF($A27=FALSE,0,INDEX('RPS by State'!CK:CK,MATCH($C27,'RPS by State'!$B:$B,0))),0)</f>
        <v>0</v>
      </c>
      <c r="CA27" s="100">
        <f>IFERROR(IF($A27=FALSE,0,INDEX('RPS by State'!CL:CL,MATCH($C27,'RPS by State'!$B:$B,0))),0)</f>
        <v>0</v>
      </c>
      <c r="CB27" s="100">
        <f>IFERROR(IF($A27=FALSE,0,INDEX('RPS by State'!CM:CM,MATCH($C27,'RPS by State'!$B:$B,0))),0)</f>
        <v>0</v>
      </c>
      <c r="CC27" s="100">
        <f>IFERROR(IF($A27=FALSE,0,INDEX('RPS by State'!CN:CN,MATCH($C27,'RPS by State'!$B:$B,0))),0)</f>
        <v>0</v>
      </c>
      <c r="CD27" s="100">
        <f>IFERROR(IF($A27=FALSE,0,INDEX('RPS by State'!CO:CO,MATCH($C27,'RPS by State'!$B:$B,0))),0)</f>
        <v>0</v>
      </c>
      <c r="CE27" s="100">
        <f>IFERROR(IF($A27=FALSE,0,INDEX('RPS by State'!CP:CP,MATCH($C27,'RPS by State'!$B:$B,0))),0)</f>
        <v>0</v>
      </c>
    </row>
    <row r="28" spans="1:83" x14ac:dyDescent="0.25">
      <c r="A28" t="b">
        <f>IFERROR(INDEX('RPS by State'!G:G,MATCH(B28,'RPS by State'!A:A,0)),0)</f>
        <v>0</v>
      </c>
      <c r="B28" s="120" t="s">
        <v>69</v>
      </c>
      <c r="C28" s="120" t="str">
        <f>IFERROR(INDEX(About!L:L,MATCH(B28,About!K:K,0)),0)</f>
        <v>MT</v>
      </c>
      <c r="D28" s="100">
        <f>IFERROR(IF($A28=FALSE,0,INDEX('RPS by State'!O:O,MATCH($C28,'RPS by State'!$B:$B,0))),0)</f>
        <v>0</v>
      </c>
      <c r="E28" s="100">
        <f>IFERROR(IF($A28=FALSE,0,INDEX('RPS by State'!P:P,MATCH($C28,'RPS by State'!$B:$B,0))),0)</f>
        <v>0</v>
      </c>
      <c r="F28" s="100">
        <f>IFERROR(IF($A28=FALSE,0,INDEX('RPS by State'!Q:Q,MATCH($C28,'RPS by State'!$B:$B,0))),0)</f>
        <v>0</v>
      </c>
      <c r="G28" s="100">
        <f>IFERROR(IF($A28=FALSE,0,INDEX('RPS by State'!R:R,MATCH($C28,'RPS by State'!$B:$B,0))),0)</f>
        <v>0</v>
      </c>
      <c r="H28" s="100">
        <f>IFERROR(IF($A28=FALSE,0,INDEX('RPS by State'!S:S,MATCH($C28,'RPS by State'!$B:$B,0))),0)</f>
        <v>0</v>
      </c>
      <c r="I28" s="100">
        <f>IFERROR(IF($A28=FALSE,0,INDEX('RPS by State'!T:T,MATCH($C28,'RPS by State'!$B:$B,0))),0)</f>
        <v>0</v>
      </c>
      <c r="J28" s="100">
        <f>IFERROR(IF($A28=FALSE,0,INDEX('RPS by State'!U:U,MATCH($C28,'RPS by State'!$B:$B,0))),0)</f>
        <v>0</v>
      </c>
      <c r="K28" s="100">
        <f>IFERROR(IF($A28=FALSE,0,INDEX('RPS by State'!V:V,MATCH($C28,'RPS by State'!$B:$B,0))),0)</f>
        <v>0</v>
      </c>
      <c r="L28" s="100">
        <f>IFERROR(IF($A28=FALSE,0,INDEX('RPS by State'!W:W,MATCH($C28,'RPS by State'!$B:$B,0))),0)</f>
        <v>0</v>
      </c>
      <c r="M28" s="100">
        <f>IFERROR(IF($A28=FALSE,0,INDEX('RPS by State'!X:X,MATCH($C28,'RPS by State'!$B:$B,0))),0)</f>
        <v>0</v>
      </c>
      <c r="N28" s="100">
        <f>IFERROR(IF($A28=FALSE,0,INDEX('RPS by State'!Y:Y,MATCH($C28,'RPS by State'!$B:$B,0))),0)</f>
        <v>0</v>
      </c>
      <c r="O28" s="100">
        <f>IFERROR(IF($A28=FALSE,0,INDEX('RPS by State'!Z:Z,MATCH($C28,'RPS by State'!$B:$B,0))),0)</f>
        <v>0</v>
      </c>
      <c r="P28" s="100">
        <f>IFERROR(IF($A28=FALSE,0,INDEX('RPS by State'!AA:AA,MATCH($C28,'RPS by State'!$B:$B,0))),0)</f>
        <v>0</v>
      </c>
      <c r="Q28" s="100">
        <f>IFERROR(IF($A28=FALSE,0,INDEX('RPS by State'!AB:AB,MATCH($C28,'RPS by State'!$B:$B,0))),0)</f>
        <v>0</v>
      </c>
      <c r="R28" s="100">
        <f>IFERROR(IF($A28=FALSE,0,INDEX('RPS by State'!AC:AC,MATCH($C28,'RPS by State'!$B:$B,0))),0)</f>
        <v>0</v>
      </c>
      <c r="S28" s="100">
        <f>IFERROR(IF($A28=FALSE,0,INDEX('RPS by State'!AD:AD,MATCH($C28,'RPS by State'!$B:$B,0))),0)</f>
        <v>0</v>
      </c>
      <c r="T28" s="100">
        <f>IFERROR(IF($A28=FALSE,0,INDEX('RPS by State'!AE:AE,MATCH($C28,'RPS by State'!$B:$B,0))),0)</f>
        <v>0</v>
      </c>
      <c r="U28" s="100">
        <f>IFERROR(IF($A28=FALSE,0,INDEX('RPS by State'!AF:AF,MATCH($C28,'RPS by State'!$B:$B,0))),0)</f>
        <v>0</v>
      </c>
      <c r="V28" s="100">
        <f>IFERROR(IF($A28=FALSE,0,INDEX('RPS by State'!AG:AG,MATCH($C28,'RPS by State'!$B:$B,0))),0)</f>
        <v>0</v>
      </c>
      <c r="W28" s="100">
        <f>IFERROR(IF($A28=FALSE,0,INDEX('RPS by State'!AH:AH,MATCH($C28,'RPS by State'!$B:$B,0))),0)</f>
        <v>0</v>
      </c>
      <c r="X28" s="100">
        <f>IFERROR(IF($A28=FALSE,0,INDEX('RPS by State'!AI:AI,MATCH($C28,'RPS by State'!$B:$B,0))),0)</f>
        <v>0</v>
      </c>
      <c r="Y28" s="100">
        <f>IFERROR(IF($A28=FALSE,0,INDEX('RPS by State'!AJ:AJ,MATCH($C28,'RPS by State'!$B:$B,0))),0)</f>
        <v>0</v>
      </c>
      <c r="Z28" s="100">
        <f>IFERROR(IF($A28=FALSE,0,INDEX('RPS by State'!AK:AK,MATCH($C28,'RPS by State'!$B:$B,0))),0)</f>
        <v>0</v>
      </c>
      <c r="AA28" s="100">
        <f>IFERROR(IF($A28=FALSE,0,INDEX('RPS by State'!AL:AL,MATCH($C28,'RPS by State'!$B:$B,0))),0)</f>
        <v>0</v>
      </c>
      <c r="AB28" s="100">
        <f>IFERROR(IF($A28=FALSE,0,INDEX('RPS by State'!AM:AM,MATCH($C28,'RPS by State'!$B:$B,0))),0)</f>
        <v>0</v>
      </c>
      <c r="AC28" s="100">
        <f>IFERROR(IF($A28=FALSE,0,INDEX('RPS by State'!AN:AN,MATCH($C28,'RPS by State'!$B:$B,0))),0)</f>
        <v>0</v>
      </c>
      <c r="AD28" s="100">
        <f>IFERROR(IF($A28=FALSE,0,INDEX('RPS by State'!AO:AO,MATCH($C28,'RPS by State'!$B:$B,0))),0)</f>
        <v>0</v>
      </c>
      <c r="AE28" s="100">
        <f>IFERROR(IF($A28=FALSE,0,INDEX('RPS by State'!AP:AP,MATCH($C28,'RPS by State'!$B:$B,0))),0)</f>
        <v>0</v>
      </c>
      <c r="AF28" s="100">
        <f>IFERROR(IF($A28=FALSE,0,INDEX('RPS by State'!AQ:AQ,MATCH($C28,'RPS by State'!$B:$B,0))),0)</f>
        <v>0</v>
      </c>
      <c r="AG28" s="100">
        <f>IFERROR(IF($A28=FALSE,0,INDEX('RPS by State'!AR:AR,MATCH($C28,'RPS by State'!$B:$B,0))),0)</f>
        <v>0</v>
      </c>
      <c r="AH28" s="100">
        <f>IFERROR(IF($A28=FALSE,0,INDEX('RPS by State'!AS:AS,MATCH($C28,'RPS by State'!$B:$B,0))),0)</f>
        <v>0</v>
      </c>
      <c r="AI28" s="100">
        <f>IFERROR(IF($A28=FALSE,0,INDEX('RPS by State'!AT:AT,MATCH($C28,'RPS by State'!$B:$B,0))),0)</f>
        <v>0</v>
      </c>
      <c r="AJ28" s="100">
        <f>IFERROR(IF($A28=FALSE,0,INDEX('RPS by State'!AU:AU,MATCH($C28,'RPS by State'!$B:$B,0))),0)</f>
        <v>0</v>
      </c>
      <c r="AK28" s="100">
        <f>IFERROR(IF($A28=FALSE,0,INDEX('RPS by State'!AV:AV,MATCH($C28,'RPS by State'!$B:$B,0))),0)</f>
        <v>0</v>
      </c>
      <c r="AL28" s="100">
        <f>IFERROR(IF($A28=FALSE,0,INDEX('RPS by State'!AW:AW,MATCH($C28,'RPS by State'!$B:$B,0))),0)</f>
        <v>0</v>
      </c>
      <c r="AM28" s="100">
        <f>IFERROR(IF($A28=FALSE,0,INDEX('RPS by State'!AX:AX,MATCH($C28,'RPS by State'!$B:$B,0))),0)</f>
        <v>0</v>
      </c>
      <c r="AN28" s="100">
        <f>IFERROR(IF($A28=FALSE,0,INDEX('RPS by State'!AY:AY,MATCH($C28,'RPS by State'!$B:$B,0))),0)</f>
        <v>0</v>
      </c>
      <c r="AO28" s="100">
        <f>IFERROR(IF($A28=FALSE,0,INDEX('RPS by State'!AZ:AZ,MATCH($C28,'RPS by State'!$B:$B,0))),0)</f>
        <v>0</v>
      </c>
      <c r="AP28" s="100">
        <f>IFERROR(IF($A28=FALSE,0,INDEX('RPS by State'!BA:BA,MATCH($C28,'RPS by State'!$B:$B,0))),0)</f>
        <v>0</v>
      </c>
      <c r="AQ28" s="100">
        <f>IFERROR(IF($A28=FALSE,0,INDEX('RPS by State'!BB:BB,MATCH($C28,'RPS by State'!$B:$B,0))),0)</f>
        <v>0</v>
      </c>
      <c r="AR28" s="100">
        <f>IFERROR(IF($A28=FALSE,0,INDEX('RPS by State'!BC:BC,MATCH($C28,'RPS by State'!$B:$B,0))),0)</f>
        <v>0</v>
      </c>
      <c r="AS28" s="100">
        <f>IFERROR(IF($A28=FALSE,0,INDEX('RPS by State'!BD:BD,MATCH($C28,'RPS by State'!$B:$B,0))),0)</f>
        <v>0</v>
      </c>
      <c r="AT28" s="100">
        <f>IFERROR(IF($A28=FALSE,0,INDEX('RPS by State'!BE:BE,MATCH($C28,'RPS by State'!$B:$B,0))),0)</f>
        <v>0</v>
      </c>
      <c r="AU28" s="100">
        <f>IFERROR(IF($A28=FALSE,0,INDEX('RPS by State'!BF:BF,MATCH($C28,'RPS by State'!$B:$B,0))),0)</f>
        <v>0</v>
      </c>
      <c r="AV28" s="100">
        <f>IFERROR(IF($A28=FALSE,0,INDEX('RPS by State'!BG:BG,MATCH($C28,'RPS by State'!$B:$B,0))),0)</f>
        <v>0</v>
      </c>
      <c r="AW28" s="100">
        <f>IFERROR(IF($A28=FALSE,0,INDEX('RPS by State'!BH:BH,MATCH($C28,'RPS by State'!$B:$B,0))),0)</f>
        <v>0</v>
      </c>
      <c r="AX28" s="100">
        <f>IFERROR(IF($A28=FALSE,0,INDEX('RPS by State'!BI:BI,MATCH($C28,'RPS by State'!$B:$B,0))),0)</f>
        <v>0</v>
      </c>
      <c r="AY28" s="100">
        <f>IFERROR(IF($A28=FALSE,0,INDEX('RPS by State'!BJ:BJ,MATCH($C28,'RPS by State'!$B:$B,0))),0)</f>
        <v>0</v>
      </c>
      <c r="AZ28" s="100">
        <f>IFERROR(IF($A28=FALSE,0,INDEX('RPS by State'!BK:BK,MATCH($C28,'RPS by State'!$B:$B,0))),0)</f>
        <v>0</v>
      </c>
      <c r="BA28" s="100">
        <f>IFERROR(IF($A28=FALSE,0,INDEX('RPS by State'!BL:BL,MATCH($C28,'RPS by State'!$B:$B,0))),0)</f>
        <v>0</v>
      </c>
      <c r="BB28" s="100">
        <f>IFERROR(IF($A28=FALSE,0,INDEX('RPS by State'!BM:BM,MATCH($C28,'RPS by State'!$B:$B,0))),0)</f>
        <v>0</v>
      </c>
      <c r="BC28" s="100">
        <f>IFERROR(IF($A28=FALSE,0,INDEX('RPS by State'!BN:BN,MATCH($C28,'RPS by State'!$B:$B,0))),0)</f>
        <v>0</v>
      </c>
      <c r="BD28" s="100">
        <f>IFERROR(IF($A28=FALSE,0,INDEX('RPS by State'!BO:BO,MATCH($C28,'RPS by State'!$B:$B,0))),0)</f>
        <v>0</v>
      </c>
      <c r="BE28" s="100">
        <f>IFERROR(IF($A28=FALSE,0,INDEX('RPS by State'!BP:BP,MATCH($C28,'RPS by State'!$B:$B,0))),0)</f>
        <v>0</v>
      </c>
      <c r="BF28" s="100">
        <f>IFERROR(IF($A28=FALSE,0,INDEX('RPS by State'!BQ:BQ,MATCH($C28,'RPS by State'!$B:$B,0))),0)</f>
        <v>0</v>
      </c>
      <c r="BG28" s="100">
        <f>IFERROR(IF($A28=FALSE,0,INDEX('RPS by State'!BR:BR,MATCH($C28,'RPS by State'!$B:$B,0))),0)</f>
        <v>0</v>
      </c>
      <c r="BH28" s="100">
        <f>IFERROR(IF($A28=FALSE,0,INDEX('RPS by State'!BS:BS,MATCH($C28,'RPS by State'!$B:$B,0))),0)</f>
        <v>0</v>
      </c>
      <c r="BI28" s="100">
        <f>IFERROR(IF($A28=FALSE,0,INDEX('RPS by State'!BT:BT,MATCH($C28,'RPS by State'!$B:$B,0))),0)</f>
        <v>0</v>
      </c>
      <c r="BJ28" s="100">
        <f>IFERROR(IF($A28=FALSE,0,INDEX('RPS by State'!BU:BU,MATCH($C28,'RPS by State'!$B:$B,0))),0)</f>
        <v>0</v>
      </c>
      <c r="BK28" s="100">
        <f>IFERROR(IF($A28=FALSE,0,INDEX('RPS by State'!BV:BV,MATCH($C28,'RPS by State'!$B:$B,0))),0)</f>
        <v>0</v>
      </c>
      <c r="BL28" s="100">
        <f>IFERROR(IF($A28=FALSE,0,INDEX('RPS by State'!BW:BW,MATCH($C28,'RPS by State'!$B:$B,0))),0)</f>
        <v>0</v>
      </c>
      <c r="BM28" s="100">
        <f>IFERROR(IF($A28=FALSE,0,INDEX('RPS by State'!BX:BX,MATCH($C28,'RPS by State'!$B:$B,0))),0)</f>
        <v>0</v>
      </c>
      <c r="BN28" s="100">
        <f>IFERROR(IF($A28=FALSE,0,INDEX('RPS by State'!BY:BY,MATCH($C28,'RPS by State'!$B:$B,0))),0)</f>
        <v>0</v>
      </c>
      <c r="BO28" s="100">
        <f>IFERROR(IF($A28=FALSE,0,INDEX('RPS by State'!BZ:BZ,MATCH($C28,'RPS by State'!$B:$B,0))),0)</f>
        <v>0</v>
      </c>
      <c r="BP28" s="100">
        <f>IFERROR(IF($A28=FALSE,0,INDEX('RPS by State'!CA:CA,MATCH($C28,'RPS by State'!$B:$B,0))),0)</f>
        <v>0</v>
      </c>
      <c r="BQ28" s="100">
        <f>IFERROR(IF($A28=FALSE,0,INDEX('RPS by State'!CB:CB,MATCH($C28,'RPS by State'!$B:$B,0))),0)</f>
        <v>0</v>
      </c>
      <c r="BR28" s="100">
        <f>IFERROR(IF($A28=FALSE,0,INDEX('RPS by State'!CC:CC,MATCH($C28,'RPS by State'!$B:$B,0))),0)</f>
        <v>0</v>
      </c>
      <c r="BS28" s="100">
        <f>IFERROR(IF($A28=FALSE,0,INDEX('RPS by State'!CD:CD,MATCH($C28,'RPS by State'!$B:$B,0))),0)</f>
        <v>0</v>
      </c>
      <c r="BT28" s="100">
        <f>IFERROR(IF($A28=FALSE,0,INDEX('RPS by State'!CE:CE,MATCH($C28,'RPS by State'!$B:$B,0))),0)</f>
        <v>0</v>
      </c>
      <c r="BU28" s="100">
        <f>IFERROR(IF($A28=FALSE,0,INDEX('RPS by State'!CF:CF,MATCH($C28,'RPS by State'!$B:$B,0))),0)</f>
        <v>0</v>
      </c>
      <c r="BV28" s="100">
        <f>IFERROR(IF($A28=FALSE,0,INDEX('RPS by State'!CG:CG,MATCH($C28,'RPS by State'!$B:$B,0))),0)</f>
        <v>0</v>
      </c>
      <c r="BW28" s="100">
        <f>IFERROR(IF($A28=FALSE,0,INDEX('RPS by State'!CH:CH,MATCH($C28,'RPS by State'!$B:$B,0))),0)</f>
        <v>0</v>
      </c>
      <c r="BX28" s="100">
        <f>IFERROR(IF($A28=FALSE,0,INDEX('RPS by State'!CI:CI,MATCH($C28,'RPS by State'!$B:$B,0))),0)</f>
        <v>0</v>
      </c>
      <c r="BY28" s="100">
        <f>IFERROR(IF($A28=FALSE,0,INDEX('RPS by State'!CJ:CJ,MATCH($C28,'RPS by State'!$B:$B,0))),0)</f>
        <v>0</v>
      </c>
      <c r="BZ28" s="100">
        <f>IFERROR(IF($A28=FALSE,0,INDEX('RPS by State'!CK:CK,MATCH($C28,'RPS by State'!$B:$B,0))),0)</f>
        <v>0</v>
      </c>
      <c r="CA28" s="100">
        <f>IFERROR(IF($A28=FALSE,0,INDEX('RPS by State'!CL:CL,MATCH($C28,'RPS by State'!$B:$B,0))),0)</f>
        <v>0</v>
      </c>
      <c r="CB28" s="100">
        <f>IFERROR(IF($A28=FALSE,0,INDEX('RPS by State'!CM:CM,MATCH($C28,'RPS by State'!$B:$B,0))),0)</f>
        <v>0</v>
      </c>
      <c r="CC28" s="100">
        <f>IFERROR(IF($A28=FALSE,0,INDEX('RPS by State'!CN:CN,MATCH($C28,'RPS by State'!$B:$B,0))),0)</f>
        <v>0</v>
      </c>
      <c r="CD28" s="100">
        <f>IFERROR(IF($A28=FALSE,0,INDEX('RPS by State'!CO:CO,MATCH($C28,'RPS by State'!$B:$B,0))),0)</f>
        <v>0</v>
      </c>
      <c r="CE28" s="100">
        <f>IFERROR(IF($A28=FALSE,0,INDEX('RPS by State'!CP:CP,MATCH($C28,'RPS by State'!$B:$B,0))),0)</f>
        <v>0</v>
      </c>
    </row>
    <row r="29" spans="1:83" x14ac:dyDescent="0.25">
      <c r="A29" t="b">
        <f>IFERROR(INDEX('RPS by State'!G:G,MATCH(B29,'RPS by State'!A:A,0)),0)</f>
        <v>0</v>
      </c>
      <c r="B29" s="120" t="s">
        <v>71</v>
      </c>
      <c r="C29" s="120" t="str">
        <f>IFERROR(INDEX(About!L:L,MATCH(B29,About!K:K,0)),0)</f>
        <v>NE</v>
      </c>
      <c r="D29" s="100">
        <f>IFERROR(IF($A29=FALSE,0,INDEX('RPS by State'!O:O,MATCH($C29,'RPS by State'!$B:$B,0))),0)</f>
        <v>0</v>
      </c>
      <c r="E29" s="100">
        <f>IFERROR(IF($A29=FALSE,0,INDEX('RPS by State'!P:P,MATCH($C29,'RPS by State'!$B:$B,0))),0)</f>
        <v>0</v>
      </c>
      <c r="F29" s="100">
        <f>IFERROR(IF($A29=FALSE,0,INDEX('RPS by State'!Q:Q,MATCH($C29,'RPS by State'!$B:$B,0))),0)</f>
        <v>0</v>
      </c>
      <c r="G29" s="100">
        <f>IFERROR(IF($A29=FALSE,0,INDEX('RPS by State'!R:R,MATCH($C29,'RPS by State'!$B:$B,0))),0)</f>
        <v>0</v>
      </c>
      <c r="H29" s="100">
        <f>IFERROR(IF($A29=FALSE,0,INDEX('RPS by State'!S:S,MATCH($C29,'RPS by State'!$B:$B,0))),0)</f>
        <v>0</v>
      </c>
      <c r="I29" s="100">
        <f>IFERROR(IF($A29=FALSE,0,INDEX('RPS by State'!T:T,MATCH($C29,'RPS by State'!$B:$B,0))),0)</f>
        <v>0</v>
      </c>
      <c r="J29" s="100">
        <f>IFERROR(IF($A29=FALSE,0,INDEX('RPS by State'!U:U,MATCH($C29,'RPS by State'!$B:$B,0))),0)</f>
        <v>0</v>
      </c>
      <c r="K29" s="100">
        <f>IFERROR(IF($A29=FALSE,0,INDEX('RPS by State'!V:V,MATCH($C29,'RPS by State'!$B:$B,0))),0)</f>
        <v>0</v>
      </c>
      <c r="L29" s="100">
        <f>IFERROR(IF($A29=FALSE,0,INDEX('RPS by State'!W:W,MATCH($C29,'RPS by State'!$B:$B,0))),0)</f>
        <v>0</v>
      </c>
      <c r="M29" s="100">
        <f>IFERROR(IF($A29=FALSE,0,INDEX('RPS by State'!X:X,MATCH($C29,'RPS by State'!$B:$B,0))),0)</f>
        <v>0</v>
      </c>
      <c r="N29" s="100">
        <f>IFERROR(IF($A29=FALSE,0,INDEX('RPS by State'!Y:Y,MATCH($C29,'RPS by State'!$B:$B,0))),0)</f>
        <v>0</v>
      </c>
      <c r="O29" s="100">
        <f>IFERROR(IF($A29=FALSE,0,INDEX('RPS by State'!Z:Z,MATCH($C29,'RPS by State'!$B:$B,0))),0)</f>
        <v>0</v>
      </c>
      <c r="P29" s="100">
        <f>IFERROR(IF($A29=FALSE,0,INDEX('RPS by State'!AA:AA,MATCH($C29,'RPS by State'!$B:$B,0))),0)</f>
        <v>0</v>
      </c>
      <c r="Q29" s="100">
        <f>IFERROR(IF($A29=FALSE,0,INDEX('RPS by State'!AB:AB,MATCH($C29,'RPS by State'!$B:$B,0))),0)</f>
        <v>0</v>
      </c>
      <c r="R29" s="100">
        <f>IFERROR(IF($A29=FALSE,0,INDEX('RPS by State'!AC:AC,MATCH($C29,'RPS by State'!$B:$B,0))),0)</f>
        <v>0</v>
      </c>
      <c r="S29" s="100">
        <f>IFERROR(IF($A29=FALSE,0,INDEX('RPS by State'!AD:AD,MATCH($C29,'RPS by State'!$B:$B,0))),0)</f>
        <v>0</v>
      </c>
      <c r="T29" s="100">
        <f>IFERROR(IF($A29=FALSE,0,INDEX('RPS by State'!AE:AE,MATCH($C29,'RPS by State'!$B:$B,0))),0)</f>
        <v>0</v>
      </c>
      <c r="U29" s="100">
        <f>IFERROR(IF($A29=FALSE,0,INDEX('RPS by State'!AF:AF,MATCH($C29,'RPS by State'!$B:$B,0))),0)</f>
        <v>0</v>
      </c>
      <c r="V29" s="100">
        <f>IFERROR(IF($A29=FALSE,0,INDEX('RPS by State'!AG:AG,MATCH($C29,'RPS by State'!$B:$B,0))),0)</f>
        <v>0</v>
      </c>
      <c r="W29" s="100">
        <f>IFERROR(IF($A29=FALSE,0,INDEX('RPS by State'!AH:AH,MATCH($C29,'RPS by State'!$B:$B,0))),0)</f>
        <v>0</v>
      </c>
      <c r="X29" s="100">
        <f>IFERROR(IF($A29=FALSE,0,INDEX('RPS by State'!AI:AI,MATCH($C29,'RPS by State'!$B:$B,0))),0)</f>
        <v>0</v>
      </c>
      <c r="Y29" s="100">
        <f>IFERROR(IF($A29=FALSE,0,INDEX('RPS by State'!AJ:AJ,MATCH($C29,'RPS by State'!$B:$B,0))),0)</f>
        <v>0</v>
      </c>
      <c r="Z29" s="100">
        <f>IFERROR(IF($A29=FALSE,0,INDEX('RPS by State'!AK:AK,MATCH($C29,'RPS by State'!$B:$B,0))),0)</f>
        <v>0</v>
      </c>
      <c r="AA29" s="100">
        <f>IFERROR(IF($A29=FALSE,0,INDEX('RPS by State'!AL:AL,MATCH($C29,'RPS by State'!$B:$B,0))),0)</f>
        <v>0</v>
      </c>
      <c r="AB29" s="100">
        <f>IFERROR(IF($A29=FALSE,0,INDEX('RPS by State'!AM:AM,MATCH($C29,'RPS by State'!$B:$B,0))),0)</f>
        <v>0</v>
      </c>
      <c r="AC29" s="100">
        <f>IFERROR(IF($A29=FALSE,0,INDEX('RPS by State'!AN:AN,MATCH($C29,'RPS by State'!$B:$B,0))),0)</f>
        <v>0</v>
      </c>
      <c r="AD29" s="100">
        <f>IFERROR(IF($A29=FALSE,0,INDEX('RPS by State'!AO:AO,MATCH($C29,'RPS by State'!$B:$B,0))),0)</f>
        <v>0</v>
      </c>
      <c r="AE29" s="100">
        <f>IFERROR(IF($A29=FALSE,0,INDEX('RPS by State'!AP:AP,MATCH($C29,'RPS by State'!$B:$B,0))),0)</f>
        <v>0</v>
      </c>
      <c r="AF29" s="100">
        <f>IFERROR(IF($A29=FALSE,0,INDEX('RPS by State'!AQ:AQ,MATCH($C29,'RPS by State'!$B:$B,0))),0)</f>
        <v>0</v>
      </c>
      <c r="AG29" s="100">
        <f>IFERROR(IF($A29=FALSE,0,INDEX('RPS by State'!AR:AR,MATCH($C29,'RPS by State'!$B:$B,0))),0)</f>
        <v>0</v>
      </c>
      <c r="AH29" s="100">
        <f>IFERROR(IF($A29=FALSE,0,INDEX('RPS by State'!AS:AS,MATCH($C29,'RPS by State'!$B:$B,0))),0)</f>
        <v>0</v>
      </c>
      <c r="AI29" s="100">
        <f>IFERROR(IF($A29=FALSE,0,INDEX('RPS by State'!AT:AT,MATCH($C29,'RPS by State'!$B:$B,0))),0)</f>
        <v>0</v>
      </c>
      <c r="AJ29" s="100">
        <f>IFERROR(IF($A29=FALSE,0,INDEX('RPS by State'!AU:AU,MATCH($C29,'RPS by State'!$B:$B,0))),0)</f>
        <v>0</v>
      </c>
      <c r="AK29" s="100">
        <f>IFERROR(IF($A29=FALSE,0,INDEX('RPS by State'!AV:AV,MATCH($C29,'RPS by State'!$B:$B,0))),0)</f>
        <v>0</v>
      </c>
      <c r="AL29" s="100">
        <f>IFERROR(IF($A29=FALSE,0,INDEX('RPS by State'!AW:AW,MATCH($C29,'RPS by State'!$B:$B,0))),0)</f>
        <v>0</v>
      </c>
      <c r="AM29" s="100">
        <f>IFERROR(IF($A29=FALSE,0,INDEX('RPS by State'!AX:AX,MATCH($C29,'RPS by State'!$B:$B,0))),0)</f>
        <v>0</v>
      </c>
      <c r="AN29" s="100">
        <f>IFERROR(IF($A29=FALSE,0,INDEX('RPS by State'!AY:AY,MATCH($C29,'RPS by State'!$B:$B,0))),0)</f>
        <v>0</v>
      </c>
      <c r="AO29" s="100">
        <f>IFERROR(IF($A29=FALSE,0,INDEX('RPS by State'!AZ:AZ,MATCH($C29,'RPS by State'!$B:$B,0))),0)</f>
        <v>0</v>
      </c>
      <c r="AP29" s="100">
        <f>IFERROR(IF($A29=FALSE,0,INDEX('RPS by State'!BA:BA,MATCH($C29,'RPS by State'!$B:$B,0))),0)</f>
        <v>0</v>
      </c>
      <c r="AQ29" s="100">
        <f>IFERROR(IF($A29=FALSE,0,INDEX('RPS by State'!BB:BB,MATCH($C29,'RPS by State'!$B:$B,0))),0)</f>
        <v>0</v>
      </c>
      <c r="AR29" s="100">
        <f>IFERROR(IF($A29=FALSE,0,INDEX('RPS by State'!BC:BC,MATCH($C29,'RPS by State'!$B:$B,0))),0)</f>
        <v>0</v>
      </c>
      <c r="AS29" s="100">
        <f>IFERROR(IF($A29=FALSE,0,INDEX('RPS by State'!BD:BD,MATCH($C29,'RPS by State'!$B:$B,0))),0)</f>
        <v>0</v>
      </c>
      <c r="AT29" s="100">
        <f>IFERROR(IF($A29=FALSE,0,INDEX('RPS by State'!BE:BE,MATCH($C29,'RPS by State'!$B:$B,0))),0)</f>
        <v>0</v>
      </c>
      <c r="AU29" s="100">
        <f>IFERROR(IF($A29=FALSE,0,INDEX('RPS by State'!BF:BF,MATCH($C29,'RPS by State'!$B:$B,0))),0)</f>
        <v>0</v>
      </c>
      <c r="AV29" s="100">
        <f>IFERROR(IF($A29=FALSE,0,INDEX('RPS by State'!BG:BG,MATCH($C29,'RPS by State'!$B:$B,0))),0)</f>
        <v>0</v>
      </c>
      <c r="AW29" s="100">
        <f>IFERROR(IF($A29=FALSE,0,INDEX('RPS by State'!BH:BH,MATCH($C29,'RPS by State'!$B:$B,0))),0)</f>
        <v>0</v>
      </c>
      <c r="AX29" s="100">
        <f>IFERROR(IF($A29=FALSE,0,INDEX('RPS by State'!BI:BI,MATCH($C29,'RPS by State'!$B:$B,0))),0)</f>
        <v>0</v>
      </c>
      <c r="AY29" s="100">
        <f>IFERROR(IF($A29=FALSE,0,INDEX('RPS by State'!BJ:BJ,MATCH($C29,'RPS by State'!$B:$B,0))),0)</f>
        <v>0</v>
      </c>
      <c r="AZ29" s="100">
        <f>IFERROR(IF($A29=FALSE,0,INDEX('RPS by State'!BK:BK,MATCH($C29,'RPS by State'!$B:$B,0))),0)</f>
        <v>0</v>
      </c>
      <c r="BA29" s="100">
        <f>IFERROR(IF($A29=FALSE,0,INDEX('RPS by State'!BL:BL,MATCH($C29,'RPS by State'!$B:$B,0))),0)</f>
        <v>0</v>
      </c>
      <c r="BB29" s="100">
        <f>IFERROR(IF($A29=FALSE,0,INDEX('RPS by State'!BM:BM,MATCH($C29,'RPS by State'!$B:$B,0))),0)</f>
        <v>0</v>
      </c>
      <c r="BC29" s="100">
        <f>IFERROR(IF($A29=FALSE,0,INDEX('RPS by State'!BN:BN,MATCH($C29,'RPS by State'!$B:$B,0))),0)</f>
        <v>0</v>
      </c>
      <c r="BD29" s="100">
        <f>IFERROR(IF($A29=FALSE,0,INDEX('RPS by State'!BO:BO,MATCH($C29,'RPS by State'!$B:$B,0))),0)</f>
        <v>0</v>
      </c>
      <c r="BE29" s="100">
        <f>IFERROR(IF($A29=FALSE,0,INDEX('RPS by State'!BP:BP,MATCH($C29,'RPS by State'!$B:$B,0))),0)</f>
        <v>0</v>
      </c>
      <c r="BF29" s="100">
        <f>IFERROR(IF($A29=FALSE,0,INDEX('RPS by State'!BQ:BQ,MATCH($C29,'RPS by State'!$B:$B,0))),0)</f>
        <v>0</v>
      </c>
      <c r="BG29" s="100">
        <f>IFERROR(IF($A29=FALSE,0,INDEX('RPS by State'!BR:BR,MATCH($C29,'RPS by State'!$B:$B,0))),0)</f>
        <v>0</v>
      </c>
      <c r="BH29" s="100">
        <f>IFERROR(IF($A29=FALSE,0,INDEX('RPS by State'!BS:BS,MATCH($C29,'RPS by State'!$B:$B,0))),0)</f>
        <v>0</v>
      </c>
      <c r="BI29" s="100">
        <f>IFERROR(IF($A29=FALSE,0,INDEX('RPS by State'!BT:BT,MATCH($C29,'RPS by State'!$B:$B,0))),0)</f>
        <v>0</v>
      </c>
      <c r="BJ29" s="100">
        <f>IFERROR(IF($A29=FALSE,0,INDEX('RPS by State'!BU:BU,MATCH($C29,'RPS by State'!$B:$B,0))),0)</f>
        <v>0</v>
      </c>
      <c r="BK29" s="100">
        <f>IFERROR(IF($A29=FALSE,0,INDEX('RPS by State'!BV:BV,MATCH($C29,'RPS by State'!$B:$B,0))),0)</f>
        <v>0</v>
      </c>
      <c r="BL29" s="100">
        <f>IFERROR(IF($A29=FALSE,0,INDEX('RPS by State'!BW:BW,MATCH($C29,'RPS by State'!$B:$B,0))),0)</f>
        <v>0</v>
      </c>
      <c r="BM29" s="100">
        <f>IFERROR(IF($A29=FALSE,0,INDEX('RPS by State'!BX:BX,MATCH($C29,'RPS by State'!$B:$B,0))),0)</f>
        <v>0</v>
      </c>
      <c r="BN29" s="100">
        <f>IFERROR(IF($A29=FALSE,0,INDEX('RPS by State'!BY:BY,MATCH($C29,'RPS by State'!$B:$B,0))),0)</f>
        <v>0</v>
      </c>
      <c r="BO29" s="100">
        <f>IFERROR(IF($A29=FALSE,0,INDEX('RPS by State'!BZ:BZ,MATCH($C29,'RPS by State'!$B:$B,0))),0)</f>
        <v>0</v>
      </c>
      <c r="BP29" s="100">
        <f>IFERROR(IF($A29=FALSE,0,INDEX('RPS by State'!CA:CA,MATCH($C29,'RPS by State'!$B:$B,0))),0)</f>
        <v>0</v>
      </c>
      <c r="BQ29" s="100">
        <f>IFERROR(IF($A29=FALSE,0,INDEX('RPS by State'!CB:CB,MATCH($C29,'RPS by State'!$B:$B,0))),0)</f>
        <v>0</v>
      </c>
      <c r="BR29" s="100">
        <f>IFERROR(IF($A29=FALSE,0,INDEX('RPS by State'!CC:CC,MATCH($C29,'RPS by State'!$B:$B,0))),0)</f>
        <v>0</v>
      </c>
      <c r="BS29" s="100">
        <f>IFERROR(IF($A29=FALSE,0,INDEX('RPS by State'!CD:CD,MATCH($C29,'RPS by State'!$B:$B,0))),0)</f>
        <v>0</v>
      </c>
      <c r="BT29" s="100">
        <f>IFERROR(IF($A29=FALSE,0,INDEX('RPS by State'!CE:CE,MATCH($C29,'RPS by State'!$B:$B,0))),0)</f>
        <v>0</v>
      </c>
      <c r="BU29" s="100">
        <f>IFERROR(IF($A29=FALSE,0,INDEX('RPS by State'!CF:CF,MATCH($C29,'RPS by State'!$B:$B,0))),0)</f>
        <v>0</v>
      </c>
      <c r="BV29" s="100">
        <f>IFERROR(IF($A29=FALSE,0,INDEX('RPS by State'!CG:CG,MATCH($C29,'RPS by State'!$B:$B,0))),0)</f>
        <v>0</v>
      </c>
      <c r="BW29" s="100">
        <f>IFERROR(IF($A29=FALSE,0,INDEX('RPS by State'!CH:CH,MATCH($C29,'RPS by State'!$B:$B,0))),0)</f>
        <v>0</v>
      </c>
      <c r="BX29" s="100">
        <f>IFERROR(IF($A29=FALSE,0,INDEX('RPS by State'!CI:CI,MATCH($C29,'RPS by State'!$B:$B,0))),0)</f>
        <v>0</v>
      </c>
      <c r="BY29" s="100">
        <f>IFERROR(IF($A29=FALSE,0,INDEX('RPS by State'!CJ:CJ,MATCH($C29,'RPS by State'!$B:$B,0))),0)</f>
        <v>0</v>
      </c>
      <c r="BZ29" s="100">
        <f>IFERROR(IF($A29=FALSE,0,INDEX('RPS by State'!CK:CK,MATCH($C29,'RPS by State'!$B:$B,0))),0)</f>
        <v>0</v>
      </c>
      <c r="CA29" s="100">
        <f>IFERROR(IF($A29=FALSE,0,INDEX('RPS by State'!CL:CL,MATCH($C29,'RPS by State'!$B:$B,0))),0)</f>
        <v>0</v>
      </c>
      <c r="CB29" s="100">
        <f>IFERROR(IF($A29=FALSE,0,INDEX('RPS by State'!CM:CM,MATCH($C29,'RPS by State'!$B:$B,0))),0)</f>
        <v>0</v>
      </c>
      <c r="CC29" s="100">
        <f>IFERROR(IF($A29=FALSE,0,INDEX('RPS by State'!CN:CN,MATCH($C29,'RPS by State'!$B:$B,0))),0)</f>
        <v>0</v>
      </c>
      <c r="CD29" s="100">
        <f>IFERROR(IF($A29=FALSE,0,INDEX('RPS by State'!CO:CO,MATCH($C29,'RPS by State'!$B:$B,0))),0)</f>
        <v>0</v>
      </c>
      <c r="CE29" s="100">
        <f>IFERROR(IF($A29=FALSE,0,INDEX('RPS by State'!CP:CP,MATCH($C29,'RPS by State'!$B:$B,0))),0)</f>
        <v>0</v>
      </c>
    </row>
    <row r="30" spans="1:83" x14ac:dyDescent="0.25">
      <c r="A30" t="b">
        <f>IFERROR(INDEX('RPS by State'!G:G,MATCH(B30,'RPS by State'!A:A,0)),0)</f>
        <v>1</v>
      </c>
      <c r="B30" s="120" t="s">
        <v>74</v>
      </c>
      <c r="C30" s="120" t="str">
        <f>IFERROR(INDEX(About!L:L,MATCH(B30,About!K:K,0)),0)</f>
        <v>NV</v>
      </c>
      <c r="D30" s="100">
        <f>IFERROR(IF($A30=FALSE,0,INDEX('RPS by State'!O:O,MATCH($C30,'RPS by State'!$B:$B,0))),0)</f>
        <v>0.22045600846884297</v>
      </c>
      <c r="E30" s="100">
        <f>IFERROR(IF($A30=FALSE,0,INDEX('RPS by State'!P:P,MATCH($C30,'RPS by State'!$B:$B,0))),0)</f>
        <v>0.24534620297338977</v>
      </c>
      <c r="F30" s="100">
        <f>IFERROR(IF($A30=FALSE,0,INDEX('RPS by State'!Q:Q,MATCH($C30,'RPS by State'!$B:$B,0))),0)</f>
        <v>0.27023639747793654</v>
      </c>
      <c r="G30" s="100">
        <f>IFERROR(IF($A30=FALSE,0,INDEX('RPS by State'!R:R,MATCH($C30,'RPS by State'!$B:$B,0))),0)</f>
        <v>0.29512659198248331</v>
      </c>
      <c r="H30" s="100">
        <f>IFERROR(IF($A30=FALSE,0,INDEX('RPS by State'!S:S,MATCH($C30,'RPS by State'!$B:$B,0))),0)</f>
        <v>0.32001678648703008</v>
      </c>
      <c r="I30" s="100">
        <f>IFERROR(IF($A30=FALSE,0,INDEX('RPS by State'!T:T,MATCH($C30,'RPS by State'!$B:$B,0))),0)</f>
        <v>0.34490698099157685</v>
      </c>
      <c r="J30" s="100">
        <f>IFERROR(IF($A30=FALSE,0,INDEX('RPS by State'!U:U,MATCH($C30,'RPS by State'!$B:$B,0))),0)</f>
        <v>0.36979717549612362</v>
      </c>
      <c r="K30" s="100">
        <f>IFERROR(IF($A30=FALSE,0,INDEX('RPS by State'!V:V,MATCH($C30,'RPS by State'!$B:$B,0))),0)</f>
        <v>0.39468737000067039</v>
      </c>
      <c r="L30" s="100">
        <f>IFERROR(IF($A30=FALSE,0,INDEX('RPS by State'!W:W,MATCH($C30,'RPS by State'!$B:$B,0))),0)</f>
        <v>0.41957756450521716</v>
      </c>
      <c r="M30" s="100">
        <f>IFERROR(IF($A30=FALSE,0,INDEX('RPS by State'!X:X,MATCH($C30,'RPS by State'!$B:$B,0))),0)</f>
        <v>0.44446775900976404</v>
      </c>
      <c r="N30" s="100">
        <f>IFERROR(IF($A30=FALSE,0,INDEX('RPS by State'!Y:Y,MATCH($C30,'RPS by State'!$B:$B,0))),0)</f>
        <v>0.32001678648703008</v>
      </c>
      <c r="O30" s="100">
        <f>IFERROR(IF($A30=FALSE,0,INDEX('RPS by State'!Z:Z,MATCH($C30,'RPS by State'!$B:$B,0))),0)</f>
        <v>0.32001678648703008</v>
      </c>
      <c r="P30" s="100">
        <f>IFERROR(IF($A30=FALSE,0,INDEX('RPS by State'!AA:AA,MATCH($C30,'RPS by State'!$B:$B,0))),0)</f>
        <v>0.32001678648703008</v>
      </c>
      <c r="Q30" s="100">
        <f>IFERROR(IF($A30=FALSE,0,INDEX('RPS by State'!AB:AB,MATCH($C30,'RPS by State'!$B:$B,0))),0)</f>
        <v>0.32001678648703008</v>
      </c>
      <c r="R30" s="100">
        <f>IFERROR(IF($A30=FALSE,0,INDEX('RPS by State'!AC:AC,MATCH($C30,'RPS by State'!$B:$B,0))),0)</f>
        <v>0.32001678648703008</v>
      </c>
      <c r="S30" s="100">
        <f>IFERROR(IF($A30=FALSE,0,INDEX('RPS by State'!AD:AD,MATCH($C30,'RPS by State'!$B:$B,0))),0)</f>
        <v>0.32001678648703008</v>
      </c>
      <c r="T30" s="100">
        <f>IFERROR(IF($A30=FALSE,0,INDEX('RPS by State'!AE:AE,MATCH($C30,'RPS by State'!$B:$B,0))),0)</f>
        <v>0.32001678648703008</v>
      </c>
      <c r="U30" s="100">
        <f>IFERROR(IF($A30=FALSE,0,INDEX('RPS by State'!AF:AF,MATCH($C30,'RPS by State'!$B:$B,0))),0)</f>
        <v>0.32001678648703008</v>
      </c>
      <c r="V30" s="100">
        <f>IFERROR(IF($A30=FALSE,0,INDEX('RPS by State'!AG:AG,MATCH($C30,'RPS by State'!$B:$B,0))),0)</f>
        <v>0.32001678648703008</v>
      </c>
      <c r="W30" s="100">
        <f>IFERROR(IF($A30=FALSE,0,INDEX('RPS by State'!AH:AH,MATCH($C30,'RPS by State'!$B:$B,0))),0)</f>
        <v>0.32001678648703008</v>
      </c>
      <c r="X30" s="100">
        <f>IFERROR(IF($A30=FALSE,0,INDEX('RPS by State'!AI:AI,MATCH($C30,'RPS by State'!$B:$B,0))),0)</f>
        <v>0.32001678648703008</v>
      </c>
      <c r="Y30" s="100">
        <f>IFERROR(IF($A30=FALSE,0,INDEX('RPS by State'!AJ:AJ,MATCH($C30,'RPS by State'!$B:$B,0))),0)</f>
        <v>0.32001678648703008</v>
      </c>
      <c r="Z30" s="100">
        <f>IFERROR(IF($A30=FALSE,0,INDEX('RPS by State'!AK:AK,MATCH($C30,'RPS by State'!$B:$B,0))),0)</f>
        <v>0.32001678648703008</v>
      </c>
      <c r="AA30" s="100">
        <f>IFERROR(IF($A30=FALSE,0,INDEX('RPS by State'!AL:AL,MATCH($C30,'RPS by State'!$B:$B,0))),0)</f>
        <v>0.32001678648703008</v>
      </c>
      <c r="AB30" s="100">
        <f>IFERROR(IF($A30=FALSE,0,INDEX('RPS by State'!AM:AM,MATCH($C30,'RPS by State'!$B:$B,0))),0)</f>
        <v>0.32001678648703008</v>
      </c>
      <c r="AC30" s="100">
        <f>IFERROR(IF($A30=FALSE,0,INDEX('RPS by State'!AN:AN,MATCH($C30,'RPS by State'!$B:$B,0))),0)</f>
        <v>0.32001678648703008</v>
      </c>
      <c r="AD30" s="100">
        <f>IFERROR(IF($A30=FALSE,0,INDEX('RPS by State'!AO:AO,MATCH($C30,'RPS by State'!$B:$B,0))),0)</f>
        <v>0.32001678648703008</v>
      </c>
      <c r="AE30" s="100">
        <f>IFERROR(IF($A30=FALSE,0,INDEX('RPS by State'!AP:AP,MATCH($C30,'RPS by State'!$B:$B,0))),0)</f>
        <v>0.32001678648703008</v>
      </c>
      <c r="AF30" s="100">
        <f>IFERROR(IF($A30=FALSE,0,INDEX('RPS by State'!AQ:AQ,MATCH($C30,'RPS by State'!$B:$B,0))),0)</f>
        <v>0.32001678648703008</v>
      </c>
      <c r="AG30" s="100">
        <f>IFERROR(IF($A30=FALSE,0,INDEX('RPS by State'!AR:AR,MATCH($C30,'RPS by State'!$B:$B,0))),0)</f>
        <v>0.32001678648703008</v>
      </c>
      <c r="AH30" s="100">
        <f>IFERROR(IF($A30=FALSE,0,INDEX('RPS by State'!AS:AS,MATCH($C30,'RPS by State'!$B:$B,0))),0)</f>
        <v>0</v>
      </c>
      <c r="AI30" s="100">
        <f>IFERROR(IF($A30=FALSE,0,INDEX('RPS by State'!AT:AT,MATCH($C30,'RPS by State'!$B:$B,0))),0)</f>
        <v>0</v>
      </c>
      <c r="AJ30" s="100">
        <f>IFERROR(IF($A30=FALSE,0,INDEX('RPS by State'!AU:AU,MATCH($C30,'RPS by State'!$B:$B,0))),0)</f>
        <v>0</v>
      </c>
      <c r="AK30" s="100">
        <f>IFERROR(IF($A30=FALSE,0,INDEX('RPS by State'!AV:AV,MATCH($C30,'RPS by State'!$B:$B,0))),0)</f>
        <v>0</v>
      </c>
      <c r="AL30" s="100">
        <f>IFERROR(IF($A30=FALSE,0,INDEX('RPS by State'!AW:AW,MATCH($C30,'RPS by State'!$B:$B,0))),0)</f>
        <v>0</v>
      </c>
      <c r="AM30" s="100">
        <f>IFERROR(IF($A30=FALSE,0,INDEX('RPS by State'!AX:AX,MATCH($C30,'RPS by State'!$B:$B,0))),0)</f>
        <v>0</v>
      </c>
      <c r="AN30" s="100">
        <f>IFERROR(IF($A30=FALSE,0,INDEX('RPS by State'!AY:AY,MATCH($C30,'RPS by State'!$B:$B,0))),0)</f>
        <v>0</v>
      </c>
      <c r="AO30" s="100">
        <f>IFERROR(IF($A30=FALSE,0,INDEX('RPS by State'!AZ:AZ,MATCH($C30,'RPS by State'!$B:$B,0))),0)</f>
        <v>0</v>
      </c>
      <c r="AP30" s="100">
        <f>IFERROR(IF($A30=FALSE,0,INDEX('RPS by State'!BA:BA,MATCH($C30,'RPS by State'!$B:$B,0))),0)</f>
        <v>0</v>
      </c>
      <c r="AQ30" s="100">
        <f>IFERROR(IF($A30=FALSE,0,INDEX('RPS by State'!BB:BB,MATCH($C30,'RPS by State'!$B:$B,0))),0)</f>
        <v>0</v>
      </c>
      <c r="AR30" s="100">
        <f>IFERROR(IF($A30=FALSE,0,INDEX('RPS by State'!BC:BC,MATCH($C30,'RPS by State'!$B:$B,0))),0)</f>
        <v>0</v>
      </c>
      <c r="AS30" s="100">
        <f>IFERROR(IF($A30=FALSE,0,INDEX('RPS by State'!BD:BD,MATCH($C30,'RPS by State'!$B:$B,0))),0)</f>
        <v>0</v>
      </c>
      <c r="AT30" s="100">
        <f>IFERROR(IF($A30=FALSE,0,INDEX('RPS by State'!BE:BE,MATCH($C30,'RPS by State'!$B:$B,0))),0)</f>
        <v>0</v>
      </c>
      <c r="AU30" s="100">
        <f>IFERROR(IF($A30=FALSE,0,INDEX('RPS by State'!BF:BF,MATCH($C30,'RPS by State'!$B:$B,0))),0)</f>
        <v>0</v>
      </c>
      <c r="AV30" s="100">
        <f>IFERROR(IF($A30=FALSE,0,INDEX('RPS by State'!BG:BG,MATCH($C30,'RPS by State'!$B:$B,0))),0)</f>
        <v>0</v>
      </c>
      <c r="AW30" s="100">
        <f>IFERROR(IF($A30=FALSE,0,INDEX('RPS by State'!BH:BH,MATCH($C30,'RPS by State'!$B:$B,0))),0)</f>
        <v>0</v>
      </c>
      <c r="AX30" s="100">
        <f>IFERROR(IF($A30=FALSE,0,INDEX('RPS by State'!BI:BI,MATCH($C30,'RPS by State'!$B:$B,0))),0)</f>
        <v>0</v>
      </c>
      <c r="AY30" s="100">
        <f>IFERROR(IF($A30=FALSE,0,INDEX('RPS by State'!BJ:BJ,MATCH($C30,'RPS by State'!$B:$B,0))),0)</f>
        <v>0</v>
      </c>
      <c r="AZ30" s="100">
        <f>IFERROR(IF($A30=FALSE,0,INDEX('RPS by State'!BK:BK,MATCH($C30,'RPS by State'!$B:$B,0))),0)</f>
        <v>0</v>
      </c>
      <c r="BA30" s="100">
        <f>IFERROR(IF($A30=FALSE,0,INDEX('RPS by State'!BL:BL,MATCH($C30,'RPS by State'!$B:$B,0))),0)</f>
        <v>0</v>
      </c>
      <c r="BB30" s="100">
        <f>IFERROR(IF($A30=FALSE,0,INDEX('RPS by State'!BM:BM,MATCH($C30,'RPS by State'!$B:$B,0))),0)</f>
        <v>0</v>
      </c>
      <c r="BC30" s="100">
        <f>IFERROR(IF($A30=FALSE,0,INDEX('RPS by State'!BN:BN,MATCH($C30,'RPS by State'!$B:$B,0))),0)</f>
        <v>0</v>
      </c>
      <c r="BD30" s="100">
        <f>IFERROR(IF($A30=FALSE,0,INDEX('RPS by State'!BO:BO,MATCH($C30,'RPS by State'!$B:$B,0))),0)</f>
        <v>0</v>
      </c>
      <c r="BE30" s="100">
        <f>IFERROR(IF($A30=FALSE,0,INDEX('RPS by State'!BP:BP,MATCH($C30,'RPS by State'!$B:$B,0))),0)</f>
        <v>0</v>
      </c>
      <c r="BF30" s="100">
        <f>IFERROR(IF($A30=FALSE,0,INDEX('RPS by State'!BQ:BQ,MATCH($C30,'RPS by State'!$B:$B,0))),0)</f>
        <v>0</v>
      </c>
      <c r="BG30" s="100">
        <f>IFERROR(IF($A30=FALSE,0,INDEX('RPS by State'!BR:BR,MATCH($C30,'RPS by State'!$B:$B,0))),0)</f>
        <v>0</v>
      </c>
      <c r="BH30" s="100">
        <f>IFERROR(IF($A30=FALSE,0,INDEX('RPS by State'!BS:BS,MATCH($C30,'RPS by State'!$B:$B,0))),0)</f>
        <v>0</v>
      </c>
      <c r="BI30" s="100">
        <f>IFERROR(IF($A30=FALSE,0,INDEX('RPS by State'!BT:BT,MATCH($C30,'RPS by State'!$B:$B,0))),0)</f>
        <v>0</v>
      </c>
      <c r="BJ30" s="100">
        <f>IFERROR(IF($A30=FALSE,0,INDEX('RPS by State'!BU:BU,MATCH($C30,'RPS by State'!$B:$B,0))),0)</f>
        <v>0</v>
      </c>
      <c r="BK30" s="100">
        <f>IFERROR(IF($A30=FALSE,0,INDEX('RPS by State'!BV:BV,MATCH($C30,'RPS by State'!$B:$B,0))),0)</f>
        <v>0</v>
      </c>
      <c r="BL30" s="100">
        <f>IFERROR(IF($A30=FALSE,0,INDEX('RPS by State'!BW:BW,MATCH($C30,'RPS by State'!$B:$B,0))),0)</f>
        <v>0</v>
      </c>
      <c r="BM30" s="100">
        <f>IFERROR(IF($A30=FALSE,0,INDEX('RPS by State'!BX:BX,MATCH($C30,'RPS by State'!$B:$B,0))),0)</f>
        <v>0</v>
      </c>
      <c r="BN30" s="100">
        <f>IFERROR(IF($A30=FALSE,0,INDEX('RPS by State'!BY:BY,MATCH($C30,'RPS by State'!$B:$B,0))),0)</f>
        <v>0</v>
      </c>
      <c r="BO30" s="100">
        <f>IFERROR(IF($A30=FALSE,0,INDEX('RPS by State'!BZ:BZ,MATCH($C30,'RPS by State'!$B:$B,0))),0)</f>
        <v>0</v>
      </c>
      <c r="BP30" s="100">
        <f>IFERROR(IF($A30=FALSE,0,INDEX('RPS by State'!CA:CA,MATCH($C30,'RPS by State'!$B:$B,0))),0)</f>
        <v>0</v>
      </c>
      <c r="BQ30" s="100">
        <f>IFERROR(IF($A30=FALSE,0,INDEX('RPS by State'!CB:CB,MATCH($C30,'RPS by State'!$B:$B,0))),0)</f>
        <v>0</v>
      </c>
      <c r="BR30" s="100">
        <f>IFERROR(IF($A30=FALSE,0,INDEX('RPS by State'!CC:CC,MATCH($C30,'RPS by State'!$B:$B,0))),0)</f>
        <v>0</v>
      </c>
      <c r="BS30" s="100">
        <f>IFERROR(IF($A30=FALSE,0,INDEX('RPS by State'!CD:CD,MATCH($C30,'RPS by State'!$B:$B,0))),0)</f>
        <v>0</v>
      </c>
      <c r="BT30" s="100">
        <f>IFERROR(IF($A30=FALSE,0,INDEX('RPS by State'!CE:CE,MATCH($C30,'RPS by State'!$B:$B,0))),0)</f>
        <v>0</v>
      </c>
      <c r="BU30" s="100">
        <f>IFERROR(IF($A30=FALSE,0,INDEX('RPS by State'!CF:CF,MATCH($C30,'RPS by State'!$B:$B,0))),0)</f>
        <v>0</v>
      </c>
      <c r="BV30" s="100">
        <f>IFERROR(IF($A30=FALSE,0,INDEX('RPS by State'!CG:CG,MATCH($C30,'RPS by State'!$B:$B,0))),0)</f>
        <v>0</v>
      </c>
      <c r="BW30" s="100">
        <f>IFERROR(IF($A30=FALSE,0,INDEX('RPS by State'!CH:CH,MATCH($C30,'RPS by State'!$B:$B,0))),0)</f>
        <v>0</v>
      </c>
      <c r="BX30" s="100">
        <f>IFERROR(IF($A30=FALSE,0,INDEX('RPS by State'!CI:CI,MATCH($C30,'RPS by State'!$B:$B,0))),0)</f>
        <v>0</v>
      </c>
      <c r="BY30" s="100">
        <f>IFERROR(IF($A30=FALSE,0,INDEX('RPS by State'!CJ:CJ,MATCH($C30,'RPS by State'!$B:$B,0))),0)</f>
        <v>0</v>
      </c>
      <c r="BZ30" s="100">
        <f>IFERROR(IF($A30=FALSE,0,INDEX('RPS by State'!CK:CK,MATCH($C30,'RPS by State'!$B:$B,0))),0)</f>
        <v>0</v>
      </c>
      <c r="CA30" s="100">
        <f>IFERROR(IF($A30=FALSE,0,INDEX('RPS by State'!CL:CL,MATCH($C30,'RPS by State'!$B:$B,0))),0)</f>
        <v>0</v>
      </c>
      <c r="CB30" s="100">
        <f>IFERROR(IF($A30=FALSE,0,INDEX('RPS by State'!CM:CM,MATCH($C30,'RPS by State'!$B:$B,0))),0)</f>
        <v>0</v>
      </c>
      <c r="CC30" s="100">
        <f>IFERROR(IF($A30=FALSE,0,INDEX('RPS by State'!CN:CN,MATCH($C30,'RPS by State'!$B:$B,0))),0)</f>
        <v>0</v>
      </c>
      <c r="CD30" s="100">
        <f>IFERROR(IF($A30=FALSE,0,INDEX('RPS by State'!CO:CO,MATCH($C30,'RPS by State'!$B:$B,0))),0)</f>
        <v>0</v>
      </c>
      <c r="CE30" s="100">
        <f>IFERROR(IF($A30=FALSE,0,INDEX('RPS by State'!CP:CP,MATCH($C30,'RPS by State'!$B:$B,0))),0)</f>
        <v>0</v>
      </c>
    </row>
    <row r="31" spans="1:83" x14ac:dyDescent="0.25">
      <c r="A31" t="b">
        <f>IFERROR(INDEX('RPS by State'!G:G,MATCH(B31,'RPS by State'!A:A,0)),0)</f>
        <v>1</v>
      </c>
      <c r="B31" s="120" t="s">
        <v>77</v>
      </c>
      <c r="C31" s="120" t="str">
        <f>IFERROR(INDEX(About!L:L,MATCH(B31,About!K:K,0)),0)</f>
        <v>NH</v>
      </c>
      <c r="D31" s="100">
        <f>IFERROR(IF($A31=FALSE,0,INDEX('RPS by State'!O:O,MATCH($C31,'RPS by State'!$B:$B,0))),0)</f>
        <v>0.20100000000000001</v>
      </c>
      <c r="E31" s="100">
        <f>IFERROR(IF($A31=FALSE,0,INDEX('RPS by State'!P:P,MATCH($C31,'RPS by State'!$B:$B,0))),0)</f>
        <v>0.21000000000000002</v>
      </c>
      <c r="F31" s="100">
        <f>IFERROR(IF($A31=FALSE,0,INDEX('RPS by State'!Q:Q,MATCH($C31,'RPS by State'!$B:$B,0))),0)</f>
        <v>0.21900000000000003</v>
      </c>
      <c r="G31" s="100">
        <f>IFERROR(IF($A31=FALSE,0,INDEX('RPS by State'!R:R,MATCH($C31,'RPS by State'!$B:$B,0))),0)</f>
        <v>0.22799999999999998</v>
      </c>
      <c r="H31" s="100">
        <f>IFERROR(IF($A31=FALSE,0,INDEX('RPS by State'!S:S,MATCH($C31,'RPS by State'!$B:$B,0))),0)</f>
        <v>0.23699999999999999</v>
      </c>
      <c r="I31" s="100">
        <f>IFERROR(IF($A31=FALSE,0,INDEX('RPS by State'!T:T,MATCH($C31,'RPS by State'!$B:$B,0))),0)</f>
        <v>0.23699999999999999</v>
      </c>
      <c r="J31" s="100">
        <f>IFERROR(IF($A31=FALSE,0,INDEX('RPS by State'!U:U,MATCH($C31,'RPS by State'!$B:$B,0))),0)</f>
        <v>0.23699999999999999</v>
      </c>
      <c r="K31" s="100">
        <f>IFERROR(IF($A31=FALSE,0,INDEX('RPS by State'!V:V,MATCH($C31,'RPS by State'!$B:$B,0))),0)</f>
        <v>0.23699999999999999</v>
      </c>
      <c r="L31" s="100">
        <f>IFERROR(IF($A31=FALSE,0,INDEX('RPS by State'!W:W,MATCH($C31,'RPS by State'!$B:$B,0))),0)</f>
        <v>0.23699999999999999</v>
      </c>
      <c r="M31" s="100">
        <f>IFERROR(IF($A31=FALSE,0,INDEX('RPS by State'!X:X,MATCH($C31,'RPS by State'!$B:$B,0))),0)</f>
        <v>0.23699999999999999</v>
      </c>
      <c r="N31" s="100">
        <f>IFERROR(IF($A31=FALSE,0,INDEX('RPS by State'!Y:Y,MATCH($C31,'RPS by State'!$B:$B,0))),0)</f>
        <v>0.23699999999999999</v>
      </c>
      <c r="O31" s="100">
        <f>IFERROR(IF($A31=FALSE,0,INDEX('RPS by State'!Z:Z,MATCH($C31,'RPS by State'!$B:$B,0))),0)</f>
        <v>0.23699999999999999</v>
      </c>
      <c r="P31" s="100">
        <f>IFERROR(IF($A31=FALSE,0,INDEX('RPS by State'!AA:AA,MATCH($C31,'RPS by State'!$B:$B,0))),0)</f>
        <v>0.23699999999999999</v>
      </c>
      <c r="Q31" s="100">
        <f>IFERROR(IF($A31=FALSE,0,INDEX('RPS by State'!AB:AB,MATCH($C31,'RPS by State'!$B:$B,0))),0)</f>
        <v>0.23699999999999999</v>
      </c>
      <c r="R31" s="100">
        <f>IFERROR(IF($A31=FALSE,0,INDEX('RPS by State'!AC:AC,MATCH($C31,'RPS by State'!$B:$B,0))),0)</f>
        <v>0.23699999999999999</v>
      </c>
      <c r="S31" s="100">
        <f>IFERROR(IF($A31=FALSE,0,INDEX('RPS by State'!AD:AD,MATCH($C31,'RPS by State'!$B:$B,0))),0)</f>
        <v>0.23699999999999999</v>
      </c>
      <c r="T31" s="100">
        <f>IFERROR(IF($A31=FALSE,0,INDEX('RPS by State'!AE:AE,MATCH($C31,'RPS by State'!$B:$B,0))),0)</f>
        <v>0.23699999999999999</v>
      </c>
      <c r="U31" s="100">
        <f>IFERROR(IF($A31=FALSE,0,INDEX('RPS by State'!AF:AF,MATCH($C31,'RPS by State'!$B:$B,0))),0)</f>
        <v>0.23699999999999999</v>
      </c>
      <c r="V31" s="100">
        <f>IFERROR(IF($A31=FALSE,0,INDEX('RPS by State'!AG:AG,MATCH($C31,'RPS by State'!$B:$B,0))),0)</f>
        <v>0.23699999999999999</v>
      </c>
      <c r="W31" s="100">
        <f>IFERROR(IF($A31=FALSE,0,INDEX('RPS by State'!AH:AH,MATCH($C31,'RPS by State'!$B:$B,0))),0)</f>
        <v>0.23699999999999999</v>
      </c>
      <c r="X31" s="100">
        <f>IFERROR(IF($A31=FALSE,0,INDEX('RPS by State'!AI:AI,MATCH($C31,'RPS by State'!$B:$B,0))),0)</f>
        <v>0.23699999999999999</v>
      </c>
      <c r="Y31" s="100">
        <f>IFERROR(IF($A31=FALSE,0,INDEX('RPS by State'!AJ:AJ,MATCH($C31,'RPS by State'!$B:$B,0))),0)</f>
        <v>0.23699999999999999</v>
      </c>
      <c r="Z31" s="100">
        <f>IFERROR(IF($A31=FALSE,0,INDEX('RPS by State'!AK:AK,MATCH($C31,'RPS by State'!$B:$B,0))),0)</f>
        <v>0.23699999999999999</v>
      </c>
      <c r="AA31" s="100">
        <f>IFERROR(IF($A31=FALSE,0,INDEX('RPS by State'!AL:AL,MATCH($C31,'RPS by State'!$B:$B,0))),0)</f>
        <v>0.23699999999999999</v>
      </c>
      <c r="AB31" s="100">
        <f>IFERROR(IF($A31=FALSE,0,INDEX('RPS by State'!AM:AM,MATCH($C31,'RPS by State'!$B:$B,0))),0)</f>
        <v>0.23699999999999999</v>
      </c>
      <c r="AC31" s="100">
        <f>IFERROR(IF($A31=FALSE,0,INDEX('RPS by State'!AN:AN,MATCH($C31,'RPS by State'!$B:$B,0))),0)</f>
        <v>0.23699999999999999</v>
      </c>
      <c r="AD31" s="100">
        <f>IFERROR(IF($A31=FALSE,0,INDEX('RPS by State'!AO:AO,MATCH($C31,'RPS by State'!$B:$B,0))),0)</f>
        <v>0.23699999999999999</v>
      </c>
      <c r="AE31" s="100">
        <f>IFERROR(IF($A31=FALSE,0,INDEX('RPS by State'!AP:AP,MATCH($C31,'RPS by State'!$B:$B,0))),0)</f>
        <v>0.23699999999999999</v>
      </c>
      <c r="AF31" s="100">
        <f>IFERROR(IF($A31=FALSE,0,INDEX('RPS by State'!AQ:AQ,MATCH($C31,'RPS by State'!$B:$B,0))),0)</f>
        <v>0.23699999999999999</v>
      </c>
      <c r="AG31" s="100">
        <f>IFERROR(IF($A31=FALSE,0,INDEX('RPS by State'!AR:AR,MATCH($C31,'RPS by State'!$B:$B,0))),0)</f>
        <v>0.23699999999999999</v>
      </c>
      <c r="AH31" s="100">
        <f>IFERROR(IF($A31=FALSE,0,INDEX('RPS by State'!AS:AS,MATCH($C31,'RPS by State'!$B:$B,0))),0)</f>
        <v>0</v>
      </c>
      <c r="AI31" s="100">
        <f>IFERROR(IF($A31=FALSE,0,INDEX('RPS by State'!AT:AT,MATCH($C31,'RPS by State'!$B:$B,0))),0)</f>
        <v>0</v>
      </c>
      <c r="AJ31" s="100">
        <f>IFERROR(IF($A31=FALSE,0,INDEX('RPS by State'!AU:AU,MATCH($C31,'RPS by State'!$B:$B,0))),0)</f>
        <v>0</v>
      </c>
      <c r="AK31" s="100">
        <f>IFERROR(IF($A31=FALSE,0,INDEX('RPS by State'!AV:AV,MATCH($C31,'RPS by State'!$B:$B,0))),0)</f>
        <v>0</v>
      </c>
      <c r="AL31" s="100">
        <f>IFERROR(IF($A31=FALSE,0,INDEX('RPS by State'!AW:AW,MATCH($C31,'RPS by State'!$B:$B,0))),0)</f>
        <v>0</v>
      </c>
      <c r="AM31" s="100">
        <f>IFERROR(IF($A31=FALSE,0,INDEX('RPS by State'!AX:AX,MATCH($C31,'RPS by State'!$B:$B,0))),0)</f>
        <v>0</v>
      </c>
      <c r="AN31" s="100">
        <f>IFERROR(IF($A31=FALSE,0,INDEX('RPS by State'!AY:AY,MATCH($C31,'RPS by State'!$B:$B,0))),0)</f>
        <v>0</v>
      </c>
      <c r="AO31" s="100">
        <f>IFERROR(IF($A31=FALSE,0,INDEX('RPS by State'!AZ:AZ,MATCH($C31,'RPS by State'!$B:$B,0))),0)</f>
        <v>0</v>
      </c>
      <c r="AP31" s="100">
        <f>IFERROR(IF($A31=FALSE,0,INDEX('RPS by State'!BA:BA,MATCH($C31,'RPS by State'!$B:$B,0))),0)</f>
        <v>0</v>
      </c>
      <c r="AQ31" s="100">
        <f>IFERROR(IF($A31=FALSE,0,INDEX('RPS by State'!BB:BB,MATCH($C31,'RPS by State'!$B:$B,0))),0)</f>
        <v>0</v>
      </c>
      <c r="AR31" s="100">
        <f>IFERROR(IF($A31=FALSE,0,INDEX('RPS by State'!BC:BC,MATCH($C31,'RPS by State'!$B:$B,0))),0)</f>
        <v>0</v>
      </c>
      <c r="AS31" s="100">
        <f>IFERROR(IF($A31=FALSE,0,INDEX('RPS by State'!BD:BD,MATCH($C31,'RPS by State'!$B:$B,0))),0)</f>
        <v>0</v>
      </c>
      <c r="AT31" s="100">
        <f>IFERROR(IF($A31=FALSE,0,INDEX('RPS by State'!BE:BE,MATCH($C31,'RPS by State'!$B:$B,0))),0)</f>
        <v>0</v>
      </c>
      <c r="AU31" s="100">
        <f>IFERROR(IF($A31=FALSE,0,INDEX('RPS by State'!BF:BF,MATCH($C31,'RPS by State'!$B:$B,0))),0)</f>
        <v>0</v>
      </c>
      <c r="AV31" s="100">
        <f>IFERROR(IF($A31=FALSE,0,INDEX('RPS by State'!BG:BG,MATCH($C31,'RPS by State'!$B:$B,0))),0)</f>
        <v>0</v>
      </c>
      <c r="AW31" s="100">
        <f>IFERROR(IF($A31=FALSE,0,INDEX('RPS by State'!BH:BH,MATCH($C31,'RPS by State'!$B:$B,0))),0)</f>
        <v>0</v>
      </c>
      <c r="AX31" s="100">
        <f>IFERROR(IF($A31=FALSE,0,INDEX('RPS by State'!BI:BI,MATCH($C31,'RPS by State'!$B:$B,0))),0)</f>
        <v>0</v>
      </c>
      <c r="AY31" s="100">
        <f>IFERROR(IF($A31=FALSE,0,INDEX('RPS by State'!BJ:BJ,MATCH($C31,'RPS by State'!$B:$B,0))),0)</f>
        <v>0</v>
      </c>
      <c r="AZ31" s="100">
        <f>IFERROR(IF($A31=FALSE,0,INDEX('RPS by State'!BK:BK,MATCH($C31,'RPS by State'!$B:$B,0))),0)</f>
        <v>0</v>
      </c>
      <c r="BA31" s="100">
        <f>IFERROR(IF($A31=FALSE,0,INDEX('RPS by State'!BL:BL,MATCH($C31,'RPS by State'!$B:$B,0))),0)</f>
        <v>0</v>
      </c>
      <c r="BB31" s="100">
        <f>IFERROR(IF($A31=FALSE,0,INDEX('RPS by State'!BM:BM,MATCH($C31,'RPS by State'!$B:$B,0))),0)</f>
        <v>0</v>
      </c>
      <c r="BC31" s="100">
        <f>IFERROR(IF($A31=FALSE,0,INDEX('RPS by State'!BN:BN,MATCH($C31,'RPS by State'!$B:$B,0))),0)</f>
        <v>0</v>
      </c>
      <c r="BD31" s="100">
        <f>IFERROR(IF($A31=FALSE,0,INDEX('RPS by State'!BO:BO,MATCH($C31,'RPS by State'!$B:$B,0))),0)</f>
        <v>0</v>
      </c>
      <c r="BE31" s="100">
        <f>IFERROR(IF($A31=FALSE,0,INDEX('RPS by State'!BP:BP,MATCH($C31,'RPS by State'!$B:$B,0))),0)</f>
        <v>0</v>
      </c>
      <c r="BF31" s="100">
        <f>IFERROR(IF($A31=FALSE,0,INDEX('RPS by State'!BQ:BQ,MATCH($C31,'RPS by State'!$B:$B,0))),0)</f>
        <v>0</v>
      </c>
      <c r="BG31" s="100">
        <f>IFERROR(IF($A31=FALSE,0,INDEX('RPS by State'!BR:BR,MATCH($C31,'RPS by State'!$B:$B,0))),0)</f>
        <v>0</v>
      </c>
      <c r="BH31" s="100">
        <f>IFERROR(IF($A31=FALSE,0,INDEX('RPS by State'!BS:BS,MATCH($C31,'RPS by State'!$B:$B,0))),0)</f>
        <v>0</v>
      </c>
      <c r="BI31" s="100">
        <f>IFERROR(IF($A31=FALSE,0,INDEX('RPS by State'!BT:BT,MATCH($C31,'RPS by State'!$B:$B,0))),0)</f>
        <v>0</v>
      </c>
      <c r="BJ31" s="100">
        <f>IFERROR(IF($A31=FALSE,0,INDEX('RPS by State'!BU:BU,MATCH($C31,'RPS by State'!$B:$B,0))),0)</f>
        <v>0</v>
      </c>
      <c r="BK31" s="100">
        <f>IFERROR(IF($A31=FALSE,0,INDEX('RPS by State'!BV:BV,MATCH($C31,'RPS by State'!$B:$B,0))),0)</f>
        <v>0</v>
      </c>
      <c r="BL31" s="100">
        <f>IFERROR(IF($A31=FALSE,0,INDEX('RPS by State'!BW:BW,MATCH($C31,'RPS by State'!$B:$B,0))),0)</f>
        <v>0</v>
      </c>
      <c r="BM31" s="100">
        <f>IFERROR(IF($A31=FALSE,0,INDEX('RPS by State'!BX:BX,MATCH($C31,'RPS by State'!$B:$B,0))),0)</f>
        <v>0</v>
      </c>
      <c r="BN31" s="100">
        <f>IFERROR(IF($A31=FALSE,0,INDEX('RPS by State'!BY:BY,MATCH($C31,'RPS by State'!$B:$B,0))),0)</f>
        <v>0</v>
      </c>
      <c r="BO31" s="100">
        <f>IFERROR(IF($A31=FALSE,0,INDEX('RPS by State'!BZ:BZ,MATCH($C31,'RPS by State'!$B:$B,0))),0)</f>
        <v>0</v>
      </c>
      <c r="BP31" s="100">
        <f>IFERROR(IF($A31=FALSE,0,INDEX('RPS by State'!CA:CA,MATCH($C31,'RPS by State'!$B:$B,0))),0)</f>
        <v>0</v>
      </c>
      <c r="BQ31" s="100">
        <f>IFERROR(IF($A31=FALSE,0,INDEX('RPS by State'!CB:CB,MATCH($C31,'RPS by State'!$B:$B,0))),0)</f>
        <v>0</v>
      </c>
      <c r="BR31" s="100">
        <f>IFERROR(IF($A31=FALSE,0,INDEX('RPS by State'!CC:CC,MATCH($C31,'RPS by State'!$B:$B,0))),0)</f>
        <v>0</v>
      </c>
      <c r="BS31" s="100">
        <f>IFERROR(IF($A31=FALSE,0,INDEX('RPS by State'!CD:CD,MATCH($C31,'RPS by State'!$B:$B,0))),0)</f>
        <v>0</v>
      </c>
      <c r="BT31" s="100">
        <f>IFERROR(IF($A31=FALSE,0,INDEX('RPS by State'!CE:CE,MATCH($C31,'RPS by State'!$B:$B,0))),0)</f>
        <v>0</v>
      </c>
      <c r="BU31" s="100">
        <f>IFERROR(IF($A31=FALSE,0,INDEX('RPS by State'!CF:CF,MATCH($C31,'RPS by State'!$B:$B,0))),0)</f>
        <v>0</v>
      </c>
      <c r="BV31" s="100">
        <f>IFERROR(IF($A31=FALSE,0,INDEX('RPS by State'!CG:CG,MATCH($C31,'RPS by State'!$B:$B,0))),0)</f>
        <v>0</v>
      </c>
      <c r="BW31" s="100">
        <f>IFERROR(IF($A31=FALSE,0,INDEX('RPS by State'!CH:CH,MATCH($C31,'RPS by State'!$B:$B,0))),0)</f>
        <v>0</v>
      </c>
      <c r="BX31" s="100">
        <f>IFERROR(IF($A31=FALSE,0,INDEX('RPS by State'!CI:CI,MATCH($C31,'RPS by State'!$B:$B,0))),0)</f>
        <v>0</v>
      </c>
      <c r="BY31" s="100">
        <f>IFERROR(IF($A31=FALSE,0,INDEX('RPS by State'!CJ:CJ,MATCH($C31,'RPS by State'!$B:$B,0))),0)</f>
        <v>0</v>
      </c>
      <c r="BZ31" s="100">
        <f>IFERROR(IF($A31=FALSE,0,INDEX('RPS by State'!CK:CK,MATCH($C31,'RPS by State'!$B:$B,0))),0)</f>
        <v>0</v>
      </c>
      <c r="CA31" s="100">
        <f>IFERROR(IF($A31=FALSE,0,INDEX('RPS by State'!CL:CL,MATCH($C31,'RPS by State'!$B:$B,0))),0)</f>
        <v>0</v>
      </c>
      <c r="CB31" s="100">
        <f>IFERROR(IF($A31=FALSE,0,INDEX('RPS by State'!CM:CM,MATCH($C31,'RPS by State'!$B:$B,0))),0)</f>
        <v>0</v>
      </c>
      <c r="CC31" s="100">
        <f>IFERROR(IF($A31=FALSE,0,INDEX('RPS by State'!CN:CN,MATCH($C31,'RPS by State'!$B:$B,0))),0)</f>
        <v>0</v>
      </c>
      <c r="CD31" s="100">
        <f>IFERROR(IF($A31=FALSE,0,INDEX('RPS by State'!CO:CO,MATCH($C31,'RPS by State'!$B:$B,0))),0)</f>
        <v>0</v>
      </c>
      <c r="CE31" s="100">
        <f>IFERROR(IF($A31=FALSE,0,INDEX('RPS by State'!CP:CP,MATCH($C31,'RPS by State'!$B:$B,0))),0)</f>
        <v>0</v>
      </c>
    </row>
    <row r="32" spans="1:83" x14ac:dyDescent="0.25">
      <c r="A32" t="b">
        <f>IFERROR(INDEX('RPS by State'!G:G,MATCH(B32,'RPS by State'!A:A,0)),0)</f>
        <v>1</v>
      </c>
      <c r="B32" s="120" t="s">
        <v>79</v>
      </c>
      <c r="C32" s="120" t="str">
        <f>IFERROR(INDEX(About!L:L,MATCH(B32,About!K:K,0)),0)</f>
        <v>NJ</v>
      </c>
      <c r="D32" s="100">
        <f>IFERROR(IF($A32=FALSE,0,INDEX('RPS by State'!O:O,MATCH($C32,'RPS by State'!$B:$B,0))),0)</f>
        <v>0.21</v>
      </c>
      <c r="E32" s="100">
        <f>IFERROR(IF($A32=FALSE,0,INDEX('RPS by State'!P:P,MATCH($C32,'RPS by State'!$B:$B,0))),0)</f>
        <v>0.245</v>
      </c>
      <c r="F32" s="100">
        <f>IFERROR(IF($A32=FALSE,0,INDEX('RPS by State'!Q:Q,MATCH($C32,'RPS by State'!$B:$B,0))),0)</f>
        <v>0.27999999999999997</v>
      </c>
      <c r="G32" s="100">
        <f>IFERROR(IF($A32=FALSE,0,INDEX('RPS by State'!R:R,MATCH($C32,'RPS by State'!$B:$B,0))),0)</f>
        <v>0.31499999999999995</v>
      </c>
      <c r="H32" s="100">
        <f>IFERROR(IF($A32=FALSE,0,INDEX('RPS by State'!S:S,MATCH($C32,'RPS by State'!$B:$B,0))),0)</f>
        <v>0.35</v>
      </c>
      <c r="I32" s="100">
        <f>IFERROR(IF($A32=FALSE,0,INDEX('RPS by State'!T:T,MATCH($C32,'RPS by State'!$B:$B,0))),0)</f>
        <v>0.38</v>
      </c>
      <c r="J32" s="100">
        <f>IFERROR(IF($A32=FALSE,0,INDEX('RPS by State'!U:U,MATCH($C32,'RPS by State'!$B:$B,0))),0)</f>
        <v>0.41000000000000003</v>
      </c>
      <c r="K32" s="100">
        <f>IFERROR(IF($A32=FALSE,0,INDEX('RPS by State'!V:V,MATCH($C32,'RPS by State'!$B:$B,0))),0)</f>
        <v>0.44000000000000006</v>
      </c>
      <c r="L32" s="100">
        <f>IFERROR(IF($A32=FALSE,0,INDEX('RPS by State'!W:W,MATCH($C32,'RPS by State'!$B:$B,0))),0)</f>
        <v>0.47000000000000008</v>
      </c>
      <c r="M32" s="100">
        <f>IFERROR(IF($A32=FALSE,0,INDEX('RPS by State'!X:X,MATCH($C32,'RPS by State'!$B:$B,0))),0)</f>
        <v>0.5</v>
      </c>
      <c r="N32" s="100">
        <f>IFERROR(IF($A32=FALSE,0,INDEX('RPS by State'!Y:Y,MATCH($C32,'RPS by State'!$B:$B,0))),0)</f>
        <v>0.5</v>
      </c>
      <c r="O32" s="100">
        <f>IFERROR(IF($A32=FALSE,0,INDEX('RPS by State'!Z:Z,MATCH($C32,'RPS by State'!$B:$B,0))),0)</f>
        <v>0.5</v>
      </c>
      <c r="P32" s="100">
        <f>IFERROR(IF($A32=FALSE,0,INDEX('RPS by State'!AA:AA,MATCH($C32,'RPS by State'!$B:$B,0))),0)</f>
        <v>0.5</v>
      </c>
      <c r="Q32" s="100">
        <f>IFERROR(IF($A32=FALSE,0,INDEX('RPS by State'!AB:AB,MATCH($C32,'RPS by State'!$B:$B,0))),0)</f>
        <v>0.5</v>
      </c>
      <c r="R32" s="100">
        <f>IFERROR(IF($A32=FALSE,0,INDEX('RPS by State'!AC:AC,MATCH($C32,'RPS by State'!$B:$B,0))),0)</f>
        <v>0.5</v>
      </c>
      <c r="S32" s="100">
        <f>IFERROR(IF($A32=FALSE,0,INDEX('RPS by State'!AD:AD,MATCH($C32,'RPS by State'!$B:$B,0))),0)</f>
        <v>0.5</v>
      </c>
      <c r="T32" s="100">
        <f>IFERROR(IF($A32=FALSE,0,INDEX('RPS by State'!AE:AE,MATCH($C32,'RPS by State'!$B:$B,0))),0)</f>
        <v>0.5</v>
      </c>
      <c r="U32" s="100">
        <f>IFERROR(IF($A32=FALSE,0,INDEX('RPS by State'!AF:AF,MATCH($C32,'RPS by State'!$B:$B,0))),0)</f>
        <v>0.5</v>
      </c>
      <c r="V32" s="100">
        <f>IFERROR(IF($A32=FALSE,0,INDEX('RPS by State'!AG:AG,MATCH($C32,'RPS by State'!$B:$B,0))),0)</f>
        <v>0.5</v>
      </c>
      <c r="W32" s="100">
        <f>IFERROR(IF($A32=FALSE,0,INDEX('RPS by State'!AH:AH,MATCH($C32,'RPS by State'!$B:$B,0))),0)</f>
        <v>0.5</v>
      </c>
      <c r="X32" s="100">
        <f>IFERROR(IF($A32=FALSE,0,INDEX('RPS by State'!AI:AI,MATCH($C32,'RPS by State'!$B:$B,0))),0)</f>
        <v>0.5</v>
      </c>
      <c r="Y32" s="100">
        <f>IFERROR(IF($A32=FALSE,0,INDEX('RPS by State'!AJ:AJ,MATCH($C32,'RPS by State'!$B:$B,0))),0)</f>
        <v>0.5</v>
      </c>
      <c r="Z32" s="100">
        <f>IFERROR(IF($A32=FALSE,0,INDEX('RPS by State'!AK:AK,MATCH($C32,'RPS by State'!$B:$B,0))),0)</f>
        <v>0.5</v>
      </c>
      <c r="AA32" s="100">
        <f>IFERROR(IF($A32=FALSE,0,INDEX('RPS by State'!AL:AL,MATCH($C32,'RPS by State'!$B:$B,0))),0)</f>
        <v>0.5</v>
      </c>
      <c r="AB32" s="100">
        <f>IFERROR(IF($A32=FALSE,0,INDEX('RPS by State'!AM:AM,MATCH($C32,'RPS by State'!$B:$B,0))),0)</f>
        <v>0.5</v>
      </c>
      <c r="AC32" s="100">
        <f>IFERROR(IF($A32=FALSE,0,INDEX('RPS by State'!AN:AN,MATCH($C32,'RPS by State'!$B:$B,0))),0)</f>
        <v>0.5</v>
      </c>
      <c r="AD32" s="100">
        <f>IFERROR(IF($A32=FALSE,0,INDEX('RPS by State'!AO:AO,MATCH($C32,'RPS by State'!$B:$B,0))),0)</f>
        <v>0.5</v>
      </c>
      <c r="AE32" s="100">
        <f>IFERROR(IF($A32=FALSE,0,INDEX('RPS by State'!AP:AP,MATCH($C32,'RPS by State'!$B:$B,0))),0)</f>
        <v>0.5</v>
      </c>
      <c r="AF32" s="100">
        <f>IFERROR(IF($A32=FALSE,0,INDEX('RPS by State'!AQ:AQ,MATCH($C32,'RPS by State'!$B:$B,0))),0)</f>
        <v>0.5</v>
      </c>
      <c r="AG32" s="100">
        <f>IFERROR(IF($A32=FALSE,0,INDEX('RPS by State'!AR:AR,MATCH($C32,'RPS by State'!$B:$B,0))),0)</f>
        <v>0.5</v>
      </c>
      <c r="AH32" s="100">
        <f>IFERROR(IF($A32=FALSE,0,INDEX('RPS by State'!AS:AS,MATCH($C32,'RPS by State'!$B:$B,0))),0)</f>
        <v>0</v>
      </c>
      <c r="AI32" s="100">
        <f>IFERROR(IF($A32=FALSE,0,INDEX('RPS by State'!AT:AT,MATCH($C32,'RPS by State'!$B:$B,0))),0)</f>
        <v>0</v>
      </c>
      <c r="AJ32" s="100">
        <f>IFERROR(IF($A32=FALSE,0,INDEX('RPS by State'!AU:AU,MATCH($C32,'RPS by State'!$B:$B,0))),0)</f>
        <v>0</v>
      </c>
      <c r="AK32" s="100">
        <f>IFERROR(IF($A32=FALSE,0,INDEX('RPS by State'!AV:AV,MATCH($C32,'RPS by State'!$B:$B,0))),0)</f>
        <v>0</v>
      </c>
      <c r="AL32" s="100">
        <f>IFERROR(IF($A32=FALSE,0,INDEX('RPS by State'!AW:AW,MATCH($C32,'RPS by State'!$B:$B,0))),0)</f>
        <v>0</v>
      </c>
      <c r="AM32" s="100">
        <f>IFERROR(IF($A32=FALSE,0,INDEX('RPS by State'!AX:AX,MATCH($C32,'RPS by State'!$B:$B,0))),0)</f>
        <v>0</v>
      </c>
      <c r="AN32" s="100">
        <f>IFERROR(IF($A32=FALSE,0,INDEX('RPS by State'!AY:AY,MATCH($C32,'RPS by State'!$B:$B,0))),0)</f>
        <v>0</v>
      </c>
      <c r="AO32" s="100">
        <f>IFERROR(IF($A32=FALSE,0,INDEX('RPS by State'!AZ:AZ,MATCH($C32,'RPS by State'!$B:$B,0))),0)</f>
        <v>0</v>
      </c>
      <c r="AP32" s="100">
        <f>IFERROR(IF($A32=FALSE,0,INDEX('RPS by State'!BA:BA,MATCH($C32,'RPS by State'!$B:$B,0))),0)</f>
        <v>0</v>
      </c>
      <c r="AQ32" s="100">
        <f>IFERROR(IF($A32=FALSE,0,INDEX('RPS by State'!BB:BB,MATCH($C32,'RPS by State'!$B:$B,0))),0)</f>
        <v>0</v>
      </c>
      <c r="AR32" s="100">
        <f>IFERROR(IF($A32=FALSE,0,INDEX('RPS by State'!BC:BC,MATCH($C32,'RPS by State'!$B:$B,0))),0)</f>
        <v>0</v>
      </c>
      <c r="AS32" s="100">
        <f>IFERROR(IF($A32=FALSE,0,INDEX('RPS by State'!BD:BD,MATCH($C32,'RPS by State'!$B:$B,0))),0)</f>
        <v>0</v>
      </c>
      <c r="AT32" s="100">
        <f>IFERROR(IF($A32=FALSE,0,INDEX('RPS by State'!BE:BE,MATCH($C32,'RPS by State'!$B:$B,0))),0)</f>
        <v>0</v>
      </c>
      <c r="AU32" s="100">
        <f>IFERROR(IF($A32=FALSE,0,INDEX('RPS by State'!BF:BF,MATCH($C32,'RPS by State'!$B:$B,0))),0)</f>
        <v>0</v>
      </c>
      <c r="AV32" s="100">
        <f>IFERROR(IF($A32=FALSE,0,INDEX('RPS by State'!BG:BG,MATCH($C32,'RPS by State'!$B:$B,0))),0)</f>
        <v>0</v>
      </c>
      <c r="AW32" s="100">
        <f>IFERROR(IF($A32=FALSE,0,INDEX('RPS by State'!BH:BH,MATCH($C32,'RPS by State'!$B:$B,0))),0)</f>
        <v>0</v>
      </c>
      <c r="AX32" s="100">
        <f>IFERROR(IF($A32=FALSE,0,INDEX('RPS by State'!BI:BI,MATCH($C32,'RPS by State'!$B:$B,0))),0)</f>
        <v>0</v>
      </c>
      <c r="AY32" s="100">
        <f>IFERROR(IF($A32=FALSE,0,INDEX('RPS by State'!BJ:BJ,MATCH($C32,'RPS by State'!$B:$B,0))),0)</f>
        <v>0</v>
      </c>
      <c r="AZ32" s="100">
        <f>IFERROR(IF($A32=FALSE,0,INDEX('RPS by State'!BK:BK,MATCH($C32,'RPS by State'!$B:$B,0))),0)</f>
        <v>0</v>
      </c>
      <c r="BA32" s="100">
        <f>IFERROR(IF($A32=FALSE,0,INDEX('RPS by State'!BL:BL,MATCH($C32,'RPS by State'!$B:$B,0))),0)</f>
        <v>0</v>
      </c>
      <c r="BB32" s="100">
        <f>IFERROR(IF($A32=FALSE,0,INDEX('RPS by State'!BM:BM,MATCH($C32,'RPS by State'!$B:$B,0))),0)</f>
        <v>0</v>
      </c>
      <c r="BC32" s="100">
        <f>IFERROR(IF($A32=FALSE,0,INDEX('RPS by State'!BN:BN,MATCH($C32,'RPS by State'!$B:$B,0))),0)</f>
        <v>0</v>
      </c>
      <c r="BD32" s="100">
        <f>IFERROR(IF($A32=FALSE,0,INDEX('RPS by State'!BO:BO,MATCH($C32,'RPS by State'!$B:$B,0))),0)</f>
        <v>0</v>
      </c>
      <c r="BE32" s="100">
        <f>IFERROR(IF($A32=FALSE,0,INDEX('RPS by State'!BP:BP,MATCH($C32,'RPS by State'!$B:$B,0))),0)</f>
        <v>0</v>
      </c>
      <c r="BF32" s="100">
        <f>IFERROR(IF($A32=FALSE,0,INDEX('RPS by State'!BQ:BQ,MATCH($C32,'RPS by State'!$B:$B,0))),0)</f>
        <v>0</v>
      </c>
      <c r="BG32" s="100">
        <f>IFERROR(IF($A32=FALSE,0,INDEX('RPS by State'!BR:BR,MATCH($C32,'RPS by State'!$B:$B,0))),0)</f>
        <v>0</v>
      </c>
      <c r="BH32" s="100">
        <f>IFERROR(IF($A32=FALSE,0,INDEX('RPS by State'!BS:BS,MATCH($C32,'RPS by State'!$B:$B,0))),0)</f>
        <v>0</v>
      </c>
      <c r="BI32" s="100">
        <f>IFERROR(IF($A32=FALSE,0,INDEX('RPS by State'!BT:BT,MATCH($C32,'RPS by State'!$B:$B,0))),0)</f>
        <v>0</v>
      </c>
      <c r="BJ32" s="100">
        <f>IFERROR(IF($A32=FALSE,0,INDEX('RPS by State'!BU:BU,MATCH($C32,'RPS by State'!$B:$B,0))),0)</f>
        <v>0</v>
      </c>
      <c r="BK32" s="100">
        <f>IFERROR(IF($A32=FALSE,0,INDEX('RPS by State'!BV:BV,MATCH($C32,'RPS by State'!$B:$B,0))),0)</f>
        <v>0</v>
      </c>
      <c r="BL32" s="100">
        <f>IFERROR(IF($A32=FALSE,0,INDEX('RPS by State'!BW:BW,MATCH($C32,'RPS by State'!$B:$B,0))),0)</f>
        <v>0</v>
      </c>
      <c r="BM32" s="100">
        <f>IFERROR(IF($A32=FALSE,0,INDEX('RPS by State'!BX:BX,MATCH($C32,'RPS by State'!$B:$B,0))),0)</f>
        <v>0</v>
      </c>
      <c r="BN32" s="100">
        <f>IFERROR(IF($A32=FALSE,0,INDEX('RPS by State'!BY:BY,MATCH($C32,'RPS by State'!$B:$B,0))),0)</f>
        <v>0</v>
      </c>
      <c r="BO32" s="100">
        <f>IFERROR(IF($A32=FALSE,0,INDEX('RPS by State'!BZ:BZ,MATCH($C32,'RPS by State'!$B:$B,0))),0)</f>
        <v>0</v>
      </c>
      <c r="BP32" s="100">
        <f>IFERROR(IF($A32=FALSE,0,INDEX('RPS by State'!CA:CA,MATCH($C32,'RPS by State'!$B:$B,0))),0)</f>
        <v>0</v>
      </c>
      <c r="BQ32" s="100">
        <f>IFERROR(IF($A32=FALSE,0,INDEX('RPS by State'!CB:CB,MATCH($C32,'RPS by State'!$B:$B,0))),0)</f>
        <v>0</v>
      </c>
      <c r="BR32" s="100">
        <f>IFERROR(IF($A32=FALSE,0,INDEX('RPS by State'!CC:CC,MATCH($C32,'RPS by State'!$B:$B,0))),0)</f>
        <v>0</v>
      </c>
      <c r="BS32" s="100">
        <f>IFERROR(IF($A32=FALSE,0,INDEX('RPS by State'!CD:CD,MATCH($C32,'RPS by State'!$B:$B,0))),0)</f>
        <v>0</v>
      </c>
      <c r="BT32" s="100">
        <f>IFERROR(IF($A32=FALSE,0,INDEX('RPS by State'!CE:CE,MATCH($C32,'RPS by State'!$B:$B,0))),0)</f>
        <v>0</v>
      </c>
      <c r="BU32" s="100">
        <f>IFERROR(IF($A32=FALSE,0,INDEX('RPS by State'!CF:CF,MATCH($C32,'RPS by State'!$B:$B,0))),0)</f>
        <v>0</v>
      </c>
      <c r="BV32" s="100">
        <f>IFERROR(IF($A32=FALSE,0,INDEX('RPS by State'!CG:CG,MATCH($C32,'RPS by State'!$B:$B,0))),0)</f>
        <v>0</v>
      </c>
      <c r="BW32" s="100">
        <f>IFERROR(IF($A32=FALSE,0,INDEX('RPS by State'!CH:CH,MATCH($C32,'RPS by State'!$B:$B,0))),0)</f>
        <v>0</v>
      </c>
      <c r="BX32" s="100">
        <f>IFERROR(IF($A32=FALSE,0,INDEX('RPS by State'!CI:CI,MATCH($C32,'RPS by State'!$B:$B,0))),0)</f>
        <v>0</v>
      </c>
      <c r="BY32" s="100">
        <f>IFERROR(IF($A32=FALSE,0,INDEX('RPS by State'!CJ:CJ,MATCH($C32,'RPS by State'!$B:$B,0))),0)</f>
        <v>0</v>
      </c>
      <c r="BZ32" s="100">
        <f>IFERROR(IF($A32=FALSE,0,INDEX('RPS by State'!CK:CK,MATCH($C32,'RPS by State'!$B:$B,0))),0)</f>
        <v>0</v>
      </c>
      <c r="CA32" s="100">
        <f>IFERROR(IF($A32=FALSE,0,INDEX('RPS by State'!CL:CL,MATCH($C32,'RPS by State'!$B:$B,0))),0)</f>
        <v>0</v>
      </c>
      <c r="CB32" s="100">
        <f>IFERROR(IF($A32=FALSE,0,INDEX('RPS by State'!CM:CM,MATCH($C32,'RPS by State'!$B:$B,0))),0)</f>
        <v>0</v>
      </c>
      <c r="CC32" s="100">
        <f>IFERROR(IF($A32=FALSE,0,INDEX('RPS by State'!CN:CN,MATCH($C32,'RPS by State'!$B:$B,0))),0)</f>
        <v>0</v>
      </c>
      <c r="CD32" s="100">
        <f>IFERROR(IF($A32=FALSE,0,INDEX('RPS by State'!CO:CO,MATCH($C32,'RPS by State'!$B:$B,0))),0)</f>
        <v>0</v>
      </c>
      <c r="CE32" s="100">
        <f>IFERROR(IF($A32=FALSE,0,INDEX('RPS by State'!CP:CP,MATCH($C32,'RPS by State'!$B:$B,0))),0)</f>
        <v>0</v>
      </c>
    </row>
    <row r="33" spans="1:83" x14ac:dyDescent="0.25">
      <c r="A33" t="b">
        <f>IFERROR(INDEX('RPS by State'!G:G,MATCH(B33,'RPS by State'!A:A,0)),0)</f>
        <v>1</v>
      </c>
      <c r="B33" s="120" t="s">
        <v>82</v>
      </c>
      <c r="C33" s="120" t="str">
        <f>IFERROR(INDEX(About!L:L,MATCH(B33,About!K:K,0)),0)</f>
        <v>NM</v>
      </c>
      <c r="D33" s="100">
        <f>IFERROR(IF($A33=FALSE,0,INDEX('RPS by State'!O:O,MATCH($C33,'RPS by State'!$B:$B,0))),0)</f>
        <v>0.20212957674626619</v>
      </c>
      <c r="E33" s="100">
        <f>IFERROR(IF($A33=FALSE,0,INDEX('RPS by State'!P:P,MATCH($C33,'RPS by State'!$B:$B,0))),0)</f>
        <v>0.24092171249822505</v>
      </c>
      <c r="F33" s="100">
        <f>IFERROR(IF($A33=FALSE,0,INDEX('RPS by State'!Q:Q,MATCH($C33,'RPS by State'!$B:$B,0))),0)</f>
        <v>0.27971384825018392</v>
      </c>
      <c r="G33" s="100">
        <f>IFERROR(IF($A33=FALSE,0,INDEX('RPS by State'!R:R,MATCH($C33,'RPS by State'!$B:$B,0))),0)</f>
        <v>0.31850598400214281</v>
      </c>
      <c r="H33" s="100">
        <f>IFERROR(IF($A33=FALSE,0,INDEX('RPS by State'!S:S,MATCH($C33,'RPS by State'!$B:$B,0))),0)</f>
        <v>0.35729811975410158</v>
      </c>
      <c r="I33" s="100">
        <f>IFERROR(IF($A33=FALSE,0,INDEX('RPS by State'!T:T,MATCH($C33,'RPS by State'!$B:$B,0))),0)</f>
        <v>0.37516302574180665</v>
      </c>
      <c r="J33" s="100">
        <f>IFERROR(IF($A33=FALSE,0,INDEX('RPS by State'!U:U,MATCH($C33,'RPS by State'!$B:$B,0))),0)</f>
        <v>0.39302793172951167</v>
      </c>
      <c r="K33" s="100">
        <f>IFERROR(IF($A33=FALSE,0,INDEX('RPS by State'!V:V,MATCH($C33,'RPS by State'!$B:$B,0))),0)</f>
        <v>0.41089283771721674</v>
      </c>
      <c r="L33" s="100">
        <f>IFERROR(IF($A33=FALSE,0,INDEX('RPS by State'!W:W,MATCH($C33,'RPS by State'!$B:$B,0))),0)</f>
        <v>0.42875774370492181</v>
      </c>
      <c r="M33" s="100">
        <f>IFERROR(IF($A33=FALSE,0,INDEX('RPS by State'!X:X,MATCH($C33,'RPS by State'!$B:$B,0))),0)</f>
        <v>0.44662264969262699</v>
      </c>
      <c r="N33" s="100">
        <f>IFERROR(IF($A33=FALSE,0,INDEX('RPS by State'!Y:Y,MATCH($C33,'RPS by State'!$B:$B,0))),0)</f>
        <v>0.46710396588505293</v>
      </c>
      <c r="O33" s="100">
        <f>IFERROR(IF($A33=FALSE,0,INDEX('RPS by State'!Z:Z,MATCH($C33,'RPS by State'!$B:$B,0))),0)</f>
        <v>0.48758528207747887</v>
      </c>
      <c r="P33" s="100">
        <f>IFERROR(IF($A33=FALSE,0,INDEX('RPS by State'!AA:AA,MATCH($C33,'RPS by State'!$B:$B,0))),0)</f>
        <v>0.50806659826990475</v>
      </c>
      <c r="Q33" s="100">
        <f>IFERROR(IF($A33=FALSE,0,INDEX('RPS by State'!AB:AB,MATCH($C33,'RPS by State'!$B:$B,0))),0)</f>
        <v>0.52854791446233074</v>
      </c>
      <c r="R33" s="100">
        <f>IFERROR(IF($A33=FALSE,0,INDEX('RPS by State'!AC:AC,MATCH($C33,'RPS by State'!$B:$B,0))),0)</f>
        <v>0.54902923065475662</v>
      </c>
      <c r="S33" s="100">
        <f>IFERROR(IF($A33=FALSE,0,INDEX('RPS by State'!AD:AD,MATCH($C33,'RPS by State'!$B:$B,0))),0)</f>
        <v>0.56951054684718261</v>
      </c>
      <c r="T33" s="100">
        <f>IFERROR(IF($A33=FALSE,0,INDEX('RPS by State'!AE:AE,MATCH($C33,'RPS by State'!$B:$B,0))),0)</f>
        <v>0.58999186303960849</v>
      </c>
      <c r="U33" s="100">
        <f>IFERROR(IF($A33=FALSE,0,INDEX('RPS by State'!AF:AF,MATCH($C33,'RPS by State'!$B:$B,0))),0)</f>
        <v>0.61047317923203448</v>
      </c>
      <c r="V33" s="100">
        <f>IFERROR(IF($A33=FALSE,0,INDEX('RPS by State'!AG:AG,MATCH($C33,'RPS by State'!$B:$B,0))),0)</f>
        <v>0.63095449542446047</v>
      </c>
      <c r="W33" s="100">
        <f>IFERROR(IF($A33=FALSE,0,INDEX('RPS by State'!AH:AH,MATCH($C33,'RPS by State'!$B:$B,0))),0)</f>
        <v>0.65143581161688635</v>
      </c>
      <c r="X33" s="100">
        <f>IFERROR(IF($A33=FALSE,0,INDEX('RPS by State'!AI:AI,MATCH($C33,'RPS by State'!$B:$B,0))),0)</f>
        <v>0.67419282960847071</v>
      </c>
      <c r="Y33" s="100">
        <f>IFERROR(IF($A33=FALSE,0,INDEX('RPS by State'!AJ:AJ,MATCH($C33,'RPS by State'!$B:$B,0))),0)</f>
        <v>0.69694984760005507</v>
      </c>
      <c r="Z33" s="100">
        <f>IFERROR(IF($A33=FALSE,0,INDEX('RPS by State'!AK:AK,MATCH($C33,'RPS by State'!$B:$B,0))),0)</f>
        <v>0.71970686559163943</v>
      </c>
      <c r="AA33" s="100">
        <f>IFERROR(IF($A33=FALSE,0,INDEX('RPS by State'!AL:AL,MATCH($C33,'RPS by State'!$B:$B,0))),0)</f>
        <v>0.74246388358322379</v>
      </c>
      <c r="AB33" s="100">
        <f>IFERROR(IF($A33=FALSE,0,INDEX('RPS by State'!AM:AM,MATCH($C33,'RPS by State'!$B:$B,0))),0)</f>
        <v>0.78797791956639263</v>
      </c>
      <c r="AC33" s="100">
        <f>IFERROR(IF($A33=FALSE,0,INDEX('RPS by State'!AN:AN,MATCH($C33,'RPS by State'!$B:$B,0))),0)</f>
        <v>0.78797791956639263</v>
      </c>
      <c r="AD33" s="100">
        <f>IFERROR(IF($A33=FALSE,0,INDEX('RPS by State'!AO:AO,MATCH($C33,'RPS by State'!$B:$B,0))),0)</f>
        <v>0.78797791956639263</v>
      </c>
      <c r="AE33" s="100">
        <f>IFERROR(IF($A33=FALSE,0,INDEX('RPS by State'!AP:AP,MATCH($C33,'RPS by State'!$B:$B,0))),0)</f>
        <v>0.78797791956639263</v>
      </c>
      <c r="AF33" s="100">
        <f>IFERROR(IF($A33=FALSE,0,INDEX('RPS by State'!AQ:AQ,MATCH($C33,'RPS by State'!$B:$B,0))),0)</f>
        <v>0.78797791956639263</v>
      </c>
      <c r="AG33" s="100">
        <f>IFERROR(IF($A33=FALSE,0,INDEX('RPS by State'!AR:AR,MATCH($C33,'RPS by State'!$B:$B,0))),0)</f>
        <v>0.78797791956639263</v>
      </c>
      <c r="AH33" s="100">
        <f>IFERROR(IF($A33=FALSE,0,INDEX('RPS by State'!AS:AS,MATCH($C33,'RPS by State'!$B:$B,0))),0)</f>
        <v>0</v>
      </c>
      <c r="AI33" s="100">
        <f>IFERROR(IF($A33=FALSE,0,INDEX('RPS by State'!AT:AT,MATCH($C33,'RPS by State'!$B:$B,0))),0)</f>
        <v>0</v>
      </c>
      <c r="AJ33" s="100">
        <f>IFERROR(IF($A33=FALSE,0,INDEX('RPS by State'!AU:AU,MATCH($C33,'RPS by State'!$B:$B,0))),0)</f>
        <v>0</v>
      </c>
      <c r="AK33" s="100">
        <f>IFERROR(IF($A33=FALSE,0,INDEX('RPS by State'!AV:AV,MATCH($C33,'RPS by State'!$B:$B,0))),0)</f>
        <v>0</v>
      </c>
      <c r="AL33" s="100">
        <f>IFERROR(IF($A33=FALSE,0,INDEX('RPS by State'!AW:AW,MATCH($C33,'RPS by State'!$B:$B,0))),0)</f>
        <v>0</v>
      </c>
      <c r="AM33" s="100">
        <f>IFERROR(IF($A33=FALSE,0,INDEX('RPS by State'!AX:AX,MATCH($C33,'RPS by State'!$B:$B,0))),0)</f>
        <v>0</v>
      </c>
      <c r="AN33" s="100">
        <f>IFERROR(IF($A33=FALSE,0,INDEX('RPS by State'!AY:AY,MATCH($C33,'RPS by State'!$B:$B,0))),0)</f>
        <v>0</v>
      </c>
      <c r="AO33" s="100">
        <f>IFERROR(IF($A33=FALSE,0,INDEX('RPS by State'!AZ:AZ,MATCH($C33,'RPS by State'!$B:$B,0))),0)</f>
        <v>0</v>
      </c>
      <c r="AP33" s="100">
        <f>IFERROR(IF($A33=FALSE,0,INDEX('RPS by State'!BA:BA,MATCH($C33,'RPS by State'!$B:$B,0))),0)</f>
        <v>0</v>
      </c>
      <c r="AQ33" s="100">
        <f>IFERROR(IF($A33=FALSE,0,INDEX('RPS by State'!BB:BB,MATCH($C33,'RPS by State'!$B:$B,0))),0)</f>
        <v>0</v>
      </c>
      <c r="AR33" s="100">
        <f>IFERROR(IF($A33=FALSE,0,INDEX('RPS by State'!BC:BC,MATCH($C33,'RPS by State'!$B:$B,0))),0)</f>
        <v>0</v>
      </c>
      <c r="AS33" s="100">
        <f>IFERROR(IF($A33=FALSE,0,INDEX('RPS by State'!BD:BD,MATCH($C33,'RPS by State'!$B:$B,0))),0)</f>
        <v>0</v>
      </c>
      <c r="AT33" s="100">
        <f>IFERROR(IF($A33=FALSE,0,INDEX('RPS by State'!BE:BE,MATCH($C33,'RPS by State'!$B:$B,0))),0)</f>
        <v>0</v>
      </c>
      <c r="AU33" s="100">
        <f>IFERROR(IF($A33=FALSE,0,INDEX('RPS by State'!BF:BF,MATCH($C33,'RPS by State'!$B:$B,0))),0)</f>
        <v>0</v>
      </c>
      <c r="AV33" s="100">
        <f>IFERROR(IF($A33=FALSE,0,INDEX('RPS by State'!BG:BG,MATCH($C33,'RPS by State'!$B:$B,0))),0)</f>
        <v>0</v>
      </c>
      <c r="AW33" s="100">
        <f>IFERROR(IF($A33=FALSE,0,INDEX('RPS by State'!BH:BH,MATCH($C33,'RPS by State'!$B:$B,0))),0)</f>
        <v>0</v>
      </c>
      <c r="AX33" s="100">
        <f>IFERROR(IF($A33=FALSE,0,INDEX('RPS by State'!BI:BI,MATCH($C33,'RPS by State'!$B:$B,0))),0)</f>
        <v>0</v>
      </c>
      <c r="AY33" s="100">
        <f>IFERROR(IF($A33=FALSE,0,INDEX('RPS by State'!BJ:BJ,MATCH($C33,'RPS by State'!$B:$B,0))),0)</f>
        <v>0</v>
      </c>
      <c r="AZ33" s="100">
        <f>IFERROR(IF($A33=FALSE,0,INDEX('RPS by State'!BK:BK,MATCH($C33,'RPS by State'!$B:$B,0))),0)</f>
        <v>0</v>
      </c>
      <c r="BA33" s="100">
        <f>IFERROR(IF($A33=FALSE,0,INDEX('RPS by State'!BL:BL,MATCH($C33,'RPS by State'!$B:$B,0))),0)</f>
        <v>0</v>
      </c>
      <c r="BB33" s="100">
        <f>IFERROR(IF($A33=FALSE,0,INDEX('RPS by State'!BM:BM,MATCH($C33,'RPS by State'!$B:$B,0))),0)</f>
        <v>0</v>
      </c>
      <c r="BC33" s="100">
        <f>IFERROR(IF($A33=FALSE,0,INDEX('RPS by State'!BN:BN,MATCH($C33,'RPS by State'!$B:$B,0))),0)</f>
        <v>0</v>
      </c>
      <c r="BD33" s="100">
        <f>IFERROR(IF($A33=FALSE,0,INDEX('RPS by State'!BO:BO,MATCH($C33,'RPS by State'!$B:$B,0))),0)</f>
        <v>0</v>
      </c>
      <c r="BE33" s="100">
        <f>IFERROR(IF($A33=FALSE,0,INDEX('RPS by State'!BP:BP,MATCH($C33,'RPS by State'!$B:$B,0))),0)</f>
        <v>0</v>
      </c>
      <c r="BF33" s="100">
        <f>IFERROR(IF($A33=FALSE,0,INDEX('RPS by State'!BQ:BQ,MATCH($C33,'RPS by State'!$B:$B,0))),0)</f>
        <v>0</v>
      </c>
      <c r="BG33" s="100">
        <f>IFERROR(IF($A33=FALSE,0,INDEX('RPS by State'!BR:BR,MATCH($C33,'RPS by State'!$B:$B,0))),0)</f>
        <v>0</v>
      </c>
      <c r="BH33" s="100">
        <f>IFERROR(IF($A33=FALSE,0,INDEX('RPS by State'!BS:BS,MATCH($C33,'RPS by State'!$B:$B,0))),0)</f>
        <v>0</v>
      </c>
      <c r="BI33" s="100">
        <f>IFERROR(IF($A33=FALSE,0,INDEX('RPS by State'!BT:BT,MATCH($C33,'RPS by State'!$B:$B,0))),0)</f>
        <v>0</v>
      </c>
      <c r="BJ33" s="100">
        <f>IFERROR(IF($A33=FALSE,0,INDEX('RPS by State'!BU:BU,MATCH($C33,'RPS by State'!$B:$B,0))),0)</f>
        <v>0</v>
      </c>
      <c r="BK33" s="100">
        <f>IFERROR(IF($A33=FALSE,0,INDEX('RPS by State'!BV:BV,MATCH($C33,'RPS by State'!$B:$B,0))),0)</f>
        <v>0</v>
      </c>
      <c r="BL33" s="100">
        <f>IFERROR(IF($A33=FALSE,0,INDEX('RPS by State'!BW:BW,MATCH($C33,'RPS by State'!$B:$B,0))),0)</f>
        <v>0</v>
      </c>
      <c r="BM33" s="100">
        <f>IFERROR(IF($A33=FALSE,0,INDEX('RPS by State'!BX:BX,MATCH($C33,'RPS by State'!$B:$B,0))),0)</f>
        <v>0</v>
      </c>
      <c r="BN33" s="100">
        <f>IFERROR(IF($A33=FALSE,0,INDEX('RPS by State'!BY:BY,MATCH($C33,'RPS by State'!$B:$B,0))),0)</f>
        <v>0</v>
      </c>
      <c r="BO33" s="100">
        <f>IFERROR(IF($A33=FALSE,0,INDEX('RPS by State'!BZ:BZ,MATCH($C33,'RPS by State'!$B:$B,0))),0)</f>
        <v>0</v>
      </c>
      <c r="BP33" s="100">
        <f>IFERROR(IF($A33=FALSE,0,INDEX('RPS by State'!CA:CA,MATCH($C33,'RPS by State'!$B:$B,0))),0)</f>
        <v>0</v>
      </c>
      <c r="BQ33" s="100">
        <f>IFERROR(IF($A33=FALSE,0,INDEX('RPS by State'!CB:CB,MATCH($C33,'RPS by State'!$B:$B,0))),0)</f>
        <v>0</v>
      </c>
      <c r="BR33" s="100">
        <f>IFERROR(IF($A33=FALSE,0,INDEX('RPS by State'!CC:CC,MATCH($C33,'RPS by State'!$B:$B,0))),0)</f>
        <v>0</v>
      </c>
      <c r="BS33" s="100">
        <f>IFERROR(IF($A33=FALSE,0,INDEX('RPS by State'!CD:CD,MATCH($C33,'RPS by State'!$B:$B,0))),0)</f>
        <v>0</v>
      </c>
      <c r="BT33" s="100">
        <f>IFERROR(IF($A33=FALSE,0,INDEX('RPS by State'!CE:CE,MATCH($C33,'RPS by State'!$B:$B,0))),0)</f>
        <v>0</v>
      </c>
      <c r="BU33" s="100">
        <f>IFERROR(IF($A33=FALSE,0,INDEX('RPS by State'!CF:CF,MATCH($C33,'RPS by State'!$B:$B,0))),0)</f>
        <v>0</v>
      </c>
      <c r="BV33" s="100">
        <f>IFERROR(IF($A33=FALSE,0,INDEX('RPS by State'!CG:CG,MATCH($C33,'RPS by State'!$B:$B,0))),0)</f>
        <v>0</v>
      </c>
      <c r="BW33" s="100">
        <f>IFERROR(IF($A33=FALSE,0,INDEX('RPS by State'!CH:CH,MATCH($C33,'RPS by State'!$B:$B,0))),0)</f>
        <v>0</v>
      </c>
      <c r="BX33" s="100">
        <f>IFERROR(IF($A33=FALSE,0,INDEX('RPS by State'!CI:CI,MATCH($C33,'RPS by State'!$B:$B,0))),0)</f>
        <v>0</v>
      </c>
      <c r="BY33" s="100">
        <f>IFERROR(IF($A33=FALSE,0,INDEX('RPS by State'!CJ:CJ,MATCH($C33,'RPS by State'!$B:$B,0))),0)</f>
        <v>0</v>
      </c>
      <c r="BZ33" s="100">
        <f>IFERROR(IF($A33=FALSE,0,INDEX('RPS by State'!CK:CK,MATCH($C33,'RPS by State'!$B:$B,0))),0)</f>
        <v>0</v>
      </c>
      <c r="CA33" s="100">
        <f>IFERROR(IF($A33=FALSE,0,INDEX('RPS by State'!CL:CL,MATCH($C33,'RPS by State'!$B:$B,0))),0)</f>
        <v>0</v>
      </c>
      <c r="CB33" s="100">
        <f>IFERROR(IF($A33=FALSE,0,INDEX('RPS by State'!CM:CM,MATCH($C33,'RPS by State'!$B:$B,0))),0)</f>
        <v>0</v>
      </c>
      <c r="CC33" s="100">
        <f>IFERROR(IF($A33=FALSE,0,INDEX('RPS by State'!CN:CN,MATCH($C33,'RPS by State'!$B:$B,0))),0)</f>
        <v>0</v>
      </c>
      <c r="CD33" s="100">
        <f>IFERROR(IF($A33=FALSE,0,INDEX('RPS by State'!CO:CO,MATCH($C33,'RPS by State'!$B:$B,0))),0)</f>
        <v>0</v>
      </c>
      <c r="CE33" s="100">
        <f>IFERROR(IF($A33=FALSE,0,INDEX('RPS by State'!CP:CP,MATCH($C33,'RPS by State'!$B:$B,0))),0)</f>
        <v>0</v>
      </c>
    </row>
    <row r="34" spans="1:83" x14ac:dyDescent="0.25">
      <c r="A34" t="b">
        <f>IFERROR(INDEX('RPS by State'!G:G,MATCH(B34,'RPS by State'!A:A,0)),0)</f>
        <v>1</v>
      </c>
      <c r="B34" s="120" t="s">
        <v>85</v>
      </c>
      <c r="C34" s="120" t="str">
        <f>IFERROR(INDEX(About!L:L,MATCH(B34,About!K:K,0)),0)</f>
        <v>NY</v>
      </c>
      <c r="D34" s="100">
        <f>IFERROR(IF($A34=FALSE,0,INDEX('RPS by State'!O:O,MATCH($C34,'RPS by State'!$B:$B,0))),0)</f>
        <v>0.45399999999999996</v>
      </c>
      <c r="E34" s="100">
        <f>IFERROR(IF($A34=FALSE,0,INDEX('RPS by State'!P:P,MATCH($C34,'RPS by State'!$B:$B,0))),0)</f>
        <v>0.48133333333333328</v>
      </c>
      <c r="F34" s="100">
        <f>IFERROR(IF($A34=FALSE,0,INDEX('RPS by State'!Q:Q,MATCH($C34,'RPS by State'!$B:$B,0))),0)</f>
        <v>0.5086666666666666</v>
      </c>
      <c r="G34" s="100">
        <f>IFERROR(IF($A34=FALSE,0,INDEX('RPS by State'!R:R,MATCH($C34,'RPS by State'!$B:$B,0))),0)</f>
        <v>0.53600000000000003</v>
      </c>
      <c r="H34" s="100">
        <f>IFERROR(IF($A34=FALSE,0,INDEX('RPS by State'!S:S,MATCH($C34,'RPS by State'!$B:$B,0))),0)</f>
        <v>0.56333333333333324</v>
      </c>
      <c r="I34" s="100">
        <f>IFERROR(IF($A34=FALSE,0,INDEX('RPS by State'!T:T,MATCH($C34,'RPS by State'!$B:$B,0))),0)</f>
        <v>0.59066666666666667</v>
      </c>
      <c r="J34" s="100">
        <f>IFERROR(IF($A34=FALSE,0,INDEX('RPS by State'!U:U,MATCH($C34,'RPS by State'!$B:$B,0))),0)</f>
        <v>0.61799999999999999</v>
      </c>
      <c r="K34" s="100">
        <f>IFERROR(IF($A34=FALSE,0,INDEX('RPS by State'!V:V,MATCH($C34,'RPS by State'!$B:$B,0))),0)</f>
        <v>0.64533333333333331</v>
      </c>
      <c r="L34" s="100">
        <f>IFERROR(IF($A34=FALSE,0,INDEX('RPS by State'!W:W,MATCH($C34,'RPS by State'!$B:$B,0))),0)</f>
        <v>0.67266666666666652</v>
      </c>
      <c r="M34" s="100">
        <f>IFERROR(IF($A34=FALSE,0,INDEX('RPS by State'!X:X,MATCH($C34,'RPS by State'!$B:$B,0))),0)</f>
        <v>0.7</v>
      </c>
      <c r="N34" s="100">
        <f>IFERROR(IF($A34=FALSE,0,INDEX('RPS by State'!Y:Y,MATCH($C34,'RPS by State'!$B:$B,0))),0)</f>
        <v>0.73</v>
      </c>
      <c r="O34" s="100">
        <f>IFERROR(IF($A34=FALSE,0,INDEX('RPS by State'!Z:Z,MATCH($C34,'RPS by State'!$B:$B,0))),0)</f>
        <v>0.76</v>
      </c>
      <c r="P34" s="100">
        <f>IFERROR(IF($A34=FALSE,0,INDEX('RPS by State'!AA:AA,MATCH($C34,'RPS by State'!$B:$B,0))),0)</f>
        <v>0.78999999999999992</v>
      </c>
      <c r="Q34" s="100">
        <f>IFERROR(IF($A34=FALSE,0,INDEX('RPS by State'!AB:AB,MATCH($C34,'RPS by State'!$B:$B,0))),0)</f>
        <v>0.82</v>
      </c>
      <c r="R34" s="100">
        <f>IFERROR(IF($A34=FALSE,0,INDEX('RPS by State'!AC:AC,MATCH($C34,'RPS by State'!$B:$B,0))),0)</f>
        <v>0.85</v>
      </c>
      <c r="S34" s="100">
        <f>IFERROR(IF($A34=FALSE,0,INDEX('RPS by State'!AD:AD,MATCH($C34,'RPS by State'!$B:$B,0))),0)</f>
        <v>0.88</v>
      </c>
      <c r="T34" s="100">
        <f>IFERROR(IF($A34=FALSE,0,INDEX('RPS by State'!AE:AE,MATCH($C34,'RPS by State'!$B:$B,0))),0)</f>
        <v>0.91</v>
      </c>
      <c r="U34" s="100">
        <f>IFERROR(IF($A34=FALSE,0,INDEX('RPS by State'!AF:AF,MATCH($C34,'RPS by State'!$B:$B,0))),0)</f>
        <v>0.94</v>
      </c>
      <c r="V34" s="100">
        <f>IFERROR(IF($A34=FALSE,0,INDEX('RPS by State'!AG:AG,MATCH($C34,'RPS by State'!$B:$B,0))),0)</f>
        <v>0.97</v>
      </c>
      <c r="W34" s="100">
        <f>IFERROR(IF($A34=FALSE,0,INDEX('RPS by State'!AH:AH,MATCH($C34,'RPS by State'!$B:$B,0))),0)</f>
        <v>1</v>
      </c>
      <c r="X34" s="100">
        <f>IFERROR(IF($A34=FALSE,0,INDEX('RPS by State'!AI:AI,MATCH($C34,'RPS by State'!$B:$B,0))),0)</f>
        <v>1</v>
      </c>
      <c r="Y34" s="100">
        <f>IFERROR(IF($A34=FALSE,0,INDEX('RPS by State'!AJ:AJ,MATCH($C34,'RPS by State'!$B:$B,0))),0)</f>
        <v>1</v>
      </c>
      <c r="Z34" s="100">
        <f>IFERROR(IF($A34=FALSE,0,INDEX('RPS by State'!AK:AK,MATCH($C34,'RPS by State'!$B:$B,0))),0)</f>
        <v>1</v>
      </c>
      <c r="AA34" s="100">
        <f>IFERROR(IF($A34=FALSE,0,INDEX('RPS by State'!AL:AL,MATCH($C34,'RPS by State'!$B:$B,0))),0)</f>
        <v>1</v>
      </c>
      <c r="AB34" s="100">
        <f>IFERROR(IF($A34=FALSE,0,INDEX('RPS by State'!AM:AM,MATCH($C34,'RPS by State'!$B:$B,0))),0)</f>
        <v>1</v>
      </c>
      <c r="AC34" s="100">
        <f>IFERROR(IF($A34=FALSE,0,INDEX('RPS by State'!AN:AN,MATCH($C34,'RPS by State'!$B:$B,0))),0)</f>
        <v>1</v>
      </c>
      <c r="AD34" s="100">
        <f>IFERROR(IF($A34=FALSE,0,INDEX('RPS by State'!AO:AO,MATCH($C34,'RPS by State'!$B:$B,0))),0)</f>
        <v>1</v>
      </c>
      <c r="AE34" s="100">
        <f>IFERROR(IF($A34=FALSE,0,INDEX('RPS by State'!AP:AP,MATCH($C34,'RPS by State'!$B:$B,0))),0)</f>
        <v>1</v>
      </c>
      <c r="AF34" s="100">
        <f>IFERROR(IF($A34=FALSE,0,INDEX('RPS by State'!AQ:AQ,MATCH($C34,'RPS by State'!$B:$B,0))),0)</f>
        <v>1</v>
      </c>
      <c r="AG34" s="100">
        <f>IFERROR(IF($A34=FALSE,0,INDEX('RPS by State'!AR:AR,MATCH($C34,'RPS by State'!$B:$B,0))),0)</f>
        <v>1</v>
      </c>
      <c r="AH34" s="100">
        <f>IFERROR(IF($A34=FALSE,0,INDEX('RPS by State'!AS:AS,MATCH($C34,'RPS by State'!$B:$B,0))),0)</f>
        <v>0</v>
      </c>
      <c r="AI34" s="100">
        <f>IFERROR(IF($A34=FALSE,0,INDEX('RPS by State'!AT:AT,MATCH($C34,'RPS by State'!$B:$B,0))),0)</f>
        <v>0</v>
      </c>
      <c r="AJ34" s="100">
        <f>IFERROR(IF($A34=FALSE,0,INDEX('RPS by State'!AU:AU,MATCH($C34,'RPS by State'!$B:$B,0))),0)</f>
        <v>0</v>
      </c>
      <c r="AK34" s="100">
        <f>IFERROR(IF($A34=FALSE,0,INDEX('RPS by State'!AV:AV,MATCH($C34,'RPS by State'!$B:$B,0))),0)</f>
        <v>0</v>
      </c>
      <c r="AL34" s="100">
        <f>IFERROR(IF($A34=FALSE,0,INDEX('RPS by State'!AW:AW,MATCH($C34,'RPS by State'!$B:$B,0))),0)</f>
        <v>0</v>
      </c>
      <c r="AM34" s="100">
        <f>IFERROR(IF($A34=FALSE,0,INDEX('RPS by State'!AX:AX,MATCH($C34,'RPS by State'!$B:$B,0))),0)</f>
        <v>0</v>
      </c>
      <c r="AN34" s="100">
        <f>IFERROR(IF($A34=FALSE,0,INDEX('RPS by State'!AY:AY,MATCH($C34,'RPS by State'!$B:$B,0))),0)</f>
        <v>0</v>
      </c>
      <c r="AO34" s="100">
        <f>IFERROR(IF($A34=FALSE,0,INDEX('RPS by State'!AZ:AZ,MATCH($C34,'RPS by State'!$B:$B,0))),0)</f>
        <v>0</v>
      </c>
      <c r="AP34" s="100">
        <f>IFERROR(IF($A34=FALSE,0,INDEX('RPS by State'!BA:BA,MATCH($C34,'RPS by State'!$B:$B,0))),0)</f>
        <v>0</v>
      </c>
      <c r="AQ34" s="100">
        <f>IFERROR(IF($A34=FALSE,0,INDEX('RPS by State'!BB:BB,MATCH($C34,'RPS by State'!$B:$B,0))),0)</f>
        <v>0</v>
      </c>
      <c r="AR34" s="100">
        <f>IFERROR(IF($A34=FALSE,0,INDEX('RPS by State'!BC:BC,MATCH($C34,'RPS by State'!$B:$B,0))),0)</f>
        <v>0</v>
      </c>
      <c r="AS34" s="100">
        <f>IFERROR(IF($A34=FALSE,0,INDEX('RPS by State'!BD:BD,MATCH($C34,'RPS by State'!$B:$B,0))),0)</f>
        <v>0</v>
      </c>
      <c r="AT34" s="100">
        <f>IFERROR(IF($A34=FALSE,0,INDEX('RPS by State'!BE:BE,MATCH($C34,'RPS by State'!$B:$B,0))),0)</f>
        <v>0</v>
      </c>
      <c r="AU34" s="100">
        <f>IFERROR(IF($A34=FALSE,0,INDEX('RPS by State'!BF:BF,MATCH($C34,'RPS by State'!$B:$B,0))),0)</f>
        <v>0</v>
      </c>
      <c r="AV34" s="100">
        <f>IFERROR(IF($A34=FALSE,0,INDEX('RPS by State'!BG:BG,MATCH($C34,'RPS by State'!$B:$B,0))),0)</f>
        <v>0</v>
      </c>
      <c r="AW34" s="100">
        <f>IFERROR(IF($A34=FALSE,0,INDEX('RPS by State'!BH:BH,MATCH($C34,'RPS by State'!$B:$B,0))),0)</f>
        <v>0</v>
      </c>
      <c r="AX34" s="100">
        <f>IFERROR(IF($A34=FALSE,0,INDEX('RPS by State'!BI:BI,MATCH($C34,'RPS by State'!$B:$B,0))),0)</f>
        <v>0</v>
      </c>
      <c r="AY34" s="100">
        <f>IFERROR(IF($A34=FALSE,0,INDEX('RPS by State'!BJ:BJ,MATCH($C34,'RPS by State'!$B:$B,0))),0)</f>
        <v>0</v>
      </c>
      <c r="AZ34" s="100">
        <f>IFERROR(IF($A34=FALSE,0,INDEX('RPS by State'!BK:BK,MATCH($C34,'RPS by State'!$B:$B,0))),0)</f>
        <v>0</v>
      </c>
      <c r="BA34" s="100">
        <f>IFERROR(IF($A34=FALSE,0,INDEX('RPS by State'!BL:BL,MATCH($C34,'RPS by State'!$B:$B,0))),0)</f>
        <v>0</v>
      </c>
      <c r="BB34" s="100">
        <f>IFERROR(IF($A34=FALSE,0,INDEX('RPS by State'!BM:BM,MATCH($C34,'RPS by State'!$B:$B,0))),0)</f>
        <v>0</v>
      </c>
      <c r="BC34" s="100">
        <f>IFERROR(IF($A34=FALSE,0,INDEX('RPS by State'!BN:BN,MATCH($C34,'RPS by State'!$B:$B,0))),0)</f>
        <v>0</v>
      </c>
      <c r="BD34" s="100">
        <f>IFERROR(IF($A34=FALSE,0,INDEX('RPS by State'!BO:BO,MATCH($C34,'RPS by State'!$B:$B,0))),0)</f>
        <v>0</v>
      </c>
      <c r="BE34" s="100">
        <f>IFERROR(IF($A34=FALSE,0,INDEX('RPS by State'!BP:BP,MATCH($C34,'RPS by State'!$B:$B,0))),0)</f>
        <v>0</v>
      </c>
      <c r="BF34" s="100">
        <f>IFERROR(IF($A34=FALSE,0,INDEX('RPS by State'!BQ:BQ,MATCH($C34,'RPS by State'!$B:$B,0))),0)</f>
        <v>0</v>
      </c>
      <c r="BG34" s="100">
        <f>IFERROR(IF($A34=FALSE,0,INDEX('RPS by State'!BR:BR,MATCH($C34,'RPS by State'!$B:$B,0))),0)</f>
        <v>0</v>
      </c>
      <c r="BH34" s="100">
        <f>IFERROR(IF($A34=FALSE,0,INDEX('RPS by State'!BS:BS,MATCH($C34,'RPS by State'!$B:$B,0))),0)</f>
        <v>0</v>
      </c>
      <c r="BI34" s="100">
        <f>IFERROR(IF($A34=FALSE,0,INDEX('RPS by State'!BT:BT,MATCH($C34,'RPS by State'!$B:$B,0))),0)</f>
        <v>0</v>
      </c>
      <c r="BJ34" s="100">
        <f>IFERROR(IF($A34=FALSE,0,INDEX('RPS by State'!BU:BU,MATCH($C34,'RPS by State'!$B:$B,0))),0)</f>
        <v>0</v>
      </c>
      <c r="BK34" s="100">
        <f>IFERROR(IF($A34=FALSE,0,INDEX('RPS by State'!BV:BV,MATCH($C34,'RPS by State'!$B:$B,0))),0)</f>
        <v>0</v>
      </c>
      <c r="BL34" s="100">
        <f>IFERROR(IF($A34=FALSE,0,INDEX('RPS by State'!BW:BW,MATCH($C34,'RPS by State'!$B:$B,0))),0)</f>
        <v>0</v>
      </c>
      <c r="BM34" s="100">
        <f>IFERROR(IF($A34=FALSE,0,INDEX('RPS by State'!BX:BX,MATCH($C34,'RPS by State'!$B:$B,0))),0)</f>
        <v>0</v>
      </c>
      <c r="BN34" s="100">
        <f>IFERROR(IF($A34=FALSE,0,INDEX('RPS by State'!BY:BY,MATCH($C34,'RPS by State'!$B:$B,0))),0)</f>
        <v>0</v>
      </c>
      <c r="BO34" s="100">
        <f>IFERROR(IF($A34=FALSE,0,INDEX('RPS by State'!BZ:BZ,MATCH($C34,'RPS by State'!$B:$B,0))),0)</f>
        <v>0</v>
      </c>
      <c r="BP34" s="100">
        <f>IFERROR(IF($A34=FALSE,0,INDEX('RPS by State'!CA:CA,MATCH($C34,'RPS by State'!$B:$B,0))),0)</f>
        <v>0</v>
      </c>
      <c r="BQ34" s="100">
        <f>IFERROR(IF($A34=FALSE,0,INDEX('RPS by State'!CB:CB,MATCH($C34,'RPS by State'!$B:$B,0))),0)</f>
        <v>0</v>
      </c>
      <c r="BR34" s="100">
        <f>IFERROR(IF($A34=FALSE,0,INDEX('RPS by State'!CC:CC,MATCH($C34,'RPS by State'!$B:$B,0))),0)</f>
        <v>0</v>
      </c>
      <c r="BS34" s="100">
        <f>IFERROR(IF($A34=FALSE,0,INDEX('RPS by State'!CD:CD,MATCH($C34,'RPS by State'!$B:$B,0))),0)</f>
        <v>0</v>
      </c>
      <c r="BT34" s="100">
        <f>IFERROR(IF($A34=FALSE,0,INDEX('RPS by State'!CE:CE,MATCH($C34,'RPS by State'!$B:$B,0))),0)</f>
        <v>0</v>
      </c>
      <c r="BU34" s="100">
        <f>IFERROR(IF($A34=FALSE,0,INDEX('RPS by State'!CF:CF,MATCH($C34,'RPS by State'!$B:$B,0))),0)</f>
        <v>0</v>
      </c>
      <c r="BV34" s="100">
        <f>IFERROR(IF($A34=FALSE,0,INDEX('RPS by State'!CG:CG,MATCH($C34,'RPS by State'!$B:$B,0))),0)</f>
        <v>0</v>
      </c>
      <c r="BW34" s="100">
        <f>IFERROR(IF($A34=FALSE,0,INDEX('RPS by State'!CH:CH,MATCH($C34,'RPS by State'!$B:$B,0))),0)</f>
        <v>0</v>
      </c>
      <c r="BX34" s="100">
        <f>IFERROR(IF($A34=FALSE,0,INDEX('RPS by State'!CI:CI,MATCH($C34,'RPS by State'!$B:$B,0))),0)</f>
        <v>0</v>
      </c>
      <c r="BY34" s="100">
        <f>IFERROR(IF($A34=FALSE,0,INDEX('RPS by State'!CJ:CJ,MATCH($C34,'RPS by State'!$B:$B,0))),0)</f>
        <v>0</v>
      </c>
      <c r="BZ34" s="100">
        <f>IFERROR(IF($A34=FALSE,0,INDEX('RPS by State'!CK:CK,MATCH($C34,'RPS by State'!$B:$B,0))),0)</f>
        <v>0</v>
      </c>
      <c r="CA34" s="100">
        <f>IFERROR(IF($A34=FALSE,0,INDEX('RPS by State'!CL:CL,MATCH($C34,'RPS by State'!$B:$B,0))),0)</f>
        <v>0</v>
      </c>
      <c r="CB34" s="100">
        <f>IFERROR(IF($A34=FALSE,0,INDEX('RPS by State'!CM:CM,MATCH($C34,'RPS by State'!$B:$B,0))),0)</f>
        <v>0</v>
      </c>
      <c r="CC34" s="100">
        <f>IFERROR(IF($A34=FALSE,0,INDEX('RPS by State'!CN:CN,MATCH($C34,'RPS by State'!$B:$B,0))),0)</f>
        <v>0</v>
      </c>
      <c r="CD34" s="100">
        <f>IFERROR(IF($A34=FALSE,0,INDEX('RPS by State'!CO:CO,MATCH($C34,'RPS by State'!$B:$B,0))),0)</f>
        <v>0</v>
      </c>
      <c r="CE34" s="100">
        <f>IFERROR(IF($A34=FALSE,0,INDEX('RPS by State'!CP:CP,MATCH($C34,'RPS by State'!$B:$B,0))),0)</f>
        <v>0</v>
      </c>
    </row>
    <row r="35" spans="1:83" x14ac:dyDescent="0.25">
      <c r="A35" t="b">
        <f>IFERROR(INDEX('RPS by State'!G:G,MATCH(B35,'RPS by State'!A:A,0)),0)</f>
        <v>1</v>
      </c>
      <c r="B35" s="120" t="s">
        <v>88</v>
      </c>
      <c r="C35" s="120" t="str">
        <f>IFERROR(INDEX(About!L:L,MATCH(B35,About!K:K,0)),0)</f>
        <v>NC</v>
      </c>
      <c r="D35" s="100">
        <f>IFERROR(IF($A35=FALSE,0,INDEX('RPS by State'!O:O,MATCH($C35,'RPS by State'!$B:$B,0))),0)</f>
        <v>0.11874276334932966</v>
      </c>
      <c r="E35" s="100">
        <f>IFERROR(IF($A35=FALSE,0,INDEX('RPS by State'!P:P,MATCH($C35,'RPS by State'!$B:$B,0))),0)</f>
        <v>0.11874276334932966</v>
      </c>
      <c r="F35" s="100">
        <f>IFERROR(IF($A35=FALSE,0,INDEX('RPS by State'!Q:Q,MATCH($C35,'RPS by State'!$B:$B,0))),0)</f>
        <v>0.11874276334932966</v>
      </c>
      <c r="G35" s="100">
        <f>IFERROR(IF($A35=FALSE,0,INDEX('RPS by State'!R:R,MATCH($C35,'RPS by State'!$B:$B,0))),0)</f>
        <v>0.11874276334932966</v>
      </c>
      <c r="H35" s="100">
        <f>IFERROR(IF($A35=FALSE,0,INDEX('RPS by State'!S:S,MATCH($C35,'RPS by State'!$B:$B,0))),0)</f>
        <v>0.11874276334932966</v>
      </c>
      <c r="I35" s="100">
        <f>IFERROR(IF($A35=FALSE,0,INDEX('RPS by State'!T:T,MATCH($C35,'RPS by State'!$B:$B,0))),0)</f>
        <v>0.11874276334932966</v>
      </c>
      <c r="J35" s="100">
        <f>IFERROR(IF($A35=FALSE,0,INDEX('RPS by State'!U:U,MATCH($C35,'RPS by State'!$B:$B,0))),0)</f>
        <v>0.11874276334932966</v>
      </c>
      <c r="K35" s="100">
        <f>IFERROR(IF($A35=FALSE,0,INDEX('RPS by State'!V:V,MATCH($C35,'RPS by State'!$B:$B,0))),0)</f>
        <v>0.11874276334932966</v>
      </c>
      <c r="L35" s="100">
        <f>IFERROR(IF($A35=FALSE,0,INDEX('RPS by State'!W:W,MATCH($C35,'RPS by State'!$B:$B,0))),0)</f>
        <v>0.11874276334932966</v>
      </c>
      <c r="M35" s="100">
        <f>IFERROR(IF($A35=FALSE,0,INDEX('RPS by State'!X:X,MATCH($C35,'RPS by State'!$B:$B,0))),0)</f>
        <v>0.11874276334932966</v>
      </c>
      <c r="N35" s="100">
        <f>IFERROR(IF($A35=FALSE,0,INDEX('RPS by State'!Y:Y,MATCH($C35,'RPS by State'!$B:$B,0))),0)</f>
        <v>0.11874276334932966</v>
      </c>
      <c r="O35" s="100">
        <f>IFERROR(IF($A35=FALSE,0,INDEX('RPS by State'!Z:Z,MATCH($C35,'RPS by State'!$B:$B,0))),0)</f>
        <v>0.11874276334932966</v>
      </c>
      <c r="P35" s="100">
        <f>IFERROR(IF($A35=FALSE,0,INDEX('RPS by State'!AA:AA,MATCH($C35,'RPS by State'!$B:$B,0))),0)</f>
        <v>0.11874276334932966</v>
      </c>
      <c r="Q35" s="100">
        <f>IFERROR(IF($A35=FALSE,0,INDEX('RPS by State'!AB:AB,MATCH($C35,'RPS by State'!$B:$B,0))),0)</f>
        <v>0.11874276334932966</v>
      </c>
      <c r="R35" s="100">
        <f>IFERROR(IF($A35=FALSE,0,INDEX('RPS by State'!AC:AC,MATCH($C35,'RPS by State'!$B:$B,0))),0)</f>
        <v>0.11874276334932966</v>
      </c>
      <c r="S35" s="100">
        <f>IFERROR(IF($A35=FALSE,0,INDEX('RPS by State'!AD:AD,MATCH($C35,'RPS by State'!$B:$B,0))),0)</f>
        <v>0.11874276334932966</v>
      </c>
      <c r="T35" s="100">
        <f>IFERROR(IF($A35=FALSE,0,INDEX('RPS by State'!AE:AE,MATCH($C35,'RPS by State'!$B:$B,0))),0)</f>
        <v>0.11874276334932966</v>
      </c>
      <c r="U35" s="100">
        <f>IFERROR(IF($A35=FALSE,0,INDEX('RPS by State'!AF:AF,MATCH($C35,'RPS by State'!$B:$B,0))),0)</f>
        <v>0.11874276334932966</v>
      </c>
      <c r="V35" s="100">
        <f>IFERROR(IF($A35=FALSE,0,INDEX('RPS by State'!AG:AG,MATCH($C35,'RPS by State'!$B:$B,0))),0)</f>
        <v>0.11874276334932966</v>
      </c>
      <c r="W35" s="100">
        <f>IFERROR(IF($A35=FALSE,0,INDEX('RPS by State'!AH:AH,MATCH($C35,'RPS by State'!$B:$B,0))),0)</f>
        <v>0.11874276334932966</v>
      </c>
      <c r="X35" s="100">
        <f>IFERROR(IF($A35=FALSE,0,INDEX('RPS by State'!AI:AI,MATCH($C35,'RPS by State'!$B:$B,0))),0)</f>
        <v>0.11874276334932966</v>
      </c>
      <c r="Y35" s="100">
        <f>IFERROR(IF($A35=FALSE,0,INDEX('RPS by State'!AJ:AJ,MATCH($C35,'RPS by State'!$B:$B,0))),0)</f>
        <v>0.11874276334932966</v>
      </c>
      <c r="Z35" s="100">
        <f>IFERROR(IF($A35=FALSE,0,INDEX('RPS by State'!AK:AK,MATCH($C35,'RPS by State'!$B:$B,0))),0)</f>
        <v>0.11874276334932966</v>
      </c>
      <c r="AA35" s="100">
        <f>IFERROR(IF($A35=FALSE,0,INDEX('RPS by State'!AL:AL,MATCH($C35,'RPS by State'!$B:$B,0))),0)</f>
        <v>0.11874276334932966</v>
      </c>
      <c r="AB35" s="100">
        <f>IFERROR(IF($A35=FALSE,0,INDEX('RPS by State'!AM:AM,MATCH($C35,'RPS by State'!$B:$B,0))),0)</f>
        <v>0.11874276334932966</v>
      </c>
      <c r="AC35" s="100">
        <f>IFERROR(IF($A35=FALSE,0,INDEX('RPS by State'!AN:AN,MATCH($C35,'RPS by State'!$B:$B,0))),0)</f>
        <v>0.11874276334932966</v>
      </c>
      <c r="AD35" s="100">
        <f>IFERROR(IF($A35=FALSE,0,INDEX('RPS by State'!AO:AO,MATCH($C35,'RPS by State'!$B:$B,0))),0)</f>
        <v>0.11874276334932966</v>
      </c>
      <c r="AE35" s="100">
        <f>IFERROR(IF($A35=FALSE,0,INDEX('RPS by State'!AP:AP,MATCH($C35,'RPS by State'!$B:$B,0))),0)</f>
        <v>0.11874276334932966</v>
      </c>
      <c r="AF35" s="100">
        <f>IFERROR(IF($A35=FALSE,0,INDEX('RPS by State'!AQ:AQ,MATCH($C35,'RPS by State'!$B:$B,0))),0)</f>
        <v>0.11874276334932966</v>
      </c>
      <c r="AG35" s="100">
        <f>IFERROR(IF($A35=FALSE,0,INDEX('RPS by State'!AR:AR,MATCH($C35,'RPS by State'!$B:$B,0))),0)</f>
        <v>0.11874276334932966</v>
      </c>
      <c r="AH35" s="100">
        <f>IFERROR(IF($A35=FALSE,0,INDEX('RPS by State'!AS:AS,MATCH($C35,'RPS by State'!$B:$B,0))),0)</f>
        <v>0</v>
      </c>
      <c r="AI35" s="100">
        <f>IFERROR(IF($A35=FALSE,0,INDEX('RPS by State'!AT:AT,MATCH($C35,'RPS by State'!$B:$B,0))),0)</f>
        <v>0</v>
      </c>
      <c r="AJ35" s="100">
        <f>IFERROR(IF($A35=FALSE,0,INDEX('RPS by State'!AU:AU,MATCH($C35,'RPS by State'!$B:$B,0))),0)</f>
        <v>0</v>
      </c>
      <c r="AK35" s="100">
        <f>IFERROR(IF($A35=FALSE,0,INDEX('RPS by State'!AV:AV,MATCH($C35,'RPS by State'!$B:$B,0))),0)</f>
        <v>0</v>
      </c>
      <c r="AL35" s="100">
        <f>IFERROR(IF($A35=FALSE,0,INDEX('RPS by State'!AW:AW,MATCH($C35,'RPS by State'!$B:$B,0))),0)</f>
        <v>0</v>
      </c>
      <c r="AM35" s="100">
        <f>IFERROR(IF($A35=FALSE,0,INDEX('RPS by State'!AX:AX,MATCH($C35,'RPS by State'!$B:$B,0))),0)</f>
        <v>0</v>
      </c>
      <c r="AN35" s="100">
        <f>IFERROR(IF($A35=FALSE,0,INDEX('RPS by State'!AY:AY,MATCH($C35,'RPS by State'!$B:$B,0))),0)</f>
        <v>0</v>
      </c>
      <c r="AO35" s="100">
        <f>IFERROR(IF($A35=FALSE,0,INDEX('RPS by State'!AZ:AZ,MATCH($C35,'RPS by State'!$B:$B,0))),0)</f>
        <v>0</v>
      </c>
      <c r="AP35" s="100">
        <f>IFERROR(IF($A35=FALSE,0,INDEX('RPS by State'!BA:BA,MATCH($C35,'RPS by State'!$B:$B,0))),0)</f>
        <v>0</v>
      </c>
      <c r="AQ35" s="100">
        <f>IFERROR(IF($A35=FALSE,0,INDEX('RPS by State'!BB:BB,MATCH($C35,'RPS by State'!$B:$B,0))),0)</f>
        <v>0</v>
      </c>
      <c r="AR35" s="100">
        <f>IFERROR(IF($A35=FALSE,0,INDEX('RPS by State'!BC:BC,MATCH($C35,'RPS by State'!$B:$B,0))),0)</f>
        <v>0</v>
      </c>
      <c r="AS35" s="100">
        <f>IFERROR(IF($A35=FALSE,0,INDEX('RPS by State'!BD:BD,MATCH($C35,'RPS by State'!$B:$B,0))),0)</f>
        <v>0</v>
      </c>
      <c r="AT35" s="100">
        <f>IFERROR(IF($A35=FALSE,0,INDEX('RPS by State'!BE:BE,MATCH($C35,'RPS by State'!$B:$B,0))),0)</f>
        <v>0</v>
      </c>
      <c r="AU35" s="100">
        <f>IFERROR(IF($A35=FALSE,0,INDEX('RPS by State'!BF:BF,MATCH($C35,'RPS by State'!$B:$B,0))),0)</f>
        <v>0</v>
      </c>
      <c r="AV35" s="100">
        <f>IFERROR(IF($A35=FALSE,0,INDEX('RPS by State'!BG:BG,MATCH($C35,'RPS by State'!$B:$B,0))),0)</f>
        <v>0</v>
      </c>
      <c r="AW35" s="100">
        <f>IFERROR(IF($A35=FALSE,0,INDEX('RPS by State'!BH:BH,MATCH($C35,'RPS by State'!$B:$B,0))),0)</f>
        <v>0</v>
      </c>
      <c r="AX35" s="100">
        <f>IFERROR(IF($A35=FALSE,0,INDEX('RPS by State'!BI:BI,MATCH($C35,'RPS by State'!$B:$B,0))),0)</f>
        <v>0</v>
      </c>
      <c r="AY35" s="100">
        <f>IFERROR(IF($A35=FALSE,0,INDEX('RPS by State'!BJ:BJ,MATCH($C35,'RPS by State'!$B:$B,0))),0)</f>
        <v>0</v>
      </c>
      <c r="AZ35" s="100">
        <f>IFERROR(IF($A35=FALSE,0,INDEX('RPS by State'!BK:BK,MATCH($C35,'RPS by State'!$B:$B,0))),0)</f>
        <v>0</v>
      </c>
      <c r="BA35" s="100">
        <f>IFERROR(IF($A35=FALSE,0,INDEX('RPS by State'!BL:BL,MATCH($C35,'RPS by State'!$B:$B,0))),0)</f>
        <v>0</v>
      </c>
      <c r="BB35" s="100">
        <f>IFERROR(IF($A35=FALSE,0,INDEX('RPS by State'!BM:BM,MATCH($C35,'RPS by State'!$B:$B,0))),0)</f>
        <v>0</v>
      </c>
      <c r="BC35" s="100">
        <f>IFERROR(IF($A35=FALSE,0,INDEX('RPS by State'!BN:BN,MATCH($C35,'RPS by State'!$B:$B,0))),0)</f>
        <v>0</v>
      </c>
      <c r="BD35" s="100">
        <f>IFERROR(IF($A35=FALSE,0,INDEX('RPS by State'!BO:BO,MATCH($C35,'RPS by State'!$B:$B,0))),0)</f>
        <v>0</v>
      </c>
      <c r="BE35" s="100">
        <f>IFERROR(IF($A35=FALSE,0,INDEX('RPS by State'!BP:BP,MATCH($C35,'RPS by State'!$B:$B,0))),0)</f>
        <v>0</v>
      </c>
      <c r="BF35" s="100">
        <f>IFERROR(IF($A35=FALSE,0,INDEX('RPS by State'!BQ:BQ,MATCH($C35,'RPS by State'!$B:$B,0))),0)</f>
        <v>0</v>
      </c>
      <c r="BG35" s="100">
        <f>IFERROR(IF($A35=FALSE,0,INDEX('RPS by State'!BR:BR,MATCH($C35,'RPS by State'!$B:$B,0))),0)</f>
        <v>0</v>
      </c>
      <c r="BH35" s="100">
        <f>IFERROR(IF($A35=FALSE,0,INDEX('RPS by State'!BS:BS,MATCH($C35,'RPS by State'!$B:$B,0))),0)</f>
        <v>0</v>
      </c>
      <c r="BI35" s="100">
        <f>IFERROR(IF($A35=FALSE,0,INDEX('RPS by State'!BT:BT,MATCH($C35,'RPS by State'!$B:$B,0))),0)</f>
        <v>0</v>
      </c>
      <c r="BJ35" s="100">
        <f>IFERROR(IF($A35=FALSE,0,INDEX('RPS by State'!BU:BU,MATCH($C35,'RPS by State'!$B:$B,0))),0)</f>
        <v>0</v>
      </c>
      <c r="BK35" s="100">
        <f>IFERROR(IF($A35=FALSE,0,INDEX('RPS by State'!BV:BV,MATCH($C35,'RPS by State'!$B:$B,0))),0)</f>
        <v>0</v>
      </c>
      <c r="BL35" s="100">
        <f>IFERROR(IF($A35=FALSE,0,INDEX('RPS by State'!BW:BW,MATCH($C35,'RPS by State'!$B:$B,0))),0)</f>
        <v>0</v>
      </c>
      <c r="BM35" s="100">
        <f>IFERROR(IF($A35=FALSE,0,INDEX('RPS by State'!BX:BX,MATCH($C35,'RPS by State'!$B:$B,0))),0)</f>
        <v>0</v>
      </c>
      <c r="BN35" s="100">
        <f>IFERROR(IF($A35=FALSE,0,INDEX('RPS by State'!BY:BY,MATCH($C35,'RPS by State'!$B:$B,0))),0)</f>
        <v>0</v>
      </c>
      <c r="BO35" s="100">
        <f>IFERROR(IF($A35=FALSE,0,INDEX('RPS by State'!BZ:BZ,MATCH($C35,'RPS by State'!$B:$B,0))),0)</f>
        <v>0</v>
      </c>
      <c r="BP35" s="100">
        <f>IFERROR(IF($A35=FALSE,0,INDEX('RPS by State'!CA:CA,MATCH($C35,'RPS by State'!$B:$B,0))),0)</f>
        <v>0</v>
      </c>
      <c r="BQ35" s="100">
        <f>IFERROR(IF($A35=FALSE,0,INDEX('RPS by State'!CB:CB,MATCH($C35,'RPS by State'!$B:$B,0))),0)</f>
        <v>0</v>
      </c>
      <c r="BR35" s="100">
        <f>IFERROR(IF($A35=FALSE,0,INDEX('RPS by State'!CC:CC,MATCH($C35,'RPS by State'!$B:$B,0))),0)</f>
        <v>0</v>
      </c>
      <c r="BS35" s="100">
        <f>IFERROR(IF($A35=FALSE,0,INDEX('RPS by State'!CD:CD,MATCH($C35,'RPS by State'!$B:$B,0))),0)</f>
        <v>0</v>
      </c>
      <c r="BT35" s="100">
        <f>IFERROR(IF($A35=FALSE,0,INDEX('RPS by State'!CE:CE,MATCH($C35,'RPS by State'!$B:$B,0))),0)</f>
        <v>0</v>
      </c>
      <c r="BU35" s="100">
        <f>IFERROR(IF($A35=FALSE,0,INDEX('RPS by State'!CF:CF,MATCH($C35,'RPS by State'!$B:$B,0))),0)</f>
        <v>0</v>
      </c>
      <c r="BV35" s="100">
        <f>IFERROR(IF($A35=FALSE,0,INDEX('RPS by State'!CG:CG,MATCH($C35,'RPS by State'!$B:$B,0))),0)</f>
        <v>0</v>
      </c>
      <c r="BW35" s="100">
        <f>IFERROR(IF($A35=FALSE,0,INDEX('RPS by State'!CH:CH,MATCH($C35,'RPS by State'!$B:$B,0))),0)</f>
        <v>0</v>
      </c>
      <c r="BX35" s="100">
        <f>IFERROR(IF($A35=FALSE,0,INDEX('RPS by State'!CI:CI,MATCH($C35,'RPS by State'!$B:$B,0))),0)</f>
        <v>0</v>
      </c>
      <c r="BY35" s="100">
        <f>IFERROR(IF($A35=FALSE,0,INDEX('RPS by State'!CJ:CJ,MATCH($C35,'RPS by State'!$B:$B,0))),0)</f>
        <v>0</v>
      </c>
      <c r="BZ35" s="100">
        <f>IFERROR(IF($A35=FALSE,0,INDEX('RPS by State'!CK:CK,MATCH($C35,'RPS by State'!$B:$B,0))),0)</f>
        <v>0</v>
      </c>
      <c r="CA35" s="100">
        <f>IFERROR(IF($A35=FALSE,0,INDEX('RPS by State'!CL:CL,MATCH($C35,'RPS by State'!$B:$B,0))),0)</f>
        <v>0</v>
      </c>
      <c r="CB35" s="100">
        <f>IFERROR(IF($A35=FALSE,0,INDEX('RPS by State'!CM:CM,MATCH($C35,'RPS by State'!$B:$B,0))),0)</f>
        <v>0</v>
      </c>
      <c r="CC35" s="100">
        <f>IFERROR(IF($A35=FALSE,0,INDEX('RPS by State'!CN:CN,MATCH($C35,'RPS by State'!$B:$B,0))),0)</f>
        <v>0</v>
      </c>
      <c r="CD35" s="100">
        <f>IFERROR(IF($A35=FALSE,0,INDEX('RPS by State'!CO:CO,MATCH($C35,'RPS by State'!$B:$B,0))),0)</f>
        <v>0</v>
      </c>
      <c r="CE35" s="100">
        <f>IFERROR(IF($A35=FALSE,0,INDEX('RPS by State'!CP:CP,MATCH($C35,'RPS by State'!$B:$B,0))),0)</f>
        <v>0</v>
      </c>
    </row>
    <row r="36" spans="1:83" x14ac:dyDescent="0.25">
      <c r="A36" t="b">
        <f>IFERROR(INDEX('RPS by State'!G:G,MATCH(B36,'RPS by State'!A:A,0)),0)</f>
        <v>0</v>
      </c>
      <c r="B36" s="120" t="s">
        <v>90</v>
      </c>
      <c r="C36" s="120" t="str">
        <f>IFERROR(INDEX(About!L:L,MATCH(B36,About!K:K,0)),0)</f>
        <v>ND</v>
      </c>
      <c r="D36" s="100">
        <f>IFERROR(IF($A36=FALSE,0,INDEX('RPS by State'!O:O,MATCH($C36,'RPS by State'!$B:$B,0))),0)</f>
        <v>0</v>
      </c>
      <c r="E36" s="100">
        <f>IFERROR(IF($A36=FALSE,0,INDEX('RPS by State'!P:P,MATCH($C36,'RPS by State'!$B:$B,0))),0)</f>
        <v>0</v>
      </c>
      <c r="F36" s="100">
        <f>IFERROR(IF($A36=FALSE,0,INDEX('RPS by State'!Q:Q,MATCH($C36,'RPS by State'!$B:$B,0))),0)</f>
        <v>0</v>
      </c>
      <c r="G36" s="100">
        <f>IFERROR(IF($A36=FALSE,0,INDEX('RPS by State'!R:R,MATCH($C36,'RPS by State'!$B:$B,0))),0)</f>
        <v>0</v>
      </c>
      <c r="H36" s="100">
        <f>IFERROR(IF($A36=FALSE,0,INDEX('RPS by State'!S:S,MATCH($C36,'RPS by State'!$B:$B,0))),0)</f>
        <v>0</v>
      </c>
      <c r="I36" s="100">
        <f>IFERROR(IF($A36=FALSE,0,INDEX('RPS by State'!T:T,MATCH($C36,'RPS by State'!$B:$B,0))),0)</f>
        <v>0</v>
      </c>
      <c r="J36" s="100">
        <f>IFERROR(IF($A36=FALSE,0,INDEX('RPS by State'!U:U,MATCH($C36,'RPS by State'!$B:$B,0))),0)</f>
        <v>0</v>
      </c>
      <c r="K36" s="100">
        <f>IFERROR(IF($A36=FALSE,0,INDEX('RPS by State'!V:V,MATCH($C36,'RPS by State'!$B:$B,0))),0)</f>
        <v>0</v>
      </c>
      <c r="L36" s="100">
        <f>IFERROR(IF($A36=FALSE,0,INDEX('RPS by State'!W:W,MATCH($C36,'RPS by State'!$B:$B,0))),0)</f>
        <v>0</v>
      </c>
      <c r="M36" s="100">
        <f>IFERROR(IF($A36=FALSE,0,INDEX('RPS by State'!X:X,MATCH($C36,'RPS by State'!$B:$B,0))),0)</f>
        <v>0</v>
      </c>
      <c r="N36" s="100">
        <f>IFERROR(IF($A36=FALSE,0,INDEX('RPS by State'!Y:Y,MATCH($C36,'RPS by State'!$B:$B,0))),0)</f>
        <v>0</v>
      </c>
      <c r="O36" s="100">
        <f>IFERROR(IF($A36=FALSE,0,INDEX('RPS by State'!Z:Z,MATCH($C36,'RPS by State'!$B:$B,0))),0)</f>
        <v>0</v>
      </c>
      <c r="P36" s="100">
        <f>IFERROR(IF($A36=FALSE,0,INDEX('RPS by State'!AA:AA,MATCH($C36,'RPS by State'!$B:$B,0))),0)</f>
        <v>0</v>
      </c>
      <c r="Q36" s="100">
        <f>IFERROR(IF($A36=FALSE,0,INDEX('RPS by State'!AB:AB,MATCH($C36,'RPS by State'!$B:$B,0))),0)</f>
        <v>0</v>
      </c>
      <c r="R36" s="100">
        <f>IFERROR(IF($A36=FALSE,0,INDEX('RPS by State'!AC:AC,MATCH($C36,'RPS by State'!$B:$B,0))),0)</f>
        <v>0</v>
      </c>
      <c r="S36" s="100">
        <f>IFERROR(IF($A36=FALSE,0,INDEX('RPS by State'!AD:AD,MATCH($C36,'RPS by State'!$B:$B,0))),0)</f>
        <v>0</v>
      </c>
      <c r="T36" s="100">
        <f>IFERROR(IF($A36=FALSE,0,INDEX('RPS by State'!AE:AE,MATCH($C36,'RPS by State'!$B:$B,0))),0)</f>
        <v>0</v>
      </c>
      <c r="U36" s="100">
        <f>IFERROR(IF($A36=FALSE,0,INDEX('RPS by State'!AF:AF,MATCH($C36,'RPS by State'!$B:$B,0))),0)</f>
        <v>0</v>
      </c>
      <c r="V36" s="100">
        <f>IFERROR(IF($A36=FALSE,0,INDEX('RPS by State'!AG:AG,MATCH($C36,'RPS by State'!$B:$B,0))),0)</f>
        <v>0</v>
      </c>
      <c r="W36" s="100">
        <f>IFERROR(IF($A36=FALSE,0,INDEX('RPS by State'!AH:AH,MATCH($C36,'RPS by State'!$B:$B,0))),0)</f>
        <v>0</v>
      </c>
      <c r="X36" s="100">
        <f>IFERROR(IF($A36=FALSE,0,INDEX('RPS by State'!AI:AI,MATCH($C36,'RPS by State'!$B:$B,0))),0)</f>
        <v>0</v>
      </c>
      <c r="Y36" s="100">
        <f>IFERROR(IF($A36=FALSE,0,INDEX('RPS by State'!AJ:AJ,MATCH($C36,'RPS by State'!$B:$B,0))),0)</f>
        <v>0</v>
      </c>
      <c r="Z36" s="100">
        <f>IFERROR(IF($A36=FALSE,0,INDEX('RPS by State'!AK:AK,MATCH($C36,'RPS by State'!$B:$B,0))),0)</f>
        <v>0</v>
      </c>
      <c r="AA36" s="100">
        <f>IFERROR(IF($A36=FALSE,0,INDEX('RPS by State'!AL:AL,MATCH($C36,'RPS by State'!$B:$B,0))),0)</f>
        <v>0</v>
      </c>
      <c r="AB36" s="100">
        <f>IFERROR(IF($A36=FALSE,0,INDEX('RPS by State'!AM:AM,MATCH($C36,'RPS by State'!$B:$B,0))),0)</f>
        <v>0</v>
      </c>
      <c r="AC36" s="100">
        <f>IFERROR(IF($A36=FALSE,0,INDEX('RPS by State'!AN:AN,MATCH($C36,'RPS by State'!$B:$B,0))),0)</f>
        <v>0</v>
      </c>
      <c r="AD36" s="100">
        <f>IFERROR(IF($A36=FALSE,0,INDEX('RPS by State'!AO:AO,MATCH($C36,'RPS by State'!$B:$B,0))),0)</f>
        <v>0</v>
      </c>
      <c r="AE36" s="100">
        <f>IFERROR(IF($A36=FALSE,0,INDEX('RPS by State'!AP:AP,MATCH($C36,'RPS by State'!$B:$B,0))),0)</f>
        <v>0</v>
      </c>
      <c r="AF36" s="100">
        <f>IFERROR(IF($A36=FALSE,0,INDEX('RPS by State'!AQ:AQ,MATCH($C36,'RPS by State'!$B:$B,0))),0)</f>
        <v>0</v>
      </c>
      <c r="AG36" s="100">
        <f>IFERROR(IF($A36=FALSE,0,INDEX('RPS by State'!AR:AR,MATCH($C36,'RPS by State'!$B:$B,0))),0)</f>
        <v>0</v>
      </c>
      <c r="AH36" s="100">
        <f>IFERROR(IF($A36=FALSE,0,INDEX('RPS by State'!AS:AS,MATCH($C36,'RPS by State'!$B:$B,0))),0)</f>
        <v>0</v>
      </c>
      <c r="AI36" s="100">
        <f>IFERROR(IF($A36=FALSE,0,INDEX('RPS by State'!AT:AT,MATCH($C36,'RPS by State'!$B:$B,0))),0)</f>
        <v>0</v>
      </c>
      <c r="AJ36" s="100">
        <f>IFERROR(IF($A36=FALSE,0,INDEX('RPS by State'!AU:AU,MATCH($C36,'RPS by State'!$B:$B,0))),0)</f>
        <v>0</v>
      </c>
      <c r="AK36" s="100">
        <f>IFERROR(IF($A36=FALSE,0,INDEX('RPS by State'!AV:AV,MATCH($C36,'RPS by State'!$B:$B,0))),0)</f>
        <v>0</v>
      </c>
      <c r="AL36" s="100">
        <f>IFERROR(IF($A36=FALSE,0,INDEX('RPS by State'!AW:AW,MATCH($C36,'RPS by State'!$B:$B,0))),0)</f>
        <v>0</v>
      </c>
      <c r="AM36" s="100">
        <f>IFERROR(IF($A36=FALSE,0,INDEX('RPS by State'!AX:AX,MATCH($C36,'RPS by State'!$B:$B,0))),0)</f>
        <v>0</v>
      </c>
      <c r="AN36" s="100">
        <f>IFERROR(IF($A36=FALSE,0,INDEX('RPS by State'!AY:AY,MATCH($C36,'RPS by State'!$B:$B,0))),0)</f>
        <v>0</v>
      </c>
      <c r="AO36" s="100">
        <f>IFERROR(IF($A36=FALSE,0,INDEX('RPS by State'!AZ:AZ,MATCH($C36,'RPS by State'!$B:$B,0))),0)</f>
        <v>0</v>
      </c>
      <c r="AP36" s="100">
        <f>IFERROR(IF($A36=FALSE,0,INDEX('RPS by State'!BA:BA,MATCH($C36,'RPS by State'!$B:$B,0))),0)</f>
        <v>0</v>
      </c>
      <c r="AQ36" s="100">
        <f>IFERROR(IF($A36=FALSE,0,INDEX('RPS by State'!BB:BB,MATCH($C36,'RPS by State'!$B:$B,0))),0)</f>
        <v>0</v>
      </c>
      <c r="AR36" s="100">
        <f>IFERROR(IF($A36=FALSE,0,INDEX('RPS by State'!BC:BC,MATCH($C36,'RPS by State'!$B:$B,0))),0)</f>
        <v>0</v>
      </c>
      <c r="AS36" s="100">
        <f>IFERROR(IF($A36=FALSE,0,INDEX('RPS by State'!BD:BD,MATCH($C36,'RPS by State'!$B:$B,0))),0)</f>
        <v>0</v>
      </c>
      <c r="AT36" s="100">
        <f>IFERROR(IF($A36=FALSE,0,INDEX('RPS by State'!BE:BE,MATCH($C36,'RPS by State'!$B:$B,0))),0)</f>
        <v>0</v>
      </c>
      <c r="AU36" s="100">
        <f>IFERROR(IF($A36=FALSE,0,INDEX('RPS by State'!BF:BF,MATCH($C36,'RPS by State'!$B:$B,0))),0)</f>
        <v>0</v>
      </c>
      <c r="AV36" s="100">
        <f>IFERROR(IF($A36=FALSE,0,INDEX('RPS by State'!BG:BG,MATCH($C36,'RPS by State'!$B:$B,0))),0)</f>
        <v>0</v>
      </c>
      <c r="AW36" s="100">
        <f>IFERROR(IF($A36=FALSE,0,INDEX('RPS by State'!BH:BH,MATCH($C36,'RPS by State'!$B:$B,0))),0)</f>
        <v>0</v>
      </c>
      <c r="AX36" s="100">
        <f>IFERROR(IF($A36=FALSE,0,INDEX('RPS by State'!BI:BI,MATCH($C36,'RPS by State'!$B:$B,0))),0)</f>
        <v>0</v>
      </c>
      <c r="AY36" s="100">
        <f>IFERROR(IF($A36=FALSE,0,INDEX('RPS by State'!BJ:BJ,MATCH($C36,'RPS by State'!$B:$B,0))),0)</f>
        <v>0</v>
      </c>
      <c r="AZ36" s="100">
        <f>IFERROR(IF($A36=FALSE,0,INDEX('RPS by State'!BK:BK,MATCH($C36,'RPS by State'!$B:$B,0))),0)</f>
        <v>0</v>
      </c>
      <c r="BA36" s="100">
        <f>IFERROR(IF($A36=FALSE,0,INDEX('RPS by State'!BL:BL,MATCH($C36,'RPS by State'!$B:$B,0))),0)</f>
        <v>0</v>
      </c>
      <c r="BB36" s="100">
        <f>IFERROR(IF($A36=FALSE,0,INDEX('RPS by State'!BM:BM,MATCH($C36,'RPS by State'!$B:$B,0))),0)</f>
        <v>0</v>
      </c>
      <c r="BC36" s="100">
        <f>IFERROR(IF($A36=FALSE,0,INDEX('RPS by State'!BN:BN,MATCH($C36,'RPS by State'!$B:$B,0))),0)</f>
        <v>0</v>
      </c>
      <c r="BD36" s="100">
        <f>IFERROR(IF($A36=FALSE,0,INDEX('RPS by State'!BO:BO,MATCH($C36,'RPS by State'!$B:$B,0))),0)</f>
        <v>0</v>
      </c>
      <c r="BE36" s="100">
        <f>IFERROR(IF($A36=FALSE,0,INDEX('RPS by State'!BP:BP,MATCH($C36,'RPS by State'!$B:$B,0))),0)</f>
        <v>0</v>
      </c>
      <c r="BF36" s="100">
        <f>IFERROR(IF($A36=FALSE,0,INDEX('RPS by State'!BQ:BQ,MATCH($C36,'RPS by State'!$B:$B,0))),0)</f>
        <v>0</v>
      </c>
      <c r="BG36" s="100">
        <f>IFERROR(IF($A36=FALSE,0,INDEX('RPS by State'!BR:BR,MATCH($C36,'RPS by State'!$B:$B,0))),0)</f>
        <v>0</v>
      </c>
      <c r="BH36" s="100">
        <f>IFERROR(IF($A36=FALSE,0,INDEX('RPS by State'!BS:BS,MATCH($C36,'RPS by State'!$B:$B,0))),0)</f>
        <v>0</v>
      </c>
      <c r="BI36" s="100">
        <f>IFERROR(IF($A36=FALSE,0,INDEX('RPS by State'!BT:BT,MATCH($C36,'RPS by State'!$B:$B,0))),0)</f>
        <v>0</v>
      </c>
      <c r="BJ36" s="100">
        <f>IFERROR(IF($A36=FALSE,0,INDEX('RPS by State'!BU:BU,MATCH($C36,'RPS by State'!$B:$B,0))),0)</f>
        <v>0</v>
      </c>
      <c r="BK36" s="100">
        <f>IFERROR(IF($A36=FALSE,0,INDEX('RPS by State'!BV:BV,MATCH($C36,'RPS by State'!$B:$B,0))),0)</f>
        <v>0</v>
      </c>
      <c r="BL36" s="100">
        <f>IFERROR(IF($A36=FALSE,0,INDEX('RPS by State'!BW:BW,MATCH($C36,'RPS by State'!$B:$B,0))),0)</f>
        <v>0</v>
      </c>
      <c r="BM36" s="100">
        <f>IFERROR(IF($A36=FALSE,0,INDEX('RPS by State'!BX:BX,MATCH($C36,'RPS by State'!$B:$B,0))),0)</f>
        <v>0</v>
      </c>
      <c r="BN36" s="100">
        <f>IFERROR(IF($A36=FALSE,0,INDEX('RPS by State'!BY:BY,MATCH($C36,'RPS by State'!$B:$B,0))),0)</f>
        <v>0</v>
      </c>
      <c r="BO36" s="100">
        <f>IFERROR(IF($A36=FALSE,0,INDEX('RPS by State'!BZ:BZ,MATCH($C36,'RPS by State'!$B:$B,0))),0)</f>
        <v>0</v>
      </c>
      <c r="BP36" s="100">
        <f>IFERROR(IF($A36=FALSE,0,INDEX('RPS by State'!CA:CA,MATCH($C36,'RPS by State'!$B:$B,0))),0)</f>
        <v>0</v>
      </c>
      <c r="BQ36" s="100">
        <f>IFERROR(IF($A36=FALSE,0,INDEX('RPS by State'!CB:CB,MATCH($C36,'RPS by State'!$B:$B,0))),0)</f>
        <v>0</v>
      </c>
      <c r="BR36" s="100">
        <f>IFERROR(IF($A36=FALSE,0,INDEX('RPS by State'!CC:CC,MATCH($C36,'RPS by State'!$B:$B,0))),0)</f>
        <v>0</v>
      </c>
      <c r="BS36" s="100">
        <f>IFERROR(IF($A36=FALSE,0,INDEX('RPS by State'!CD:CD,MATCH($C36,'RPS by State'!$B:$B,0))),0)</f>
        <v>0</v>
      </c>
      <c r="BT36" s="100">
        <f>IFERROR(IF($A36=FALSE,0,INDEX('RPS by State'!CE:CE,MATCH($C36,'RPS by State'!$B:$B,0))),0)</f>
        <v>0</v>
      </c>
      <c r="BU36" s="100">
        <f>IFERROR(IF($A36=FALSE,0,INDEX('RPS by State'!CF:CF,MATCH($C36,'RPS by State'!$B:$B,0))),0)</f>
        <v>0</v>
      </c>
      <c r="BV36" s="100">
        <f>IFERROR(IF($A36=FALSE,0,INDEX('RPS by State'!CG:CG,MATCH($C36,'RPS by State'!$B:$B,0))),0)</f>
        <v>0</v>
      </c>
      <c r="BW36" s="100">
        <f>IFERROR(IF($A36=FALSE,0,INDEX('RPS by State'!CH:CH,MATCH($C36,'RPS by State'!$B:$B,0))),0)</f>
        <v>0</v>
      </c>
      <c r="BX36" s="100">
        <f>IFERROR(IF($A36=FALSE,0,INDEX('RPS by State'!CI:CI,MATCH($C36,'RPS by State'!$B:$B,0))),0)</f>
        <v>0</v>
      </c>
      <c r="BY36" s="100">
        <f>IFERROR(IF($A36=FALSE,0,INDEX('RPS by State'!CJ:CJ,MATCH($C36,'RPS by State'!$B:$B,0))),0)</f>
        <v>0</v>
      </c>
      <c r="BZ36" s="100">
        <f>IFERROR(IF($A36=FALSE,0,INDEX('RPS by State'!CK:CK,MATCH($C36,'RPS by State'!$B:$B,0))),0)</f>
        <v>0</v>
      </c>
      <c r="CA36" s="100">
        <f>IFERROR(IF($A36=FALSE,0,INDEX('RPS by State'!CL:CL,MATCH($C36,'RPS by State'!$B:$B,0))),0)</f>
        <v>0</v>
      </c>
      <c r="CB36" s="100">
        <f>IFERROR(IF($A36=FALSE,0,INDEX('RPS by State'!CM:CM,MATCH($C36,'RPS by State'!$B:$B,0))),0)</f>
        <v>0</v>
      </c>
      <c r="CC36" s="100">
        <f>IFERROR(IF($A36=FALSE,0,INDEX('RPS by State'!CN:CN,MATCH($C36,'RPS by State'!$B:$B,0))),0)</f>
        <v>0</v>
      </c>
      <c r="CD36" s="100">
        <f>IFERROR(IF($A36=FALSE,0,INDEX('RPS by State'!CO:CO,MATCH($C36,'RPS by State'!$B:$B,0))),0)</f>
        <v>0</v>
      </c>
      <c r="CE36" s="100">
        <f>IFERROR(IF($A36=FALSE,0,INDEX('RPS by State'!CP:CP,MATCH($C36,'RPS by State'!$B:$B,0))),0)</f>
        <v>0</v>
      </c>
    </row>
    <row r="37" spans="1:83" x14ac:dyDescent="0.25">
      <c r="A37" t="b">
        <f>IFERROR(INDEX('RPS by State'!G:G,MATCH(B37,'RPS by State'!A:A,0)),0)</f>
        <v>1</v>
      </c>
      <c r="B37" s="120" t="s">
        <v>93</v>
      </c>
      <c r="C37" s="120" t="str">
        <f>IFERROR(INDEX(About!L:L,MATCH(B37,About!K:K,0)),0)</f>
        <v>OH</v>
      </c>
      <c r="D37" s="100">
        <f>IFERROR(IF($A37=FALSE,0,INDEX('RPS by State'!O:O,MATCH($C37,'RPS by State'!$B:$B,0))),0)</f>
        <v>3.4848944456094801E-2</v>
      </c>
      <c r="E37" s="100">
        <f>IFERROR(IF($A37=FALSE,0,INDEX('RPS by State'!P:P,MATCH($C37,'RPS by State'!$B:$B,0))),0)</f>
        <v>3.7753023160769367E-2</v>
      </c>
      <c r="F37" s="100">
        <f>IFERROR(IF($A37=FALSE,0,INDEX('RPS by State'!Q:Q,MATCH($C37,'RPS by State'!$B:$B,0))),0)</f>
        <v>4.065710186544394E-2</v>
      </c>
      <c r="G37" s="100">
        <f>IFERROR(IF($A37=FALSE,0,INDEX('RPS by State'!R:R,MATCH($C37,'RPS by State'!$B:$B,0))),0)</f>
        <v>4.3561180570118499E-2</v>
      </c>
      <c r="H37" s="100">
        <f>IFERROR(IF($A37=FALSE,0,INDEX('RPS by State'!S:S,MATCH($C37,'RPS by State'!$B:$B,0))),0)</f>
        <v>4.6465259274793072E-2</v>
      </c>
      <c r="I37" s="100">
        <f>IFERROR(IF($A37=FALSE,0,INDEX('RPS by State'!T:T,MATCH($C37,'RPS by State'!$B:$B,0))),0)</f>
        <v>4.9369337979467638E-2</v>
      </c>
      <c r="J37" s="100">
        <f>IFERROR(IF($A37=FALSE,0,INDEX('RPS by State'!U:U,MATCH($C37,'RPS by State'!$B:$B,0))),0)</f>
        <v>0</v>
      </c>
      <c r="K37" s="100">
        <f>IFERROR(IF($A37=FALSE,0,INDEX('RPS by State'!V:V,MATCH($C37,'RPS by State'!$B:$B,0))),0)</f>
        <v>0</v>
      </c>
      <c r="L37" s="100">
        <f>IFERROR(IF($A37=FALSE,0,INDEX('RPS by State'!W:W,MATCH($C37,'RPS by State'!$B:$B,0))),0)</f>
        <v>0</v>
      </c>
      <c r="M37" s="100">
        <f>IFERROR(IF($A37=FALSE,0,INDEX('RPS by State'!X:X,MATCH($C37,'RPS by State'!$B:$B,0))),0)</f>
        <v>0</v>
      </c>
      <c r="N37" s="100">
        <f>IFERROR(IF($A37=FALSE,0,INDEX('RPS by State'!Y:Y,MATCH($C37,'RPS by State'!$B:$B,0))),0)</f>
        <v>0</v>
      </c>
      <c r="O37" s="100">
        <f>IFERROR(IF($A37=FALSE,0,INDEX('RPS by State'!Z:Z,MATCH($C37,'RPS by State'!$B:$B,0))),0)</f>
        <v>0</v>
      </c>
      <c r="P37" s="100">
        <f>IFERROR(IF($A37=FALSE,0,INDEX('RPS by State'!AA:AA,MATCH($C37,'RPS by State'!$B:$B,0))),0)</f>
        <v>0</v>
      </c>
      <c r="Q37" s="100">
        <f>IFERROR(IF($A37=FALSE,0,INDEX('RPS by State'!AB:AB,MATCH($C37,'RPS by State'!$B:$B,0))),0)</f>
        <v>0</v>
      </c>
      <c r="R37" s="100">
        <f>IFERROR(IF($A37=FALSE,0,INDEX('RPS by State'!AC:AC,MATCH($C37,'RPS by State'!$B:$B,0))),0)</f>
        <v>0</v>
      </c>
      <c r="S37" s="100">
        <f>IFERROR(IF($A37=FALSE,0,INDEX('RPS by State'!AD:AD,MATCH($C37,'RPS by State'!$B:$B,0))),0)</f>
        <v>0</v>
      </c>
      <c r="T37" s="100">
        <f>IFERROR(IF($A37=FALSE,0,INDEX('RPS by State'!AE:AE,MATCH($C37,'RPS by State'!$B:$B,0))),0)</f>
        <v>0</v>
      </c>
      <c r="U37" s="100">
        <f>IFERROR(IF($A37=FALSE,0,INDEX('RPS by State'!AF:AF,MATCH($C37,'RPS by State'!$B:$B,0))),0)</f>
        <v>0</v>
      </c>
      <c r="V37" s="100">
        <f>IFERROR(IF($A37=FALSE,0,INDEX('RPS by State'!AG:AG,MATCH($C37,'RPS by State'!$B:$B,0))),0)</f>
        <v>0</v>
      </c>
      <c r="W37" s="100">
        <f>IFERROR(IF($A37=FALSE,0,INDEX('RPS by State'!AH:AH,MATCH($C37,'RPS by State'!$B:$B,0))),0)</f>
        <v>0</v>
      </c>
      <c r="X37" s="100">
        <f>IFERROR(IF($A37=FALSE,0,INDEX('RPS by State'!AI:AI,MATCH($C37,'RPS by State'!$B:$B,0))),0)</f>
        <v>0</v>
      </c>
      <c r="Y37" s="100">
        <f>IFERROR(IF($A37=FALSE,0,INDEX('RPS by State'!AJ:AJ,MATCH($C37,'RPS by State'!$B:$B,0))),0)</f>
        <v>0</v>
      </c>
      <c r="Z37" s="100">
        <f>IFERROR(IF($A37=FALSE,0,INDEX('RPS by State'!AK:AK,MATCH($C37,'RPS by State'!$B:$B,0))),0)</f>
        <v>0</v>
      </c>
      <c r="AA37" s="100">
        <f>IFERROR(IF($A37=FALSE,0,INDEX('RPS by State'!AL:AL,MATCH($C37,'RPS by State'!$B:$B,0))),0)</f>
        <v>0</v>
      </c>
      <c r="AB37" s="100">
        <f>IFERROR(IF($A37=FALSE,0,INDEX('RPS by State'!AM:AM,MATCH($C37,'RPS by State'!$B:$B,0))),0)</f>
        <v>0</v>
      </c>
      <c r="AC37" s="100">
        <f>IFERROR(IF($A37=FALSE,0,INDEX('RPS by State'!AN:AN,MATCH($C37,'RPS by State'!$B:$B,0))),0)</f>
        <v>0</v>
      </c>
      <c r="AD37" s="100">
        <f>IFERROR(IF($A37=FALSE,0,INDEX('RPS by State'!AO:AO,MATCH($C37,'RPS by State'!$B:$B,0))),0)</f>
        <v>0</v>
      </c>
      <c r="AE37" s="100">
        <f>IFERROR(IF($A37=FALSE,0,INDEX('RPS by State'!AP:AP,MATCH($C37,'RPS by State'!$B:$B,0))),0)</f>
        <v>0</v>
      </c>
      <c r="AF37" s="100">
        <f>IFERROR(IF($A37=FALSE,0,INDEX('RPS by State'!AQ:AQ,MATCH($C37,'RPS by State'!$B:$B,0))),0)</f>
        <v>0</v>
      </c>
      <c r="AG37" s="100">
        <f>IFERROR(IF($A37=FALSE,0,INDEX('RPS by State'!AR:AR,MATCH($C37,'RPS by State'!$B:$B,0))),0)</f>
        <v>0</v>
      </c>
      <c r="AH37" s="100">
        <f>IFERROR(IF($A37=FALSE,0,INDEX('RPS by State'!AS:AS,MATCH($C37,'RPS by State'!$B:$B,0))),0)</f>
        <v>0</v>
      </c>
      <c r="AI37" s="100">
        <f>IFERROR(IF($A37=FALSE,0,INDEX('RPS by State'!AT:AT,MATCH($C37,'RPS by State'!$B:$B,0))),0)</f>
        <v>0</v>
      </c>
      <c r="AJ37" s="100">
        <f>IFERROR(IF($A37=FALSE,0,INDEX('RPS by State'!AU:AU,MATCH($C37,'RPS by State'!$B:$B,0))),0)</f>
        <v>0</v>
      </c>
      <c r="AK37" s="100">
        <f>IFERROR(IF($A37=FALSE,0,INDEX('RPS by State'!AV:AV,MATCH($C37,'RPS by State'!$B:$B,0))),0)</f>
        <v>0</v>
      </c>
      <c r="AL37" s="100">
        <f>IFERROR(IF($A37=FALSE,0,INDEX('RPS by State'!AW:AW,MATCH($C37,'RPS by State'!$B:$B,0))),0)</f>
        <v>0</v>
      </c>
      <c r="AM37" s="100">
        <f>IFERROR(IF($A37=FALSE,0,INDEX('RPS by State'!AX:AX,MATCH($C37,'RPS by State'!$B:$B,0))),0)</f>
        <v>0</v>
      </c>
      <c r="AN37" s="100">
        <f>IFERROR(IF($A37=FALSE,0,INDEX('RPS by State'!AY:AY,MATCH($C37,'RPS by State'!$B:$B,0))),0)</f>
        <v>0</v>
      </c>
      <c r="AO37" s="100">
        <f>IFERROR(IF($A37=FALSE,0,INDEX('RPS by State'!AZ:AZ,MATCH($C37,'RPS by State'!$B:$B,0))),0)</f>
        <v>0</v>
      </c>
      <c r="AP37" s="100">
        <f>IFERROR(IF($A37=FALSE,0,INDEX('RPS by State'!BA:BA,MATCH($C37,'RPS by State'!$B:$B,0))),0)</f>
        <v>0</v>
      </c>
      <c r="AQ37" s="100">
        <f>IFERROR(IF($A37=FALSE,0,INDEX('RPS by State'!BB:BB,MATCH($C37,'RPS by State'!$B:$B,0))),0)</f>
        <v>0</v>
      </c>
      <c r="AR37" s="100">
        <f>IFERROR(IF($A37=FALSE,0,INDEX('RPS by State'!BC:BC,MATCH($C37,'RPS by State'!$B:$B,0))),0)</f>
        <v>0</v>
      </c>
      <c r="AS37" s="100">
        <f>IFERROR(IF($A37=FALSE,0,INDEX('RPS by State'!BD:BD,MATCH($C37,'RPS by State'!$B:$B,0))),0)</f>
        <v>0</v>
      </c>
      <c r="AT37" s="100">
        <f>IFERROR(IF($A37=FALSE,0,INDEX('RPS by State'!BE:BE,MATCH($C37,'RPS by State'!$B:$B,0))),0)</f>
        <v>0</v>
      </c>
      <c r="AU37" s="100">
        <f>IFERROR(IF($A37=FALSE,0,INDEX('RPS by State'!BF:BF,MATCH($C37,'RPS by State'!$B:$B,0))),0)</f>
        <v>0</v>
      </c>
      <c r="AV37" s="100">
        <f>IFERROR(IF($A37=FALSE,0,INDEX('RPS by State'!BG:BG,MATCH($C37,'RPS by State'!$B:$B,0))),0)</f>
        <v>0</v>
      </c>
      <c r="AW37" s="100">
        <f>IFERROR(IF($A37=FALSE,0,INDEX('RPS by State'!BH:BH,MATCH($C37,'RPS by State'!$B:$B,0))),0)</f>
        <v>0</v>
      </c>
      <c r="AX37" s="100">
        <f>IFERROR(IF($A37=FALSE,0,INDEX('RPS by State'!BI:BI,MATCH($C37,'RPS by State'!$B:$B,0))),0)</f>
        <v>0</v>
      </c>
      <c r="AY37" s="100">
        <f>IFERROR(IF($A37=FALSE,0,INDEX('RPS by State'!BJ:BJ,MATCH($C37,'RPS by State'!$B:$B,0))),0)</f>
        <v>0</v>
      </c>
      <c r="AZ37" s="100">
        <f>IFERROR(IF($A37=FALSE,0,INDEX('RPS by State'!BK:BK,MATCH($C37,'RPS by State'!$B:$B,0))),0)</f>
        <v>0</v>
      </c>
      <c r="BA37" s="100">
        <f>IFERROR(IF($A37=FALSE,0,INDEX('RPS by State'!BL:BL,MATCH($C37,'RPS by State'!$B:$B,0))),0)</f>
        <v>0</v>
      </c>
      <c r="BB37" s="100">
        <f>IFERROR(IF($A37=FALSE,0,INDEX('RPS by State'!BM:BM,MATCH($C37,'RPS by State'!$B:$B,0))),0)</f>
        <v>0</v>
      </c>
      <c r="BC37" s="100">
        <f>IFERROR(IF($A37=FALSE,0,INDEX('RPS by State'!BN:BN,MATCH($C37,'RPS by State'!$B:$B,0))),0)</f>
        <v>0</v>
      </c>
      <c r="BD37" s="100">
        <f>IFERROR(IF($A37=FALSE,0,INDEX('RPS by State'!BO:BO,MATCH($C37,'RPS by State'!$B:$B,0))),0)</f>
        <v>0</v>
      </c>
      <c r="BE37" s="100">
        <f>IFERROR(IF($A37=FALSE,0,INDEX('RPS by State'!BP:BP,MATCH($C37,'RPS by State'!$B:$B,0))),0)</f>
        <v>0</v>
      </c>
      <c r="BF37" s="100">
        <f>IFERROR(IF($A37=FALSE,0,INDEX('RPS by State'!BQ:BQ,MATCH($C37,'RPS by State'!$B:$B,0))),0)</f>
        <v>0</v>
      </c>
      <c r="BG37" s="100">
        <f>IFERROR(IF($A37=FALSE,0,INDEX('RPS by State'!BR:BR,MATCH($C37,'RPS by State'!$B:$B,0))),0)</f>
        <v>0</v>
      </c>
      <c r="BH37" s="100">
        <f>IFERROR(IF($A37=FALSE,0,INDEX('RPS by State'!BS:BS,MATCH($C37,'RPS by State'!$B:$B,0))),0)</f>
        <v>0</v>
      </c>
      <c r="BI37" s="100">
        <f>IFERROR(IF($A37=FALSE,0,INDEX('RPS by State'!BT:BT,MATCH($C37,'RPS by State'!$B:$B,0))),0)</f>
        <v>0</v>
      </c>
      <c r="BJ37" s="100">
        <f>IFERROR(IF($A37=FALSE,0,INDEX('RPS by State'!BU:BU,MATCH($C37,'RPS by State'!$B:$B,0))),0)</f>
        <v>0</v>
      </c>
      <c r="BK37" s="100">
        <f>IFERROR(IF($A37=FALSE,0,INDEX('RPS by State'!BV:BV,MATCH($C37,'RPS by State'!$B:$B,0))),0)</f>
        <v>0</v>
      </c>
      <c r="BL37" s="100">
        <f>IFERROR(IF($A37=FALSE,0,INDEX('RPS by State'!BW:BW,MATCH($C37,'RPS by State'!$B:$B,0))),0)</f>
        <v>0</v>
      </c>
      <c r="BM37" s="100">
        <f>IFERROR(IF($A37=FALSE,0,INDEX('RPS by State'!BX:BX,MATCH($C37,'RPS by State'!$B:$B,0))),0)</f>
        <v>0</v>
      </c>
      <c r="BN37" s="100">
        <f>IFERROR(IF($A37=FALSE,0,INDEX('RPS by State'!BY:BY,MATCH($C37,'RPS by State'!$B:$B,0))),0)</f>
        <v>0</v>
      </c>
      <c r="BO37" s="100">
        <f>IFERROR(IF($A37=FALSE,0,INDEX('RPS by State'!BZ:BZ,MATCH($C37,'RPS by State'!$B:$B,0))),0)</f>
        <v>0</v>
      </c>
      <c r="BP37" s="100">
        <f>IFERROR(IF($A37=FALSE,0,INDEX('RPS by State'!CA:CA,MATCH($C37,'RPS by State'!$B:$B,0))),0)</f>
        <v>0</v>
      </c>
      <c r="BQ37" s="100">
        <f>IFERROR(IF($A37=FALSE,0,INDEX('RPS by State'!CB:CB,MATCH($C37,'RPS by State'!$B:$B,0))),0)</f>
        <v>0</v>
      </c>
      <c r="BR37" s="100">
        <f>IFERROR(IF($A37=FALSE,0,INDEX('RPS by State'!CC:CC,MATCH($C37,'RPS by State'!$B:$B,0))),0)</f>
        <v>0</v>
      </c>
      <c r="BS37" s="100">
        <f>IFERROR(IF($A37=FALSE,0,INDEX('RPS by State'!CD:CD,MATCH($C37,'RPS by State'!$B:$B,0))),0)</f>
        <v>0</v>
      </c>
      <c r="BT37" s="100">
        <f>IFERROR(IF($A37=FALSE,0,INDEX('RPS by State'!CE:CE,MATCH($C37,'RPS by State'!$B:$B,0))),0)</f>
        <v>0</v>
      </c>
      <c r="BU37" s="100">
        <f>IFERROR(IF($A37=FALSE,0,INDEX('RPS by State'!CF:CF,MATCH($C37,'RPS by State'!$B:$B,0))),0)</f>
        <v>0</v>
      </c>
      <c r="BV37" s="100">
        <f>IFERROR(IF($A37=FALSE,0,INDEX('RPS by State'!CG:CG,MATCH($C37,'RPS by State'!$B:$B,0))),0)</f>
        <v>0</v>
      </c>
      <c r="BW37" s="100">
        <f>IFERROR(IF($A37=FALSE,0,INDEX('RPS by State'!CH:CH,MATCH($C37,'RPS by State'!$B:$B,0))),0)</f>
        <v>0</v>
      </c>
      <c r="BX37" s="100">
        <f>IFERROR(IF($A37=FALSE,0,INDEX('RPS by State'!CI:CI,MATCH($C37,'RPS by State'!$B:$B,0))),0)</f>
        <v>0</v>
      </c>
      <c r="BY37" s="100">
        <f>IFERROR(IF($A37=FALSE,0,INDEX('RPS by State'!CJ:CJ,MATCH($C37,'RPS by State'!$B:$B,0))),0)</f>
        <v>0</v>
      </c>
      <c r="BZ37" s="100">
        <f>IFERROR(IF($A37=FALSE,0,INDEX('RPS by State'!CK:CK,MATCH($C37,'RPS by State'!$B:$B,0))),0)</f>
        <v>0</v>
      </c>
      <c r="CA37" s="100">
        <f>IFERROR(IF($A37=FALSE,0,INDEX('RPS by State'!CL:CL,MATCH($C37,'RPS by State'!$B:$B,0))),0)</f>
        <v>0</v>
      </c>
      <c r="CB37" s="100">
        <f>IFERROR(IF($A37=FALSE,0,INDEX('RPS by State'!CM:CM,MATCH($C37,'RPS by State'!$B:$B,0))),0)</f>
        <v>0</v>
      </c>
      <c r="CC37" s="100">
        <f>IFERROR(IF($A37=FALSE,0,INDEX('RPS by State'!CN:CN,MATCH($C37,'RPS by State'!$B:$B,0))),0)</f>
        <v>0</v>
      </c>
      <c r="CD37" s="100">
        <f>IFERROR(IF($A37=FALSE,0,INDEX('RPS by State'!CO:CO,MATCH($C37,'RPS by State'!$B:$B,0))),0)</f>
        <v>0</v>
      </c>
      <c r="CE37" s="100">
        <f>IFERROR(IF($A37=FALSE,0,INDEX('RPS by State'!CP:CP,MATCH($C37,'RPS by State'!$B:$B,0))),0)</f>
        <v>0</v>
      </c>
    </row>
    <row r="38" spans="1:83" x14ac:dyDescent="0.25">
      <c r="A38" t="b">
        <f>IFERROR(INDEX('RPS by State'!G:G,MATCH(B38,'RPS by State'!A:A,0)),0)</f>
        <v>0</v>
      </c>
      <c r="B38" s="120" t="s">
        <v>95</v>
      </c>
      <c r="C38" s="120" t="str">
        <f>IFERROR(INDEX(About!L:L,MATCH(B38,About!K:K,0)),0)</f>
        <v>OK</v>
      </c>
      <c r="D38" s="100">
        <f>IFERROR(IF($A38=FALSE,0,INDEX('RPS by State'!O:O,MATCH($C38,'RPS by State'!$B:$B,0))),0)</f>
        <v>0</v>
      </c>
      <c r="E38" s="100">
        <f>IFERROR(IF($A38=FALSE,0,INDEX('RPS by State'!P:P,MATCH($C38,'RPS by State'!$B:$B,0))),0)</f>
        <v>0</v>
      </c>
      <c r="F38" s="100">
        <f>IFERROR(IF($A38=FALSE,0,INDEX('RPS by State'!Q:Q,MATCH($C38,'RPS by State'!$B:$B,0))),0)</f>
        <v>0</v>
      </c>
      <c r="G38" s="100">
        <f>IFERROR(IF($A38=FALSE,0,INDEX('RPS by State'!R:R,MATCH($C38,'RPS by State'!$B:$B,0))),0)</f>
        <v>0</v>
      </c>
      <c r="H38" s="100">
        <f>IFERROR(IF($A38=FALSE,0,INDEX('RPS by State'!S:S,MATCH($C38,'RPS by State'!$B:$B,0))),0)</f>
        <v>0</v>
      </c>
      <c r="I38" s="100">
        <f>IFERROR(IF($A38=FALSE,0,INDEX('RPS by State'!T:T,MATCH($C38,'RPS by State'!$B:$B,0))),0)</f>
        <v>0</v>
      </c>
      <c r="J38" s="100">
        <f>IFERROR(IF($A38=FALSE,0,INDEX('RPS by State'!U:U,MATCH($C38,'RPS by State'!$B:$B,0))),0)</f>
        <v>0</v>
      </c>
      <c r="K38" s="100">
        <f>IFERROR(IF($A38=FALSE,0,INDEX('RPS by State'!V:V,MATCH($C38,'RPS by State'!$B:$B,0))),0)</f>
        <v>0</v>
      </c>
      <c r="L38" s="100">
        <f>IFERROR(IF($A38=FALSE,0,INDEX('RPS by State'!W:W,MATCH($C38,'RPS by State'!$B:$B,0))),0)</f>
        <v>0</v>
      </c>
      <c r="M38" s="100">
        <f>IFERROR(IF($A38=FALSE,0,INDEX('RPS by State'!X:X,MATCH($C38,'RPS by State'!$B:$B,0))),0)</f>
        <v>0</v>
      </c>
      <c r="N38" s="100">
        <f>IFERROR(IF($A38=FALSE,0,INDEX('RPS by State'!Y:Y,MATCH($C38,'RPS by State'!$B:$B,0))),0)</f>
        <v>0</v>
      </c>
      <c r="O38" s="100">
        <f>IFERROR(IF($A38=FALSE,0,INDEX('RPS by State'!Z:Z,MATCH($C38,'RPS by State'!$B:$B,0))),0)</f>
        <v>0</v>
      </c>
      <c r="P38" s="100">
        <f>IFERROR(IF($A38=FALSE,0,INDEX('RPS by State'!AA:AA,MATCH($C38,'RPS by State'!$B:$B,0))),0)</f>
        <v>0</v>
      </c>
      <c r="Q38" s="100">
        <f>IFERROR(IF($A38=FALSE,0,INDEX('RPS by State'!AB:AB,MATCH($C38,'RPS by State'!$B:$B,0))),0)</f>
        <v>0</v>
      </c>
      <c r="R38" s="100">
        <f>IFERROR(IF($A38=FALSE,0,INDEX('RPS by State'!AC:AC,MATCH($C38,'RPS by State'!$B:$B,0))),0)</f>
        <v>0</v>
      </c>
      <c r="S38" s="100">
        <f>IFERROR(IF($A38=FALSE,0,INDEX('RPS by State'!AD:AD,MATCH($C38,'RPS by State'!$B:$B,0))),0)</f>
        <v>0</v>
      </c>
      <c r="T38" s="100">
        <f>IFERROR(IF($A38=FALSE,0,INDEX('RPS by State'!AE:AE,MATCH($C38,'RPS by State'!$B:$B,0))),0)</f>
        <v>0</v>
      </c>
      <c r="U38" s="100">
        <f>IFERROR(IF($A38=FALSE,0,INDEX('RPS by State'!AF:AF,MATCH($C38,'RPS by State'!$B:$B,0))),0)</f>
        <v>0</v>
      </c>
      <c r="V38" s="100">
        <f>IFERROR(IF($A38=FALSE,0,INDEX('RPS by State'!AG:AG,MATCH($C38,'RPS by State'!$B:$B,0))),0)</f>
        <v>0</v>
      </c>
      <c r="W38" s="100">
        <f>IFERROR(IF($A38=FALSE,0,INDEX('RPS by State'!AH:AH,MATCH($C38,'RPS by State'!$B:$B,0))),0)</f>
        <v>0</v>
      </c>
      <c r="X38" s="100">
        <f>IFERROR(IF($A38=FALSE,0,INDEX('RPS by State'!AI:AI,MATCH($C38,'RPS by State'!$B:$B,0))),0)</f>
        <v>0</v>
      </c>
      <c r="Y38" s="100">
        <f>IFERROR(IF($A38=FALSE,0,INDEX('RPS by State'!AJ:AJ,MATCH($C38,'RPS by State'!$B:$B,0))),0)</f>
        <v>0</v>
      </c>
      <c r="Z38" s="100">
        <f>IFERROR(IF($A38=FALSE,0,INDEX('RPS by State'!AK:AK,MATCH($C38,'RPS by State'!$B:$B,0))),0)</f>
        <v>0</v>
      </c>
      <c r="AA38" s="100">
        <f>IFERROR(IF($A38=FALSE,0,INDEX('RPS by State'!AL:AL,MATCH($C38,'RPS by State'!$B:$B,0))),0)</f>
        <v>0</v>
      </c>
      <c r="AB38" s="100">
        <f>IFERROR(IF($A38=FALSE,0,INDEX('RPS by State'!AM:AM,MATCH($C38,'RPS by State'!$B:$B,0))),0)</f>
        <v>0</v>
      </c>
      <c r="AC38" s="100">
        <f>IFERROR(IF($A38=FALSE,0,INDEX('RPS by State'!AN:AN,MATCH($C38,'RPS by State'!$B:$B,0))),0)</f>
        <v>0</v>
      </c>
      <c r="AD38" s="100">
        <f>IFERROR(IF($A38=FALSE,0,INDEX('RPS by State'!AO:AO,MATCH($C38,'RPS by State'!$B:$B,0))),0)</f>
        <v>0</v>
      </c>
      <c r="AE38" s="100">
        <f>IFERROR(IF($A38=FALSE,0,INDEX('RPS by State'!AP:AP,MATCH($C38,'RPS by State'!$B:$B,0))),0)</f>
        <v>0</v>
      </c>
      <c r="AF38" s="100">
        <f>IFERROR(IF($A38=FALSE,0,INDEX('RPS by State'!AQ:AQ,MATCH($C38,'RPS by State'!$B:$B,0))),0)</f>
        <v>0</v>
      </c>
      <c r="AG38" s="100">
        <f>IFERROR(IF($A38=FALSE,0,INDEX('RPS by State'!AR:AR,MATCH($C38,'RPS by State'!$B:$B,0))),0)</f>
        <v>0</v>
      </c>
      <c r="AH38" s="100">
        <f>IFERROR(IF($A38=FALSE,0,INDEX('RPS by State'!AS:AS,MATCH($C38,'RPS by State'!$B:$B,0))),0)</f>
        <v>0</v>
      </c>
      <c r="AI38" s="100">
        <f>IFERROR(IF($A38=FALSE,0,INDEX('RPS by State'!AT:AT,MATCH($C38,'RPS by State'!$B:$B,0))),0)</f>
        <v>0</v>
      </c>
      <c r="AJ38" s="100">
        <f>IFERROR(IF($A38=FALSE,0,INDEX('RPS by State'!AU:AU,MATCH($C38,'RPS by State'!$B:$B,0))),0)</f>
        <v>0</v>
      </c>
      <c r="AK38" s="100">
        <f>IFERROR(IF($A38=FALSE,0,INDEX('RPS by State'!AV:AV,MATCH($C38,'RPS by State'!$B:$B,0))),0)</f>
        <v>0</v>
      </c>
      <c r="AL38" s="100">
        <f>IFERROR(IF($A38=FALSE,0,INDEX('RPS by State'!AW:AW,MATCH($C38,'RPS by State'!$B:$B,0))),0)</f>
        <v>0</v>
      </c>
      <c r="AM38" s="100">
        <f>IFERROR(IF($A38=FALSE,0,INDEX('RPS by State'!AX:AX,MATCH($C38,'RPS by State'!$B:$B,0))),0)</f>
        <v>0</v>
      </c>
      <c r="AN38" s="100">
        <f>IFERROR(IF($A38=FALSE,0,INDEX('RPS by State'!AY:AY,MATCH($C38,'RPS by State'!$B:$B,0))),0)</f>
        <v>0</v>
      </c>
      <c r="AO38" s="100">
        <f>IFERROR(IF($A38=FALSE,0,INDEX('RPS by State'!AZ:AZ,MATCH($C38,'RPS by State'!$B:$B,0))),0)</f>
        <v>0</v>
      </c>
      <c r="AP38" s="100">
        <f>IFERROR(IF($A38=FALSE,0,INDEX('RPS by State'!BA:BA,MATCH($C38,'RPS by State'!$B:$B,0))),0)</f>
        <v>0</v>
      </c>
      <c r="AQ38" s="100">
        <f>IFERROR(IF($A38=FALSE,0,INDEX('RPS by State'!BB:BB,MATCH($C38,'RPS by State'!$B:$B,0))),0)</f>
        <v>0</v>
      </c>
      <c r="AR38" s="100">
        <f>IFERROR(IF($A38=FALSE,0,INDEX('RPS by State'!BC:BC,MATCH($C38,'RPS by State'!$B:$B,0))),0)</f>
        <v>0</v>
      </c>
      <c r="AS38" s="100">
        <f>IFERROR(IF($A38=FALSE,0,INDEX('RPS by State'!BD:BD,MATCH($C38,'RPS by State'!$B:$B,0))),0)</f>
        <v>0</v>
      </c>
      <c r="AT38" s="100">
        <f>IFERROR(IF($A38=FALSE,0,INDEX('RPS by State'!BE:BE,MATCH($C38,'RPS by State'!$B:$B,0))),0)</f>
        <v>0</v>
      </c>
      <c r="AU38" s="100">
        <f>IFERROR(IF($A38=FALSE,0,INDEX('RPS by State'!BF:BF,MATCH($C38,'RPS by State'!$B:$B,0))),0)</f>
        <v>0</v>
      </c>
      <c r="AV38" s="100">
        <f>IFERROR(IF($A38=FALSE,0,INDEX('RPS by State'!BG:BG,MATCH($C38,'RPS by State'!$B:$B,0))),0)</f>
        <v>0</v>
      </c>
      <c r="AW38" s="100">
        <f>IFERROR(IF($A38=FALSE,0,INDEX('RPS by State'!BH:BH,MATCH($C38,'RPS by State'!$B:$B,0))),0)</f>
        <v>0</v>
      </c>
      <c r="AX38" s="100">
        <f>IFERROR(IF($A38=FALSE,0,INDEX('RPS by State'!BI:BI,MATCH($C38,'RPS by State'!$B:$B,0))),0)</f>
        <v>0</v>
      </c>
      <c r="AY38" s="100">
        <f>IFERROR(IF($A38=FALSE,0,INDEX('RPS by State'!BJ:BJ,MATCH($C38,'RPS by State'!$B:$B,0))),0)</f>
        <v>0</v>
      </c>
      <c r="AZ38" s="100">
        <f>IFERROR(IF($A38=FALSE,0,INDEX('RPS by State'!BK:BK,MATCH($C38,'RPS by State'!$B:$B,0))),0)</f>
        <v>0</v>
      </c>
      <c r="BA38" s="100">
        <f>IFERROR(IF($A38=FALSE,0,INDEX('RPS by State'!BL:BL,MATCH($C38,'RPS by State'!$B:$B,0))),0)</f>
        <v>0</v>
      </c>
      <c r="BB38" s="100">
        <f>IFERROR(IF($A38=FALSE,0,INDEX('RPS by State'!BM:BM,MATCH($C38,'RPS by State'!$B:$B,0))),0)</f>
        <v>0</v>
      </c>
      <c r="BC38" s="100">
        <f>IFERROR(IF($A38=FALSE,0,INDEX('RPS by State'!BN:BN,MATCH($C38,'RPS by State'!$B:$B,0))),0)</f>
        <v>0</v>
      </c>
      <c r="BD38" s="100">
        <f>IFERROR(IF($A38=FALSE,0,INDEX('RPS by State'!BO:BO,MATCH($C38,'RPS by State'!$B:$B,0))),0)</f>
        <v>0</v>
      </c>
      <c r="BE38" s="100">
        <f>IFERROR(IF($A38=FALSE,0,INDEX('RPS by State'!BP:BP,MATCH($C38,'RPS by State'!$B:$B,0))),0)</f>
        <v>0</v>
      </c>
      <c r="BF38" s="100">
        <f>IFERROR(IF($A38=FALSE,0,INDEX('RPS by State'!BQ:BQ,MATCH($C38,'RPS by State'!$B:$B,0))),0)</f>
        <v>0</v>
      </c>
      <c r="BG38" s="100">
        <f>IFERROR(IF($A38=FALSE,0,INDEX('RPS by State'!BR:BR,MATCH($C38,'RPS by State'!$B:$B,0))),0)</f>
        <v>0</v>
      </c>
      <c r="BH38" s="100">
        <f>IFERROR(IF($A38=FALSE,0,INDEX('RPS by State'!BS:BS,MATCH($C38,'RPS by State'!$B:$B,0))),0)</f>
        <v>0</v>
      </c>
      <c r="BI38" s="100">
        <f>IFERROR(IF($A38=FALSE,0,INDEX('RPS by State'!BT:BT,MATCH($C38,'RPS by State'!$B:$B,0))),0)</f>
        <v>0</v>
      </c>
      <c r="BJ38" s="100">
        <f>IFERROR(IF($A38=FALSE,0,INDEX('RPS by State'!BU:BU,MATCH($C38,'RPS by State'!$B:$B,0))),0)</f>
        <v>0</v>
      </c>
      <c r="BK38" s="100">
        <f>IFERROR(IF($A38=FALSE,0,INDEX('RPS by State'!BV:BV,MATCH($C38,'RPS by State'!$B:$B,0))),0)</f>
        <v>0</v>
      </c>
      <c r="BL38" s="100">
        <f>IFERROR(IF($A38=FALSE,0,INDEX('RPS by State'!BW:BW,MATCH($C38,'RPS by State'!$B:$B,0))),0)</f>
        <v>0</v>
      </c>
      <c r="BM38" s="100">
        <f>IFERROR(IF($A38=FALSE,0,INDEX('RPS by State'!BX:BX,MATCH($C38,'RPS by State'!$B:$B,0))),0)</f>
        <v>0</v>
      </c>
      <c r="BN38" s="100">
        <f>IFERROR(IF($A38=FALSE,0,INDEX('RPS by State'!BY:BY,MATCH($C38,'RPS by State'!$B:$B,0))),0)</f>
        <v>0</v>
      </c>
      <c r="BO38" s="100">
        <f>IFERROR(IF($A38=FALSE,0,INDEX('RPS by State'!BZ:BZ,MATCH($C38,'RPS by State'!$B:$B,0))),0)</f>
        <v>0</v>
      </c>
      <c r="BP38" s="100">
        <f>IFERROR(IF($A38=FALSE,0,INDEX('RPS by State'!CA:CA,MATCH($C38,'RPS by State'!$B:$B,0))),0)</f>
        <v>0</v>
      </c>
      <c r="BQ38" s="100">
        <f>IFERROR(IF($A38=FALSE,0,INDEX('RPS by State'!CB:CB,MATCH($C38,'RPS by State'!$B:$B,0))),0)</f>
        <v>0</v>
      </c>
      <c r="BR38" s="100">
        <f>IFERROR(IF($A38=FALSE,0,INDEX('RPS by State'!CC:CC,MATCH($C38,'RPS by State'!$B:$B,0))),0)</f>
        <v>0</v>
      </c>
      <c r="BS38" s="100">
        <f>IFERROR(IF($A38=FALSE,0,INDEX('RPS by State'!CD:CD,MATCH($C38,'RPS by State'!$B:$B,0))),0)</f>
        <v>0</v>
      </c>
      <c r="BT38" s="100">
        <f>IFERROR(IF($A38=FALSE,0,INDEX('RPS by State'!CE:CE,MATCH($C38,'RPS by State'!$B:$B,0))),0)</f>
        <v>0</v>
      </c>
      <c r="BU38" s="100">
        <f>IFERROR(IF($A38=FALSE,0,INDEX('RPS by State'!CF:CF,MATCH($C38,'RPS by State'!$B:$B,0))),0)</f>
        <v>0</v>
      </c>
      <c r="BV38" s="100">
        <f>IFERROR(IF($A38=FALSE,0,INDEX('RPS by State'!CG:CG,MATCH($C38,'RPS by State'!$B:$B,0))),0)</f>
        <v>0</v>
      </c>
      <c r="BW38" s="100">
        <f>IFERROR(IF($A38=FALSE,0,INDEX('RPS by State'!CH:CH,MATCH($C38,'RPS by State'!$B:$B,0))),0)</f>
        <v>0</v>
      </c>
      <c r="BX38" s="100">
        <f>IFERROR(IF($A38=FALSE,0,INDEX('RPS by State'!CI:CI,MATCH($C38,'RPS by State'!$B:$B,0))),0)</f>
        <v>0</v>
      </c>
      <c r="BY38" s="100">
        <f>IFERROR(IF($A38=FALSE,0,INDEX('RPS by State'!CJ:CJ,MATCH($C38,'RPS by State'!$B:$B,0))),0)</f>
        <v>0</v>
      </c>
      <c r="BZ38" s="100">
        <f>IFERROR(IF($A38=FALSE,0,INDEX('RPS by State'!CK:CK,MATCH($C38,'RPS by State'!$B:$B,0))),0)</f>
        <v>0</v>
      </c>
      <c r="CA38" s="100">
        <f>IFERROR(IF($A38=FALSE,0,INDEX('RPS by State'!CL:CL,MATCH($C38,'RPS by State'!$B:$B,0))),0)</f>
        <v>0</v>
      </c>
      <c r="CB38" s="100">
        <f>IFERROR(IF($A38=FALSE,0,INDEX('RPS by State'!CM:CM,MATCH($C38,'RPS by State'!$B:$B,0))),0)</f>
        <v>0</v>
      </c>
      <c r="CC38" s="100">
        <f>IFERROR(IF($A38=FALSE,0,INDEX('RPS by State'!CN:CN,MATCH($C38,'RPS by State'!$B:$B,0))),0)</f>
        <v>0</v>
      </c>
      <c r="CD38" s="100">
        <f>IFERROR(IF($A38=FALSE,0,INDEX('RPS by State'!CO:CO,MATCH($C38,'RPS by State'!$B:$B,0))),0)</f>
        <v>0</v>
      </c>
      <c r="CE38" s="100">
        <f>IFERROR(IF($A38=FALSE,0,INDEX('RPS by State'!CP:CP,MATCH($C38,'RPS by State'!$B:$B,0))),0)</f>
        <v>0</v>
      </c>
    </row>
    <row r="39" spans="1:83" x14ac:dyDescent="0.25">
      <c r="A39" t="b">
        <f>IFERROR(INDEX('RPS by State'!G:G,MATCH(B39,'RPS by State'!A:A,0)),0)</f>
        <v>1</v>
      </c>
      <c r="B39" s="120" t="s">
        <v>97</v>
      </c>
      <c r="C39" s="120" t="str">
        <f>IFERROR(INDEX(About!L:L,MATCH(B39,About!K:K,0)),0)</f>
        <v>OR</v>
      </c>
      <c r="D39" s="100">
        <f>IFERROR(IF($A39=FALSE,0,INDEX('RPS by State'!O:O,MATCH($C39,'RPS by State'!$B:$B,0))),0)</f>
        <v>0.14464659391078261</v>
      </c>
      <c r="E39" s="100">
        <f>IFERROR(IF($A39=FALSE,0,INDEX('RPS by State'!P:P,MATCH($C39,'RPS by State'!$B:$B,0))),0)</f>
        <v>0.15933757004577817</v>
      </c>
      <c r="F39" s="100">
        <f>IFERROR(IF($A39=FALSE,0,INDEX('RPS by State'!Q:Q,MATCH($C39,'RPS by State'!$B:$B,0))),0)</f>
        <v>0.17402854618077371</v>
      </c>
      <c r="G39" s="100">
        <f>IFERROR(IF($A39=FALSE,0,INDEX('RPS by State'!R:R,MATCH($C39,'RPS by State'!$B:$B,0))),0)</f>
        <v>0.18871952231576927</v>
      </c>
      <c r="H39" s="100">
        <f>IFERROR(IF($A39=FALSE,0,INDEX('RPS by State'!S:S,MATCH($C39,'RPS by State'!$B:$B,0))),0)</f>
        <v>0.20341049845076481</v>
      </c>
      <c r="I39" s="100">
        <f>IFERROR(IF($A39=FALSE,0,INDEX('RPS by State'!T:T,MATCH($C39,'RPS by State'!$B:$B,0))),0)</f>
        <v>0.21640606022834352</v>
      </c>
      <c r="J39" s="100">
        <f>IFERROR(IF($A39=FALSE,0,INDEX('RPS by State'!U:U,MATCH($C39,'RPS by State'!$B:$B,0))),0)</f>
        <v>0.22940162200592221</v>
      </c>
      <c r="K39" s="100">
        <f>IFERROR(IF($A39=FALSE,0,INDEX('RPS by State'!V:V,MATCH($C39,'RPS by State'!$B:$B,0))),0)</f>
        <v>0.24239718378350092</v>
      </c>
      <c r="L39" s="100">
        <f>IFERROR(IF($A39=FALSE,0,INDEX('RPS by State'!W:W,MATCH($C39,'RPS by State'!$B:$B,0))),0)</f>
        <v>0.2553927455610796</v>
      </c>
      <c r="M39" s="100">
        <f>IFERROR(IF($A39=FALSE,0,INDEX('RPS by State'!X:X,MATCH($C39,'RPS by State'!$B:$B,0))),0)</f>
        <v>0.26838830733865832</v>
      </c>
      <c r="N39" s="100">
        <f>IFERROR(IF($A39=FALSE,0,INDEX('RPS by State'!Y:Y,MATCH($C39,'RPS by State'!$B:$B,0))),0)</f>
        <v>0.28138386911623703</v>
      </c>
      <c r="O39" s="100">
        <f>IFERROR(IF($A39=FALSE,0,INDEX('RPS by State'!Z:Z,MATCH($C39,'RPS by State'!$B:$B,0))),0)</f>
        <v>0.29437943089381574</v>
      </c>
      <c r="P39" s="100">
        <f>IFERROR(IF($A39=FALSE,0,INDEX('RPS by State'!AA:AA,MATCH($C39,'RPS by State'!$B:$B,0))),0)</f>
        <v>0.30737499267139445</v>
      </c>
      <c r="Q39" s="100">
        <f>IFERROR(IF($A39=FALSE,0,INDEX('RPS by State'!AB:AB,MATCH($C39,'RPS by State'!$B:$B,0))),0)</f>
        <v>0.32037055444897317</v>
      </c>
      <c r="R39" s="100">
        <f>IFERROR(IF($A39=FALSE,0,INDEX('RPS by State'!AC:AC,MATCH($C39,'RPS by State'!$B:$B,0))),0)</f>
        <v>0.33336611622655188</v>
      </c>
      <c r="S39" s="100">
        <f>IFERROR(IF($A39=FALSE,0,INDEX('RPS by State'!AD:AD,MATCH($C39,'RPS by State'!$B:$B,0))),0)</f>
        <v>0.33986389711534121</v>
      </c>
      <c r="T39" s="100">
        <f>IFERROR(IF($A39=FALSE,0,INDEX('RPS by State'!AE:AE,MATCH($C39,'RPS by State'!$B:$B,0))),0)</f>
        <v>0.34636167800413059</v>
      </c>
      <c r="U39" s="100">
        <f>IFERROR(IF($A39=FALSE,0,INDEX('RPS by State'!AF:AF,MATCH($C39,'RPS by State'!$B:$B,0))),0)</f>
        <v>0.35285945889291992</v>
      </c>
      <c r="V39" s="100">
        <f>IFERROR(IF($A39=FALSE,0,INDEX('RPS by State'!AG:AG,MATCH($C39,'RPS by State'!$B:$B,0))),0)</f>
        <v>0.3593572397817093</v>
      </c>
      <c r="W39" s="100">
        <f>IFERROR(IF($A39=FALSE,0,INDEX('RPS by State'!AH:AH,MATCH($C39,'RPS by State'!$B:$B,0))),0)</f>
        <v>0.36585502067049863</v>
      </c>
      <c r="X39" s="100">
        <f>IFERROR(IF($A39=FALSE,0,INDEX('RPS by State'!AI:AI,MATCH($C39,'RPS by State'!$B:$B,0))),0)</f>
        <v>0.36585502067049863</v>
      </c>
      <c r="Y39" s="100">
        <f>IFERROR(IF($A39=FALSE,0,INDEX('RPS by State'!AJ:AJ,MATCH($C39,'RPS by State'!$B:$B,0))),0)</f>
        <v>0.36585502067049863</v>
      </c>
      <c r="Z39" s="100">
        <f>IFERROR(IF($A39=FALSE,0,INDEX('RPS by State'!AK:AK,MATCH($C39,'RPS by State'!$B:$B,0))),0)</f>
        <v>0.36585502067049863</v>
      </c>
      <c r="AA39" s="100">
        <f>IFERROR(IF($A39=FALSE,0,INDEX('RPS by State'!AL:AL,MATCH($C39,'RPS by State'!$B:$B,0))),0)</f>
        <v>0.36585502067049863</v>
      </c>
      <c r="AB39" s="100">
        <f>IFERROR(IF($A39=FALSE,0,INDEX('RPS by State'!AM:AM,MATCH($C39,'RPS by State'!$B:$B,0))),0)</f>
        <v>0.36585502067049863</v>
      </c>
      <c r="AC39" s="100">
        <f>IFERROR(IF($A39=FALSE,0,INDEX('RPS by State'!AN:AN,MATCH($C39,'RPS by State'!$B:$B,0))),0)</f>
        <v>0.36585502067049863</v>
      </c>
      <c r="AD39" s="100">
        <f>IFERROR(IF($A39=FALSE,0,INDEX('RPS by State'!AO:AO,MATCH($C39,'RPS by State'!$B:$B,0))),0)</f>
        <v>0.36585502067049863</v>
      </c>
      <c r="AE39" s="100">
        <f>IFERROR(IF($A39=FALSE,0,INDEX('RPS by State'!AP:AP,MATCH($C39,'RPS by State'!$B:$B,0))),0)</f>
        <v>0.36585502067049863</v>
      </c>
      <c r="AF39" s="100">
        <f>IFERROR(IF($A39=FALSE,0,INDEX('RPS by State'!AQ:AQ,MATCH($C39,'RPS by State'!$B:$B,0))),0)</f>
        <v>0.36585502067049863</v>
      </c>
      <c r="AG39" s="100">
        <f>IFERROR(IF($A39=FALSE,0,INDEX('RPS by State'!AR:AR,MATCH($C39,'RPS by State'!$B:$B,0))),0)</f>
        <v>0.36585502067049863</v>
      </c>
      <c r="AH39" s="100">
        <f>IFERROR(IF($A39=FALSE,0,INDEX('RPS by State'!AS:AS,MATCH($C39,'RPS by State'!$B:$B,0))),0)</f>
        <v>0</v>
      </c>
      <c r="AI39" s="100">
        <f>IFERROR(IF($A39=FALSE,0,INDEX('RPS by State'!AT:AT,MATCH($C39,'RPS by State'!$B:$B,0))),0)</f>
        <v>0</v>
      </c>
      <c r="AJ39" s="100">
        <f>IFERROR(IF($A39=FALSE,0,INDEX('RPS by State'!AU:AU,MATCH($C39,'RPS by State'!$B:$B,0))),0)</f>
        <v>0</v>
      </c>
      <c r="AK39" s="100">
        <f>IFERROR(IF($A39=FALSE,0,INDEX('RPS by State'!AV:AV,MATCH($C39,'RPS by State'!$B:$B,0))),0)</f>
        <v>0</v>
      </c>
      <c r="AL39" s="100">
        <f>IFERROR(IF($A39=FALSE,0,INDEX('RPS by State'!AW:AW,MATCH($C39,'RPS by State'!$B:$B,0))),0)</f>
        <v>0</v>
      </c>
      <c r="AM39" s="100">
        <f>IFERROR(IF($A39=FALSE,0,INDEX('RPS by State'!AX:AX,MATCH($C39,'RPS by State'!$B:$B,0))),0)</f>
        <v>0</v>
      </c>
      <c r="AN39" s="100">
        <f>IFERROR(IF($A39=FALSE,0,INDEX('RPS by State'!AY:AY,MATCH($C39,'RPS by State'!$B:$B,0))),0)</f>
        <v>0</v>
      </c>
      <c r="AO39" s="100">
        <f>IFERROR(IF($A39=FALSE,0,INDEX('RPS by State'!AZ:AZ,MATCH($C39,'RPS by State'!$B:$B,0))),0)</f>
        <v>0</v>
      </c>
      <c r="AP39" s="100">
        <f>IFERROR(IF($A39=FALSE,0,INDEX('RPS by State'!BA:BA,MATCH($C39,'RPS by State'!$B:$B,0))),0)</f>
        <v>0</v>
      </c>
      <c r="AQ39" s="100">
        <f>IFERROR(IF($A39=FALSE,0,INDEX('RPS by State'!BB:BB,MATCH($C39,'RPS by State'!$B:$B,0))),0)</f>
        <v>0</v>
      </c>
      <c r="AR39" s="100">
        <f>IFERROR(IF($A39=FALSE,0,INDEX('RPS by State'!BC:BC,MATCH($C39,'RPS by State'!$B:$B,0))),0)</f>
        <v>0</v>
      </c>
      <c r="AS39" s="100">
        <f>IFERROR(IF($A39=FALSE,0,INDEX('RPS by State'!BD:BD,MATCH($C39,'RPS by State'!$B:$B,0))),0)</f>
        <v>0</v>
      </c>
      <c r="AT39" s="100">
        <f>IFERROR(IF($A39=FALSE,0,INDEX('RPS by State'!BE:BE,MATCH($C39,'RPS by State'!$B:$B,0))),0)</f>
        <v>0</v>
      </c>
      <c r="AU39" s="100">
        <f>IFERROR(IF($A39=FALSE,0,INDEX('RPS by State'!BF:BF,MATCH($C39,'RPS by State'!$B:$B,0))),0)</f>
        <v>0</v>
      </c>
      <c r="AV39" s="100">
        <f>IFERROR(IF($A39=FALSE,0,INDEX('RPS by State'!BG:BG,MATCH($C39,'RPS by State'!$B:$B,0))),0)</f>
        <v>0</v>
      </c>
      <c r="AW39" s="100">
        <f>IFERROR(IF($A39=FALSE,0,INDEX('RPS by State'!BH:BH,MATCH($C39,'RPS by State'!$B:$B,0))),0)</f>
        <v>0</v>
      </c>
      <c r="AX39" s="100">
        <f>IFERROR(IF($A39=FALSE,0,INDEX('RPS by State'!BI:BI,MATCH($C39,'RPS by State'!$B:$B,0))),0)</f>
        <v>0</v>
      </c>
      <c r="AY39" s="100">
        <f>IFERROR(IF($A39=FALSE,0,INDEX('RPS by State'!BJ:BJ,MATCH($C39,'RPS by State'!$B:$B,0))),0)</f>
        <v>0</v>
      </c>
      <c r="AZ39" s="100">
        <f>IFERROR(IF($A39=FALSE,0,INDEX('RPS by State'!BK:BK,MATCH($C39,'RPS by State'!$B:$B,0))),0)</f>
        <v>0</v>
      </c>
      <c r="BA39" s="100">
        <f>IFERROR(IF($A39=FALSE,0,INDEX('RPS by State'!BL:BL,MATCH($C39,'RPS by State'!$B:$B,0))),0)</f>
        <v>0</v>
      </c>
      <c r="BB39" s="100">
        <f>IFERROR(IF($A39=FALSE,0,INDEX('RPS by State'!BM:BM,MATCH($C39,'RPS by State'!$B:$B,0))),0)</f>
        <v>0</v>
      </c>
      <c r="BC39" s="100">
        <f>IFERROR(IF($A39=FALSE,0,INDEX('RPS by State'!BN:BN,MATCH($C39,'RPS by State'!$B:$B,0))),0)</f>
        <v>0</v>
      </c>
      <c r="BD39" s="100">
        <f>IFERROR(IF($A39=FALSE,0,INDEX('RPS by State'!BO:BO,MATCH($C39,'RPS by State'!$B:$B,0))),0)</f>
        <v>0</v>
      </c>
      <c r="BE39" s="100">
        <f>IFERROR(IF($A39=FALSE,0,INDEX('RPS by State'!BP:BP,MATCH($C39,'RPS by State'!$B:$B,0))),0)</f>
        <v>0</v>
      </c>
      <c r="BF39" s="100">
        <f>IFERROR(IF($A39=FALSE,0,INDEX('RPS by State'!BQ:BQ,MATCH($C39,'RPS by State'!$B:$B,0))),0)</f>
        <v>0</v>
      </c>
      <c r="BG39" s="100">
        <f>IFERROR(IF($A39=FALSE,0,INDEX('RPS by State'!BR:BR,MATCH($C39,'RPS by State'!$B:$B,0))),0)</f>
        <v>0</v>
      </c>
      <c r="BH39" s="100">
        <f>IFERROR(IF($A39=FALSE,0,INDEX('RPS by State'!BS:BS,MATCH($C39,'RPS by State'!$B:$B,0))),0)</f>
        <v>0</v>
      </c>
      <c r="BI39" s="100">
        <f>IFERROR(IF($A39=FALSE,0,INDEX('RPS by State'!BT:BT,MATCH($C39,'RPS by State'!$B:$B,0))),0)</f>
        <v>0</v>
      </c>
      <c r="BJ39" s="100">
        <f>IFERROR(IF($A39=FALSE,0,INDEX('RPS by State'!BU:BU,MATCH($C39,'RPS by State'!$B:$B,0))),0)</f>
        <v>0</v>
      </c>
      <c r="BK39" s="100">
        <f>IFERROR(IF($A39=FALSE,0,INDEX('RPS by State'!BV:BV,MATCH($C39,'RPS by State'!$B:$B,0))),0)</f>
        <v>0</v>
      </c>
      <c r="BL39" s="100">
        <f>IFERROR(IF($A39=FALSE,0,INDEX('RPS by State'!BW:BW,MATCH($C39,'RPS by State'!$B:$B,0))),0)</f>
        <v>0</v>
      </c>
      <c r="BM39" s="100">
        <f>IFERROR(IF($A39=FALSE,0,INDEX('RPS by State'!BX:BX,MATCH($C39,'RPS by State'!$B:$B,0))),0)</f>
        <v>0</v>
      </c>
      <c r="BN39" s="100">
        <f>IFERROR(IF($A39=FALSE,0,INDEX('RPS by State'!BY:BY,MATCH($C39,'RPS by State'!$B:$B,0))),0)</f>
        <v>0</v>
      </c>
      <c r="BO39" s="100">
        <f>IFERROR(IF($A39=FALSE,0,INDEX('RPS by State'!BZ:BZ,MATCH($C39,'RPS by State'!$B:$B,0))),0)</f>
        <v>0</v>
      </c>
      <c r="BP39" s="100">
        <f>IFERROR(IF($A39=FALSE,0,INDEX('RPS by State'!CA:CA,MATCH($C39,'RPS by State'!$B:$B,0))),0)</f>
        <v>0</v>
      </c>
      <c r="BQ39" s="100">
        <f>IFERROR(IF($A39=FALSE,0,INDEX('RPS by State'!CB:CB,MATCH($C39,'RPS by State'!$B:$B,0))),0)</f>
        <v>0</v>
      </c>
      <c r="BR39" s="100">
        <f>IFERROR(IF($A39=FALSE,0,INDEX('RPS by State'!CC:CC,MATCH($C39,'RPS by State'!$B:$B,0))),0)</f>
        <v>0</v>
      </c>
      <c r="BS39" s="100">
        <f>IFERROR(IF($A39=FALSE,0,INDEX('RPS by State'!CD:CD,MATCH($C39,'RPS by State'!$B:$B,0))),0)</f>
        <v>0</v>
      </c>
      <c r="BT39" s="100">
        <f>IFERROR(IF($A39=FALSE,0,INDEX('RPS by State'!CE:CE,MATCH($C39,'RPS by State'!$B:$B,0))),0)</f>
        <v>0</v>
      </c>
      <c r="BU39" s="100">
        <f>IFERROR(IF($A39=FALSE,0,INDEX('RPS by State'!CF:CF,MATCH($C39,'RPS by State'!$B:$B,0))),0)</f>
        <v>0</v>
      </c>
      <c r="BV39" s="100">
        <f>IFERROR(IF($A39=FALSE,0,INDEX('RPS by State'!CG:CG,MATCH($C39,'RPS by State'!$B:$B,0))),0)</f>
        <v>0</v>
      </c>
      <c r="BW39" s="100">
        <f>IFERROR(IF($A39=FALSE,0,INDEX('RPS by State'!CH:CH,MATCH($C39,'RPS by State'!$B:$B,0))),0)</f>
        <v>0</v>
      </c>
      <c r="BX39" s="100">
        <f>IFERROR(IF($A39=FALSE,0,INDEX('RPS by State'!CI:CI,MATCH($C39,'RPS by State'!$B:$B,0))),0)</f>
        <v>0</v>
      </c>
      <c r="BY39" s="100">
        <f>IFERROR(IF($A39=FALSE,0,INDEX('RPS by State'!CJ:CJ,MATCH($C39,'RPS by State'!$B:$B,0))),0)</f>
        <v>0</v>
      </c>
      <c r="BZ39" s="100">
        <f>IFERROR(IF($A39=FALSE,0,INDEX('RPS by State'!CK:CK,MATCH($C39,'RPS by State'!$B:$B,0))),0)</f>
        <v>0</v>
      </c>
      <c r="CA39" s="100">
        <f>IFERROR(IF($A39=FALSE,0,INDEX('RPS by State'!CL:CL,MATCH($C39,'RPS by State'!$B:$B,0))),0)</f>
        <v>0</v>
      </c>
      <c r="CB39" s="100">
        <f>IFERROR(IF($A39=FALSE,0,INDEX('RPS by State'!CM:CM,MATCH($C39,'RPS by State'!$B:$B,0))),0)</f>
        <v>0</v>
      </c>
      <c r="CC39" s="100">
        <f>IFERROR(IF($A39=FALSE,0,INDEX('RPS by State'!CN:CN,MATCH($C39,'RPS by State'!$B:$B,0))),0)</f>
        <v>0</v>
      </c>
      <c r="CD39" s="100">
        <f>IFERROR(IF($A39=FALSE,0,INDEX('RPS by State'!CO:CO,MATCH($C39,'RPS by State'!$B:$B,0))),0)</f>
        <v>0</v>
      </c>
      <c r="CE39" s="100">
        <f>IFERROR(IF($A39=FALSE,0,INDEX('RPS by State'!CP:CP,MATCH($C39,'RPS by State'!$B:$B,0))),0)</f>
        <v>0</v>
      </c>
    </row>
    <row r="40" spans="1:83" x14ac:dyDescent="0.25">
      <c r="A40" t="b">
        <f>IFERROR(INDEX('RPS by State'!G:G,MATCH(B40,'RPS by State'!A:A,0)),0)</f>
        <v>1</v>
      </c>
      <c r="B40" s="120" t="s">
        <v>100</v>
      </c>
      <c r="C40" s="120" t="str">
        <f>IFERROR(INDEX(About!L:L,MATCH(B40,About!K:K,0)),0)</f>
        <v>PA</v>
      </c>
      <c r="D40" s="100">
        <f>IFERROR(IF($A40=FALSE,0,INDEX('RPS by State'!O:O,MATCH($C40,'RPS by State'!$B:$B,0))),0)</f>
        <v>0.18</v>
      </c>
      <c r="E40" s="100">
        <f>IFERROR(IF($A40=FALSE,0,INDEX('RPS by State'!P:P,MATCH($C40,'RPS by State'!$B:$B,0))),0)</f>
        <v>0.18</v>
      </c>
      <c r="F40" s="100">
        <f>IFERROR(IF($A40=FALSE,0,INDEX('RPS by State'!Q:Q,MATCH($C40,'RPS by State'!$B:$B,0))),0)</f>
        <v>0.18</v>
      </c>
      <c r="G40" s="100">
        <f>IFERROR(IF($A40=FALSE,0,INDEX('RPS by State'!R:R,MATCH($C40,'RPS by State'!$B:$B,0))),0)</f>
        <v>0.18</v>
      </c>
      <c r="H40" s="100">
        <f>IFERROR(IF($A40=FALSE,0,INDEX('RPS by State'!S:S,MATCH($C40,'RPS by State'!$B:$B,0))),0)</f>
        <v>0.18</v>
      </c>
      <c r="I40" s="100">
        <f>IFERROR(IF($A40=FALSE,0,INDEX('RPS by State'!T:T,MATCH($C40,'RPS by State'!$B:$B,0))),0)</f>
        <v>0.18</v>
      </c>
      <c r="J40" s="100">
        <f>IFERROR(IF($A40=FALSE,0,INDEX('RPS by State'!U:U,MATCH($C40,'RPS by State'!$B:$B,0))),0)</f>
        <v>0.18</v>
      </c>
      <c r="K40" s="100">
        <f>IFERROR(IF($A40=FALSE,0,INDEX('RPS by State'!V:V,MATCH($C40,'RPS by State'!$B:$B,0))),0)</f>
        <v>0.18</v>
      </c>
      <c r="L40" s="100">
        <f>IFERROR(IF($A40=FALSE,0,INDEX('RPS by State'!W:W,MATCH($C40,'RPS by State'!$B:$B,0))),0)</f>
        <v>0.18</v>
      </c>
      <c r="M40" s="100">
        <f>IFERROR(IF($A40=FALSE,0,INDEX('RPS by State'!X:X,MATCH($C40,'RPS by State'!$B:$B,0))),0)</f>
        <v>0.18</v>
      </c>
      <c r="N40" s="100">
        <f>IFERROR(IF($A40=FALSE,0,INDEX('RPS by State'!Y:Y,MATCH($C40,'RPS by State'!$B:$B,0))),0)</f>
        <v>0.18</v>
      </c>
      <c r="O40" s="100">
        <f>IFERROR(IF($A40=FALSE,0,INDEX('RPS by State'!Z:Z,MATCH($C40,'RPS by State'!$B:$B,0))),0)</f>
        <v>0.18</v>
      </c>
      <c r="P40" s="100">
        <f>IFERROR(IF($A40=FALSE,0,INDEX('RPS by State'!AA:AA,MATCH($C40,'RPS by State'!$B:$B,0))),0)</f>
        <v>0.18</v>
      </c>
      <c r="Q40" s="100">
        <f>IFERROR(IF($A40=FALSE,0,INDEX('RPS by State'!AB:AB,MATCH($C40,'RPS by State'!$B:$B,0))),0)</f>
        <v>0.18</v>
      </c>
      <c r="R40" s="100">
        <f>IFERROR(IF($A40=FALSE,0,INDEX('RPS by State'!AC:AC,MATCH($C40,'RPS by State'!$B:$B,0))),0)</f>
        <v>0.18</v>
      </c>
      <c r="S40" s="100">
        <f>IFERROR(IF($A40=FALSE,0,INDEX('RPS by State'!AD:AD,MATCH($C40,'RPS by State'!$B:$B,0))),0)</f>
        <v>0.18</v>
      </c>
      <c r="T40" s="100">
        <f>IFERROR(IF($A40=FALSE,0,INDEX('RPS by State'!AE:AE,MATCH($C40,'RPS by State'!$B:$B,0))),0)</f>
        <v>0.18</v>
      </c>
      <c r="U40" s="100">
        <f>IFERROR(IF($A40=FALSE,0,INDEX('RPS by State'!AF:AF,MATCH($C40,'RPS by State'!$B:$B,0))),0)</f>
        <v>0.18</v>
      </c>
      <c r="V40" s="100">
        <f>IFERROR(IF($A40=FALSE,0,INDEX('RPS by State'!AG:AG,MATCH($C40,'RPS by State'!$B:$B,0))),0)</f>
        <v>0.18</v>
      </c>
      <c r="W40" s="100">
        <f>IFERROR(IF($A40=FALSE,0,INDEX('RPS by State'!AH:AH,MATCH($C40,'RPS by State'!$B:$B,0))),0)</f>
        <v>0.18</v>
      </c>
      <c r="X40" s="100">
        <f>IFERROR(IF($A40=FALSE,0,INDEX('RPS by State'!AI:AI,MATCH($C40,'RPS by State'!$B:$B,0))),0)</f>
        <v>0.18</v>
      </c>
      <c r="Y40" s="100">
        <f>IFERROR(IF($A40=FALSE,0,INDEX('RPS by State'!AJ:AJ,MATCH($C40,'RPS by State'!$B:$B,0))),0)</f>
        <v>0.18</v>
      </c>
      <c r="Z40" s="100">
        <f>IFERROR(IF($A40=FALSE,0,INDEX('RPS by State'!AK:AK,MATCH($C40,'RPS by State'!$B:$B,0))),0)</f>
        <v>0.18</v>
      </c>
      <c r="AA40" s="100">
        <f>IFERROR(IF($A40=FALSE,0,INDEX('RPS by State'!AL:AL,MATCH($C40,'RPS by State'!$B:$B,0))),0)</f>
        <v>0.18</v>
      </c>
      <c r="AB40" s="100">
        <f>IFERROR(IF($A40=FALSE,0,INDEX('RPS by State'!AM:AM,MATCH($C40,'RPS by State'!$B:$B,0))),0)</f>
        <v>0.18</v>
      </c>
      <c r="AC40" s="100">
        <f>IFERROR(IF($A40=FALSE,0,INDEX('RPS by State'!AN:AN,MATCH($C40,'RPS by State'!$B:$B,0))),0)</f>
        <v>0.18</v>
      </c>
      <c r="AD40" s="100">
        <f>IFERROR(IF($A40=FALSE,0,INDEX('RPS by State'!AO:AO,MATCH($C40,'RPS by State'!$B:$B,0))),0)</f>
        <v>0.18</v>
      </c>
      <c r="AE40" s="100">
        <f>IFERROR(IF($A40=FALSE,0,INDEX('RPS by State'!AP:AP,MATCH($C40,'RPS by State'!$B:$B,0))),0)</f>
        <v>0.18</v>
      </c>
      <c r="AF40" s="100">
        <f>IFERROR(IF($A40=FALSE,0,INDEX('RPS by State'!AQ:AQ,MATCH($C40,'RPS by State'!$B:$B,0))),0)</f>
        <v>0.18</v>
      </c>
      <c r="AG40" s="100">
        <f>IFERROR(IF($A40=FALSE,0,INDEX('RPS by State'!AR:AR,MATCH($C40,'RPS by State'!$B:$B,0))),0)</f>
        <v>0.18</v>
      </c>
      <c r="AH40" s="100">
        <f>IFERROR(IF($A40=FALSE,0,INDEX('RPS by State'!AS:AS,MATCH($C40,'RPS by State'!$B:$B,0))),0)</f>
        <v>0</v>
      </c>
      <c r="AI40" s="100">
        <f>IFERROR(IF($A40=FALSE,0,INDEX('RPS by State'!AT:AT,MATCH($C40,'RPS by State'!$B:$B,0))),0)</f>
        <v>0</v>
      </c>
      <c r="AJ40" s="100">
        <f>IFERROR(IF($A40=FALSE,0,INDEX('RPS by State'!AU:AU,MATCH($C40,'RPS by State'!$B:$B,0))),0)</f>
        <v>0</v>
      </c>
      <c r="AK40" s="100">
        <f>IFERROR(IF($A40=FALSE,0,INDEX('RPS by State'!AV:AV,MATCH($C40,'RPS by State'!$B:$B,0))),0)</f>
        <v>0</v>
      </c>
      <c r="AL40" s="100">
        <f>IFERROR(IF($A40=FALSE,0,INDEX('RPS by State'!AW:AW,MATCH($C40,'RPS by State'!$B:$B,0))),0)</f>
        <v>0</v>
      </c>
      <c r="AM40" s="100">
        <f>IFERROR(IF($A40=FALSE,0,INDEX('RPS by State'!AX:AX,MATCH($C40,'RPS by State'!$B:$B,0))),0)</f>
        <v>0</v>
      </c>
      <c r="AN40" s="100">
        <f>IFERROR(IF($A40=FALSE,0,INDEX('RPS by State'!AY:AY,MATCH($C40,'RPS by State'!$B:$B,0))),0)</f>
        <v>0</v>
      </c>
      <c r="AO40" s="100">
        <f>IFERROR(IF($A40=FALSE,0,INDEX('RPS by State'!AZ:AZ,MATCH($C40,'RPS by State'!$B:$B,0))),0)</f>
        <v>0</v>
      </c>
      <c r="AP40" s="100">
        <f>IFERROR(IF($A40=FALSE,0,INDEX('RPS by State'!BA:BA,MATCH($C40,'RPS by State'!$B:$B,0))),0)</f>
        <v>0</v>
      </c>
      <c r="AQ40" s="100">
        <f>IFERROR(IF($A40=FALSE,0,INDEX('RPS by State'!BB:BB,MATCH($C40,'RPS by State'!$B:$B,0))),0)</f>
        <v>0</v>
      </c>
      <c r="AR40" s="100">
        <f>IFERROR(IF($A40=FALSE,0,INDEX('RPS by State'!BC:BC,MATCH($C40,'RPS by State'!$B:$B,0))),0)</f>
        <v>0</v>
      </c>
      <c r="AS40" s="100">
        <f>IFERROR(IF($A40=FALSE,0,INDEX('RPS by State'!BD:BD,MATCH($C40,'RPS by State'!$B:$B,0))),0)</f>
        <v>0</v>
      </c>
      <c r="AT40" s="100">
        <f>IFERROR(IF($A40=FALSE,0,INDEX('RPS by State'!BE:BE,MATCH($C40,'RPS by State'!$B:$B,0))),0)</f>
        <v>0</v>
      </c>
      <c r="AU40" s="100">
        <f>IFERROR(IF($A40=FALSE,0,INDEX('RPS by State'!BF:BF,MATCH($C40,'RPS by State'!$B:$B,0))),0)</f>
        <v>0</v>
      </c>
      <c r="AV40" s="100">
        <f>IFERROR(IF($A40=FALSE,0,INDEX('RPS by State'!BG:BG,MATCH($C40,'RPS by State'!$B:$B,0))),0)</f>
        <v>0</v>
      </c>
      <c r="AW40" s="100">
        <f>IFERROR(IF($A40=FALSE,0,INDEX('RPS by State'!BH:BH,MATCH($C40,'RPS by State'!$B:$B,0))),0)</f>
        <v>0</v>
      </c>
      <c r="AX40" s="100">
        <f>IFERROR(IF($A40=FALSE,0,INDEX('RPS by State'!BI:BI,MATCH($C40,'RPS by State'!$B:$B,0))),0)</f>
        <v>0</v>
      </c>
      <c r="AY40" s="100">
        <f>IFERROR(IF($A40=FALSE,0,INDEX('RPS by State'!BJ:BJ,MATCH($C40,'RPS by State'!$B:$B,0))),0)</f>
        <v>0</v>
      </c>
      <c r="AZ40" s="100">
        <f>IFERROR(IF($A40=FALSE,0,INDEX('RPS by State'!BK:BK,MATCH($C40,'RPS by State'!$B:$B,0))),0)</f>
        <v>0</v>
      </c>
      <c r="BA40" s="100">
        <f>IFERROR(IF($A40=FALSE,0,INDEX('RPS by State'!BL:BL,MATCH($C40,'RPS by State'!$B:$B,0))),0)</f>
        <v>0</v>
      </c>
      <c r="BB40" s="100">
        <f>IFERROR(IF($A40=FALSE,0,INDEX('RPS by State'!BM:BM,MATCH($C40,'RPS by State'!$B:$B,0))),0)</f>
        <v>0</v>
      </c>
      <c r="BC40" s="100">
        <f>IFERROR(IF($A40=FALSE,0,INDEX('RPS by State'!BN:BN,MATCH($C40,'RPS by State'!$B:$B,0))),0)</f>
        <v>0</v>
      </c>
      <c r="BD40" s="100">
        <f>IFERROR(IF($A40=FALSE,0,INDEX('RPS by State'!BO:BO,MATCH($C40,'RPS by State'!$B:$B,0))),0)</f>
        <v>0</v>
      </c>
      <c r="BE40" s="100">
        <f>IFERROR(IF($A40=FALSE,0,INDEX('RPS by State'!BP:BP,MATCH($C40,'RPS by State'!$B:$B,0))),0)</f>
        <v>0</v>
      </c>
      <c r="BF40" s="100">
        <f>IFERROR(IF($A40=FALSE,0,INDEX('RPS by State'!BQ:BQ,MATCH($C40,'RPS by State'!$B:$B,0))),0)</f>
        <v>0</v>
      </c>
      <c r="BG40" s="100">
        <f>IFERROR(IF($A40=FALSE,0,INDEX('RPS by State'!BR:BR,MATCH($C40,'RPS by State'!$B:$B,0))),0)</f>
        <v>0</v>
      </c>
      <c r="BH40" s="100">
        <f>IFERROR(IF($A40=FALSE,0,INDEX('RPS by State'!BS:BS,MATCH($C40,'RPS by State'!$B:$B,0))),0)</f>
        <v>0</v>
      </c>
      <c r="BI40" s="100">
        <f>IFERROR(IF($A40=FALSE,0,INDEX('RPS by State'!BT:BT,MATCH($C40,'RPS by State'!$B:$B,0))),0)</f>
        <v>0</v>
      </c>
      <c r="BJ40" s="100">
        <f>IFERROR(IF($A40=FALSE,0,INDEX('RPS by State'!BU:BU,MATCH($C40,'RPS by State'!$B:$B,0))),0)</f>
        <v>0</v>
      </c>
      <c r="BK40" s="100">
        <f>IFERROR(IF($A40=FALSE,0,INDEX('RPS by State'!BV:BV,MATCH($C40,'RPS by State'!$B:$B,0))),0)</f>
        <v>0</v>
      </c>
      <c r="BL40" s="100">
        <f>IFERROR(IF($A40=FALSE,0,INDEX('RPS by State'!BW:BW,MATCH($C40,'RPS by State'!$B:$B,0))),0)</f>
        <v>0</v>
      </c>
      <c r="BM40" s="100">
        <f>IFERROR(IF($A40=FALSE,0,INDEX('RPS by State'!BX:BX,MATCH($C40,'RPS by State'!$B:$B,0))),0)</f>
        <v>0</v>
      </c>
      <c r="BN40" s="100">
        <f>IFERROR(IF($A40=FALSE,0,INDEX('RPS by State'!BY:BY,MATCH($C40,'RPS by State'!$B:$B,0))),0)</f>
        <v>0</v>
      </c>
      <c r="BO40" s="100">
        <f>IFERROR(IF($A40=FALSE,0,INDEX('RPS by State'!BZ:BZ,MATCH($C40,'RPS by State'!$B:$B,0))),0)</f>
        <v>0</v>
      </c>
      <c r="BP40" s="100">
        <f>IFERROR(IF($A40=FALSE,0,INDEX('RPS by State'!CA:CA,MATCH($C40,'RPS by State'!$B:$B,0))),0)</f>
        <v>0</v>
      </c>
      <c r="BQ40" s="100">
        <f>IFERROR(IF($A40=FALSE,0,INDEX('RPS by State'!CB:CB,MATCH($C40,'RPS by State'!$B:$B,0))),0)</f>
        <v>0</v>
      </c>
      <c r="BR40" s="100">
        <f>IFERROR(IF($A40=FALSE,0,INDEX('RPS by State'!CC:CC,MATCH($C40,'RPS by State'!$B:$B,0))),0)</f>
        <v>0</v>
      </c>
      <c r="BS40" s="100">
        <f>IFERROR(IF($A40=FALSE,0,INDEX('RPS by State'!CD:CD,MATCH($C40,'RPS by State'!$B:$B,0))),0)</f>
        <v>0</v>
      </c>
      <c r="BT40" s="100">
        <f>IFERROR(IF($A40=FALSE,0,INDEX('RPS by State'!CE:CE,MATCH($C40,'RPS by State'!$B:$B,0))),0)</f>
        <v>0</v>
      </c>
      <c r="BU40" s="100">
        <f>IFERROR(IF($A40=FALSE,0,INDEX('RPS by State'!CF:CF,MATCH($C40,'RPS by State'!$B:$B,0))),0)</f>
        <v>0</v>
      </c>
      <c r="BV40" s="100">
        <f>IFERROR(IF($A40=FALSE,0,INDEX('RPS by State'!CG:CG,MATCH($C40,'RPS by State'!$B:$B,0))),0)</f>
        <v>0</v>
      </c>
      <c r="BW40" s="100">
        <f>IFERROR(IF($A40=FALSE,0,INDEX('RPS by State'!CH:CH,MATCH($C40,'RPS by State'!$B:$B,0))),0)</f>
        <v>0</v>
      </c>
      <c r="BX40" s="100">
        <f>IFERROR(IF($A40=FALSE,0,INDEX('RPS by State'!CI:CI,MATCH($C40,'RPS by State'!$B:$B,0))),0)</f>
        <v>0</v>
      </c>
      <c r="BY40" s="100">
        <f>IFERROR(IF($A40=FALSE,0,INDEX('RPS by State'!CJ:CJ,MATCH($C40,'RPS by State'!$B:$B,0))),0)</f>
        <v>0</v>
      </c>
      <c r="BZ40" s="100">
        <f>IFERROR(IF($A40=FALSE,0,INDEX('RPS by State'!CK:CK,MATCH($C40,'RPS by State'!$B:$B,0))),0)</f>
        <v>0</v>
      </c>
      <c r="CA40" s="100">
        <f>IFERROR(IF($A40=FALSE,0,INDEX('RPS by State'!CL:CL,MATCH($C40,'RPS by State'!$B:$B,0))),0)</f>
        <v>0</v>
      </c>
      <c r="CB40" s="100">
        <f>IFERROR(IF($A40=FALSE,0,INDEX('RPS by State'!CM:CM,MATCH($C40,'RPS by State'!$B:$B,0))),0)</f>
        <v>0</v>
      </c>
      <c r="CC40" s="100">
        <f>IFERROR(IF($A40=FALSE,0,INDEX('RPS by State'!CN:CN,MATCH($C40,'RPS by State'!$B:$B,0))),0)</f>
        <v>0</v>
      </c>
      <c r="CD40" s="100">
        <f>IFERROR(IF($A40=FALSE,0,INDEX('RPS by State'!CO:CO,MATCH($C40,'RPS by State'!$B:$B,0))),0)</f>
        <v>0</v>
      </c>
      <c r="CE40" s="100">
        <f>IFERROR(IF($A40=FALSE,0,INDEX('RPS by State'!CP:CP,MATCH($C40,'RPS by State'!$B:$B,0))),0)</f>
        <v>0</v>
      </c>
    </row>
    <row r="41" spans="1:83" x14ac:dyDescent="0.25">
      <c r="A41" t="b">
        <f>IFERROR(INDEX('RPS by State'!G:G,MATCH(B41,'RPS by State'!A:A,0)),0)</f>
        <v>1</v>
      </c>
      <c r="B41" s="120" t="s">
        <v>103</v>
      </c>
      <c r="C41" s="120" t="str">
        <f>IFERROR(INDEX(About!L:L,MATCH(B41,About!K:K,0)),0)</f>
        <v>RI</v>
      </c>
      <c r="D41" s="100">
        <f>IFERROR(IF($A41=FALSE,0,INDEX('RPS by State'!O:O,MATCH($C41,'RPS by State'!$B:$B,0))),0)</f>
        <v>0.17500000000000004</v>
      </c>
      <c r="E41" s="100">
        <f>IFERROR(IF($A41=FALSE,0,INDEX('RPS by State'!P:P,MATCH($C41,'RPS by State'!$B:$B,0))),0)</f>
        <v>0.19000000000000006</v>
      </c>
      <c r="F41" s="100">
        <f>IFERROR(IF($A41=FALSE,0,INDEX('RPS by State'!Q:Q,MATCH($C41,'RPS by State'!$B:$B,0))),0)</f>
        <v>0.23</v>
      </c>
      <c r="G41" s="100">
        <f>IFERROR(IF($A41=FALSE,0,INDEX('RPS by State'!R:R,MATCH($C41,'RPS by State'!$B:$B,0))),0)</f>
        <v>0.28000000000000003</v>
      </c>
      <c r="H41" s="100">
        <f>IFERROR(IF($A41=FALSE,0,INDEX('RPS by State'!S:S,MATCH($C41,'RPS by State'!$B:$B,0))),0)</f>
        <v>0.34</v>
      </c>
      <c r="I41" s="100">
        <f>IFERROR(IF($A41=FALSE,0,INDEX('RPS by State'!T:T,MATCH($C41,'RPS by State'!$B:$B,0))),0)</f>
        <v>0.41</v>
      </c>
      <c r="J41" s="100">
        <f>IFERROR(IF($A41=FALSE,0,INDEX('RPS by State'!U:U,MATCH($C41,'RPS by State'!$B:$B,0))),0)</f>
        <v>0.48</v>
      </c>
      <c r="K41" s="100">
        <f>IFERROR(IF($A41=FALSE,0,INDEX('RPS by State'!V:V,MATCH($C41,'RPS by State'!$B:$B,0))),0)</f>
        <v>0.55500000000000005</v>
      </c>
      <c r="L41" s="100">
        <f>IFERROR(IF($A41=FALSE,0,INDEX('RPS by State'!W:W,MATCH($C41,'RPS by State'!$B:$B,0))),0)</f>
        <v>0.63500000000000001</v>
      </c>
      <c r="M41" s="100">
        <f>IFERROR(IF($A41=FALSE,0,INDEX('RPS by State'!X:X,MATCH($C41,'RPS by State'!$B:$B,0))),0)</f>
        <v>0.72</v>
      </c>
      <c r="N41" s="100">
        <f>IFERROR(IF($A41=FALSE,0,INDEX('RPS by State'!Y:Y,MATCH($C41,'RPS by State'!$B:$B,0))),0)</f>
        <v>0.81</v>
      </c>
      <c r="O41" s="100">
        <f>IFERROR(IF($A41=FALSE,0,INDEX('RPS by State'!Z:Z,MATCH($C41,'RPS by State'!$B:$B,0))),0)</f>
        <v>0.90500000000000003</v>
      </c>
      <c r="P41" s="100">
        <f>IFERROR(IF($A41=FALSE,0,INDEX('RPS by State'!AA:AA,MATCH($C41,'RPS by State'!$B:$B,0))),0)</f>
        <v>1</v>
      </c>
      <c r="Q41" s="100">
        <f>IFERROR(IF($A41=FALSE,0,INDEX('RPS by State'!AB:AB,MATCH($C41,'RPS by State'!$B:$B,0))),0)</f>
        <v>1</v>
      </c>
      <c r="R41" s="100">
        <f>IFERROR(IF($A41=FALSE,0,INDEX('RPS by State'!AC:AC,MATCH($C41,'RPS by State'!$B:$B,0))),0)</f>
        <v>1</v>
      </c>
      <c r="S41" s="100">
        <f>IFERROR(IF($A41=FALSE,0,INDEX('RPS by State'!AD:AD,MATCH($C41,'RPS by State'!$B:$B,0))),0)</f>
        <v>1</v>
      </c>
      <c r="T41" s="100">
        <f>IFERROR(IF($A41=FALSE,0,INDEX('RPS by State'!AE:AE,MATCH($C41,'RPS by State'!$B:$B,0))),0)</f>
        <v>1</v>
      </c>
      <c r="U41" s="100">
        <f>IFERROR(IF($A41=FALSE,0,INDEX('RPS by State'!AF:AF,MATCH($C41,'RPS by State'!$B:$B,0))),0)</f>
        <v>1</v>
      </c>
      <c r="V41" s="100">
        <f>IFERROR(IF($A41=FALSE,0,INDEX('RPS by State'!AG:AG,MATCH($C41,'RPS by State'!$B:$B,0))),0)</f>
        <v>1</v>
      </c>
      <c r="W41" s="100">
        <f>IFERROR(IF($A41=FALSE,0,INDEX('RPS by State'!AH:AH,MATCH($C41,'RPS by State'!$B:$B,0))),0)</f>
        <v>1</v>
      </c>
      <c r="X41" s="100">
        <f>IFERROR(IF($A41=FALSE,0,INDEX('RPS by State'!AI:AI,MATCH($C41,'RPS by State'!$B:$B,0))),0)</f>
        <v>1</v>
      </c>
      <c r="Y41" s="100">
        <f>IFERROR(IF($A41=FALSE,0,INDEX('RPS by State'!AJ:AJ,MATCH($C41,'RPS by State'!$B:$B,0))),0)</f>
        <v>1</v>
      </c>
      <c r="Z41" s="100">
        <f>IFERROR(IF($A41=FALSE,0,INDEX('RPS by State'!AK:AK,MATCH($C41,'RPS by State'!$B:$B,0))),0)</f>
        <v>1</v>
      </c>
      <c r="AA41" s="100">
        <f>IFERROR(IF($A41=FALSE,0,INDEX('RPS by State'!AL:AL,MATCH($C41,'RPS by State'!$B:$B,0))),0)</f>
        <v>1</v>
      </c>
      <c r="AB41" s="100">
        <f>IFERROR(IF($A41=FALSE,0,INDEX('RPS by State'!AM:AM,MATCH($C41,'RPS by State'!$B:$B,0))),0)</f>
        <v>1</v>
      </c>
      <c r="AC41" s="100">
        <f>IFERROR(IF($A41=FALSE,0,INDEX('RPS by State'!AN:AN,MATCH($C41,'RPS by State'!$B:$B,0))),0)</f>
        <v>1</v>
      </c>
      <c r="AD41" s="100">
        <f>IFERROR(IF($A41=FALSE,0,INDEX('RPS by State'!AO:AO,MATCH($C41,'RPS by State'!$B:$B,0))),0)</f>
        <v>1</v>
      </c>
      <c r="AE41" s="100">
        <f>IFERROR(IF($A41=FALSE,0,INDEX('RPS by State'!AP:AP,MATCH($C41,'RPS by State'!$B:$B,0))),0)</f>
        <v>1</v>
      </c>
      <c r="AF41" s="100">
        <f>IFERROR(IF($A41=FALSE,0,INDEX('RPS by State'!AQ:AQ,MATCH($C41,'RPS by State'!$B:$B,0))),0)</f>
        <v>1</v>
      </c>
      <c r="AG41" s="100">
        <f>IFERROR(IF($A41=FALSE,0,INDEX('RPS by State'!AR:AR,MATCH($C41,'RPS by State'!$B:$B,0))),0)</f>
        <v>1</v>
      </c>
      <c r="AH41" s="100">
        <f>IFERROR(IF($A41=FALSE,0,INDEX('RPS by State'!AS:AS,MATCH($C41,'RPS by State'!$B:$B,0))),0)</f>
        <v>0</v>
      </c>
      <c r="AI41" s="100">
        <f>IFERROR(IF($A41=FALSE,0,INDEX('RPS by State'!AT:AT,MATCH($C41,'RPS by State'!$B:$B,0))),0)</f>
        <v>0</v>
      </c>
      <c r="AJ41" s="100">
        <f>IFERROR(IF($A41=FALSE,0,INDEX('RPS by State'!AU:AU,MATCH($C41,'RPS by State'!$B:$B,0))),0)</f>
        <v>0</v>
      </c>
      <c r="AK41" s="100">
        <f>IFERROR(IF($A41=FALSE,0,INDEX('RPS by State'!AV:AV,MATCH($C41,'RPS by State'!$B:$B,0))),0)</f>
        <v>0</v>
      </c>
      <c r="AL41" s="100">
        <f>IFERROR(IF($A41=FALSE,0,INDEX('RPS by State'!AW:AW,MATCH($C41,'RPS by State'!$B:$B,0))),0)</f>
        <v>0</v>
      </c>
      <c r="AM41" s="100">
        <f>IFERROR(IF($A41=FALSE,0,INDEX('RPS by State'!AX:AX,MATCH($C41,'RPS by State'!$B:$B,0))),0)</f>
        <v>0</v>
      </c>
      <c r="AN41" s="100">
        <f>IFERROR(IF($A41=FALSE,0,INDEX('RPS by State'!AY:AY,MATCH($C41,'RPS by State'!$B:$B,0))),0)</f>
        <v>0</v>
      </c>
      <c r="AO41" s="100">
        <f>IFERROR(IF($A41=FALSE,0,INDEX('RPS by State'!AZ:AZ,MATCH($C41,'RPS by State'!$B:$B,0))),0)</f>
        <v>0</v>
      </c>
      <c r="AP41" s="100">
        <f>IFERROR(IF($A41=FALSE,0,INDEX('RPS by State'!BA:BA,MATCH($C41,'RPS by State'!$B:$B,0))),0)</f>
        <v>0</v>
      </c>
      <c r="AQ41" s="100">
        <f>IFERROR(IF($A41=FALSE,0,INDEX('RPS by State'!BB:BB,MATCH($C41,'RPS by State'!$B:$B,0))),0)</f>
        <v>0</v>
      </c>
      <c r="AR41" s="100">
        <f>IFERROR(IF($A41=FALSE,0,INDEX('RPS by State'!BC:BC,MATCH($C41,'RPS by State'!$B:$B,0))),0)</f>
        <v>0</v>
      </c>
      <c r="AS41" s="100">
        <f>IFERROR(IF($A41=FALSE,0,INDEX('RPS by State'!BD:BD,MATCH($C41,'RPS by State'!$B:$B,0))),0)</f>
        <v>0</v>
      </c>
      <c r="AT41" s="100">
        <f>IFERROR(IF($A41=FALSE,0,INDEX('RPS by State'!BE:BE,MATCH($C41,'RPS by State'!$B:$B,0))),0)</f>
        <v>0</v>
      </c>
      <c r="AU41" s="100">
        <f>IFERROR(IF($A41=FALSE,0,INDEX('RPS by State'!BF:BF,MATCH($C41,'RPS by State'!$B:$B,0))),0)</f>
        <v>0</v>
      </c>
      <c r="AV41" s="100">
        <f>IFERROR(IF($A41=FALSE,0,INDEX('RPS by State'!BG:BG,MATCH($C41,'RPS by State'!$B:$B,0))),0)</f>
        <v>0</v>
      </c>
      <c r="AW41" s="100">
        <f>IFERROR(IF($A41=FALSE,0,INDEX('RPS by State'!BH:BH,MATCH($C41,'RPS by State'!$B:$B,0))),0)</f>
        <v>0</v>
      </c>
      <c r="AX41" s="100">
        <f>IFERROR(IF($A41=FALSE,0,INDEX('RPS by State'!BI:BI,MATCH($C41,'RPS by State'!$B:$B,0))),0)</f>
        <v>0</v>
      </c>
      <c r="AY41" s="100">
        <f>IFERROR(IF($A41=FALSE,0,INDEX('RPS by State'!BJ:BJ,MATCH($C41,'RPS by State'!$B:$B,0))),0)</f>
        <v>0</v>
      </c>
      <c r="AZ41" s="100">
        <f>IFERROR(IF($A41=FALSE,0,INDEX('RPS by State'!BK:BK,MATCH($C41,'RPS by State'!$B:$B,0))),0)</f>
        <v>0</v>
      </c>
      <c r="BA41" s="100">
        <f>IFERROR(IF($A41=FALSE,0,INDEX('RPS by State'!BL:BL,MATCH($C41,'RPS by State'!$B:$B,0))),0)</f>
        <v>0</v>
      </c>
      <c r="BB41" s="100">
        <f>IFERROR(IF($A41=FALSE,0,INDEX('RPS by State'!BM:BM,MATCH($C41,'RPS by State'!$B:$B,0))),0)</f>
        <v>0</v>
      </c>
      <c r="BC41" s="100">
        <f>IFERROR(IF($A41=FALSE,0,INDEX('RPS by State'!BN:BN,MATCH($C41,'RPS by State'!$B:$B,0))),0)</f>
        <v>0</v>
      </c>
      <c r="BD41" s="100">
        <f>IFERROR(IF($A41=FALSE,0,INDEX('RPS by State'!BO:BO,MATCH($C41,'RPS by State'!$B:$B,0))),0)</f>
        <v>0</v>
      </c>
      <c r="BE41" s="100">
        <f>IFERROR(IF($A41=FALSE,0,INDEX('RPS by State'!BP:BP,MATCH($C41,'RPS by State'!$B:$B,0))),0)</f>
        <v>0</v>
      </c>
      <c r="BF41" s="100">
        <f>IFERROR(IF($A41=FALSE,0,INDEX('RPS by State'!BQ:BQ,MATCH($C41,'RPS by State'!$B:$B,0))),0)</f>
        <v>0</v>
      </c>
      <c r="BG41" s="100">
        <f>IFERROR(IF($A41=FALSE,0,INDEX('RPS by State'!BR:BR,MATCH($C41,'RPS by State'!$B:$B,0))),0)</f>
        <v>0</v>
      </c>
      <c r="BH41" s="100">
        <f>IFERROR(IF($A41=FALSE,0,INDEX('RPS by State'!BS:BS,MATCH($C41,'RPS by State'!$B:$B,0))),0)</f>
        <v>0</v>
      </c>
      <c r="BI41" s="100">
        <f>IFERROR(IF($A41=FALSE,0,INDEX('RPS by State'!BT:BT,MATCH($C41,'RPS by State'!$B:$B,0))),0)</f>
        <v>0</v>
      </c>
      <c r="BJ41" s="100">
        <f>IFERROR(IF($A41=FALSE,0,INDEX('RPS by State'!BU:BU,MATCH($C41,'RPS by State'!$B:$B,0))),0)</f>
        <v>0</v>
      </c>
      <c r="BK41" s="100">
        <f>IFERROR(IF($A41=FALSE,0,INDEX('RPS by State'!BV:BV,MATCH($C41,'RPS by State'!$B:$B,0))),0)</f>
        <v>0</v>
      </c>
      <c r="BL41" s="100">
        <f>IFERROR(IF($A41=FALSE,0,INDEX('RPS by State'!BW:BW,MATCH($C41,'RPS by State'!$B:$B,0))),0)</f>
        <v>0</v>
      </c>
      <c r="BM41" s="100">
        <f>IFERROR(IF($A41=FALSE,0,INDEX('RPS by State'!BX:BX,MATCH($C41,'RPS by State'!$B:$B,0))),0)</f>
        <v>0</v>
      </c>
      <c r="BN41" s="100">
        <f>IFERROR(IF($A41=FALSE,0,INDEX('RPS by State'!BY:BY,MATCH($C41,'RPS by State'!$B:$B,0))),0)</f>
        <v>0</v>
      </c>
      <c r="BO41" s="100">
        <f>IFERROR(IF($A41=FALSE,0,INDEX('RPS by State'!BZ:BZ,MATCH($C41,'RPS by State'!$B:$B,0))),0)</f>
        <v>0</v>
      </c>
      <c r="BP41" s="100">
        <f>IFERROR(IF($A41=FALSE,0,INDEX('RPS by State'!CA:CA,MATCH($C41,'RPS by State'!$B:$B,0))),0)</f>
        <v>0</v>
      </c>
      <c r="BQ41" s="100">
        <f>IFERROR(IF($A41=FALSE,0,INDEX('RPS by State'!CB:CB,MATCH($C41,'RPS by State'!$B:$B,0))),0)</f>
        <v>0</v>
      </c>
      <c r="BR41" s="100">
        <f>IFERROR(IF($A41=FALSE,0,INDEX('RPS by State'!CC:CC,MATCH($C41,'RPS by State'!$B:$B,0))),0)</f>
        <v>0</v>
      </c>
      <c r="BS41" s="100">
        <f>IFERROR(IF($A41=FALSE,0,INDEX('RPS by State'!CD:CD,MATCH($C41,'RPS by State'!$B:$B,0))),0)</f>
        <v>0</v>
      </c>
      <c r="BT41" s="100">
        <f>IFERROR(IF($A41=FALSE,0,INDEX('RPS by State'!CE:CE,MATCH($C41,'RPS by State'!$B:$B,0))),0)</f>
        <v>0</v>
      </c>
      <c r="BU41" s="100">
        <f>IFERROR(IF($A41=FALSE,0,INDEX('RPS by State'!CF:CF,MATCH($C41,'RPS by State'!$B:$B,0))),0)</f>
        <v>0</v>
      </c>
      <c r="BV41" s="100">
        <f>IFERROR(IF($A41=FALSE,0,INDEX('RPS by State'!CG:CG,MATCH($C41,'RPS by State'!$B:$B,0))),0)</f>
        <v>0</v>
      </c>
      <c r="BW41" s="100">
        <f>IFERROR(IF($A41=FALSE,0,INDEX('RPS by State'!CH:CH,MATCH($C41,'RPS by State'!$B:$B,0))),0)</f>
        <v>0</v>
      </c>
      <c r="BX41" s="100">
        <f>IFERROR(IF($A41=FALSE,0,INDEX('RPS by State'!CI:CI,MATCH($C41,'RPS by State'!$B:$B,0))),0)</f>
        <v>0</v>
      </c>
      <c r="BY41" s="100">
        <f>IFERROR(IF($A41=FALSE,0,INDEX('RPS by State'!CJ:CJ,MATCH($C41,'RPS by State'!$B:$B,0))),0)</f>
        <v>0</v>
      </c>
      <c r="BZ41" s="100">
        <f>IFERROR(IF($A41=FALSE,0,INDEX('RPS by State'!CK:CK,MATCH($C41,'RPS by State'!$B:$B,0))),0)</f>
        <v>0</v>
      </c>
      <c r="CA41" s="100">
        <f>IFERROR(IF($A41=FALSE,0,INDEX('RPS by State'!CL:CL,MATCH($C41,'RPS by State'!$B:$B,0))),0)</f>
        <v>0</v>
      </c>
      <c r="CB41" s="100">
        <f>IFERROR(IF($A41=FALSE,0,INDEX('RPS by State'!CM:CM,MATCH($C41,'RPS by State'!$B:$B,0))),0)</f>
        <v>0</v>
      </c>
      <c r="CC41" s="100">
        <f>IFERROR(IF($A41=FALSE,0,INDEX('RPS by State'!CN:CN,MATCH($C41,'RPS by State'!$B:$B,0))),0)</f>
        <v>0</v>
      </c>
      <c r="CD41" s="100">
        <f>IFERROR(IF($A41=FALSE,0,INDEX('RPS by State'!CO:CO,MATCH($C41,'RPS by State'!$B:$B,0))),0)</f>
        <v>0</v>
      </c>
      <c r="CE41" s="100">
        <f>IFERROR(IF($A41=FALSE,0,INDEX('RPS by State'!CP:CP,MATCH($C41,'RPS by State'!$B:$B,0))),0)</f>
        <v>0</v>
      </c>
    </row>
    <row r="42" spans="1:83" x14ac:dyDescent="0.25">
      <c r="A42" t="b">
        <f>IFERROR(INDEX('RPS by State'!G:G,MATCH(B42,'RPS by State'!A:A,0)),0)</f>
        <v>0</v>
      </c>
      <c r="B42" s="120" t="s">
        <v>105</v>
      </c>
      <c r="C42" s="120" t="str">
        <f>IFERROR(INDEX(About!L:L,MATCH(B42,About!K:K,0)),0)</f>
        <v>SC</v>
      </c>
      <c r="D42" s="100">
        <f>IFERROR(IF($A42=FALSE,0,INDEX('RPS by State'!O:O,MATCH($C42,'RPS by State'!$B:$B,0))),0)</f>
        <v>0</v>
      </c>
      <c r="E42" s="100">
        <f>IFERROR(IF($A42=FALSE,0,INDEX('RPS by State'!P:P,MATCH($C42,'RPS by State'!$B:$B,0))),0)</f>
        <v>0</v>
      </c>
      <c r="F42" s="100">
        <f>IFERROR(IF($A42=FALSE,0,INDEX('RPS by State'!Q:Q,MATCH($C42,'RPS by State'!$B:$B,0))),0)</f>
        <v>0</v>
      </c>
      <c r="G42" s="100">
        <f>IFERROR(IF($A42=FALSE,0,INDEX('RPS by State'!R:R,MATCH($C42,'RPS by State'!$B:$B,0))),0)</f>
        <v>0</v>
      </c>
      <c r="H42" s="100">
        <f>IFERROR(IF($A42=FALSE,0,INDEX('RPS by State'!S:S,MATCH($C42,'RPS by State'!$B:$B,0))),0)</f>
        <v>0</v>
      </c>
      <c r="I42" s="100">
        <f>IFERROR(IF($A42=FALSE,0,INDEX('RPS by State'!T:T,MATCH($C42,'RPS by State'!$B:$B,0))),0)</f>
        <v>0</v>
      </c>
      <c r="J42" s="100">
        <f>IFERROR(IF($A42=FALSE,0,INDEX('RPS by State'!U:U,MATCH($C42,'RPS by State'!$B:$B,0))),0)</f>
        <v>0</v>
      </c>
      <c r="K42" s="100">
        <f>IFERROR(IF($A42=FALSE,0,INDEX('RPS by State'!V:V,MATCH($C42,'RPS by State'!$B:$B,0))),0)</f>
        <v>0</v>
      </c>
      <c r="L42" s="100">
        <f>IFERROR(IF($A42=FALSE,0,INDEX('RPS by State'!W:W,MATCH($C42,'RPS by State'!$B:$B,0))),0)</f>
        <v>0</v>
      </c>
      <c r="M42" s="100">
        <f>IFERROR(IF($A42=FALSE,0,INDEX('RPS by State'!X:X,MATCH($C42,'RPS by State'!$B:$B,0))),0)</f>
        <v>0</v>
      </c>
      <c r="N42" s="100">
        <f>IFERROR(IF($A42=FALSE,0,INDEX('RPS by State'!Y:Y,MATCH($C42,'RPS by State'!$B:$B,0))),0)</f>
        <v>0</v>
      </c>
      <c r="O42" s="100">
        <f>IFERROR(IF($A42=FALSE,0,INDEX('RPS by State'!Z:Z,MATCH($C42,'RPS by State'!$B:$B,0))),0)</f>
        <v>0</v>
      </c>
      <c r="P42" s="100">
        <f>IFERROR(IF($A42=FALSE,0,INDEX('RPS by State'!AA:AA,MATCH($C42,'RPS by State'!$B:$B,0))),0)</f>
        <v>0</v>
      </c>
      <c r="Q42" s="100">
        <f>IFERROR(IF($A42=FALSE,0,INDEX('RPS by State'!AB:AB,MATCH($C42,'RPS by State'!$B:$B,0))),0)</f>
        <v>0</v>
      </c>
      <c r="R42" s="100">
        <f>IFERROR(IF($A42=FALSE,0,INDEX('RPS by State'!AC:AC,MATCH($C42,'RPS by State'!$B:$B,0))),0)</f>
        <v>0</v>
      </c>
      <c r="S42" s="100">
        <f>IFERROR(IF($A42=FALSE,0,INDEX('RPS by State'!AD:AD,MATCH($C42,'RPS by State'!$B:$B,0))),0)</f>
        <v>0</v>
      </c>
      <c r="T42" s="100">
        <f>IFERROR(IF($A42=FALSE,0,INDEX('RPS by State'!AE:AE,MATCH($C42,'RPS by State'!$B:$B,0))),0)</f>
        <v>0</v>
      </c>
      <c r="U42" s="100">
        <f>IFERROR(IF($A42=FALSE,0,INDEX('RPS by State'!AF:AF,MATCH($C42,'RPS by State'!$B:$B,0))),0)</f>
        <v>0</v>
      </c>
      <c r="V42" s="100">
        <f>IFERROR(IF($A42=FALSE,0,INDEX('RPS by State'!AG:AG,MATCH($C42,'RPS by State'!$B:$B,0))),0)</f>
        <v>0</v>
      </c>
      <c r="W42" s="100">
        <f>IFERROR(IF($A42=FALSE,0,INDEX('RPS by State'!AH:AH,MATCH($C42,'RPS by State'!$B:$B,0))),0)</f>
        <v>0</v>
      </c>
      <c r="X42" s="100">
        <f>IFERROR(IF($A42=FALSE,0,INDEX('RPS by State'!AI:AI,MATCH($C42,'RPS by State'!$B:$B,0))),0)</f>
        <v>0</v>
      </c>
      <c r="Y42" s="100">
        <f>IFERROR(IF($A42=FALSE,0,INDEX('RPS by State'!AJ:AJ,MATCH($C42,'RPS by State'!$B:$B,0))),0)</f>
        <v>0</v>
      </c>
      <c r="Z42" s="100">
        <f>IFERROR(IF($A42=FALSE,0,INDEX('RPS by State'!AK:AK,MATCH($C42,'RPS by State'!$B:$B,0))),0)</f>
        <v>0</v>
      </c>
      <c r="AA42" s="100">
        <f>IFERROR(IF($A42=FALSE,0,INDEX('RPS by State'!AL:AL,MATCH($C42,'RPS by State'!$B:$B,0))),0)</f>
        <v>0</v>
      </c>
      <c r="AB42" s="100">
        <f>IFERROR(IF($A42=FALSE,0,INDEX('RPS by State'!AM:AM,MATCH($C42,'RPS by State'!$B:$B,0))),0)</f>
        <v>0</v>
      </c>
      <c r="AC42" s="100">
        <f>IFERROR(IF($A42=FALSE,0,INDEX('RPS by State'!AN:AN,MATCH($C42,'RPS by State'!$B:$B,0))),0)</f>
        <v>0</v>
      </c>
      <c r="AD42" s="100">
        <f>IFERROR(IF($A42=FALSE,0,INDEX('RPS by State'!AO:AO,MATCH($C42,'RPS by State'!$B:$B,0))),0)</f>
        <v>0</v>
      </c>
      <c r="AE42" s="100">
        <f>IFERROR(IF($A42=FALSE,0,INDEX('RPS by State'!AP:AP,MATCH($C42,'RPS by State'!$B:$B,0))),0)</f>
        <v>0</v>
      </c>
      <c r="AF42" s="100">
        <f>IFERROR(IF($A42=FALSE,0,INDEX('RPS by State'!AQ:AQ,MATCH($C42,'RPS by State'!$B:$B,0))),0)</f>
        <v>0</v>
      </c>
      <c r="AG42" s="100">
        <f>IFERROR(IF($A42=FALSE,0,INDEX('RPS by State'!AR:AR,MATCH($C42,'RPS by State'!$B:$B,0))),0)</f>
        <v>0</v>
      </c>
      <c r="AH42" s="100">
        <f>IFERROR(IF($A42=FALSE,0,INDEX('RPS by State'!AS:AS,MATCH($C42,'RPS by State'!$B:$B,0))),0)</f>
        <v>0</v>
      </c>
      <c r="AI42" s="100">
        <f>IFERROR(IF($A42=FALSE,0,INDEX('RPS by State'!AT:AT,MATCH($C42,'RPS by State'!$B:$B,0))),0)</f>
        <v>0</v>
      </c>
      <c r="AJ42" s="100">
        <f>IFERROR(IF($A42=FALSE,0,INDEX('RPS by State'!AU:AU,MATCH($C42,'RPS by State'!$B:$B,0))),0)</f>
        <v>0</v>
      </c>
      <c r="AK42" s="100">
        <f>IFERROR(IF($A42=FALSE,0,INDEX('RPS by State'!AV:AV,MATCH($C42,'RPS by State'!$B:$B,0))),0)</f>
        <v>0</v>
      </c>
      <c r="AL42" s="100">
        <f>IFERROR(IF($A42=FALSE,0,INDEX('RPS by State'!AW:AW,MATCH($C42,'RPS by State'!$B:$B,0))),0)</f>
        <v>0</v>
      </c>
      <c r="AM42" s="100">
        <f>IFERROR(IF($A42=FALSE,0,INDEX('RPS by State'!AX:AX,MATCH($C42,'RPS by State'!$B:$B,0))),0)</f>
        <v>0</v>
      </c>
      <c r="AN42" s="100">
        <f>IFERROR(IF($A42=FALSE,0,INDEX('RPS by State'!AY:AY,MATCH($C42,'RPS by State'!$B:$B,0))),0)</f>
        <v>0</v>
      </c>
      <c r="AO42" s="100">
        <f>IFERROR(IF($A42=FALSE,0,INDEX('RPS by State'!AZ:AZ,MATCH($C42,'RPS by State'!$B:$B,0))),0)</f>
        <v>0</v>
      </c>
      <c r="AP42" s="100">
        <f>IFERROR(IF($A42=FALSE,0,INDEX('RPS by State'!BA:BA,MATCH($C42,'RPS by State'!$B:$B,0))),0)</f>
        <v>0</v>
      </c>
      <c r="AQ42" s="100">
        <f>IFERROR(IF($A42=FALSE,0,INDEX('RPS by State'!BB:BB,MATCH($C42,'RPS by State'!$B:$B,0))),0)</f>
        <v>0</v>
      </c>
      <c r="AR42" s="100">
        <f>IFERROR(IF($A42=FALSE,0,INDEX('RPS by State'!BC:BC,MATCH($C42,'RPS by State'!$B:$B,0))),0)</f>
        <v>0</v>
      </c>
      <c r="AS42" s="100">
        <f>IFERROR(IF($A42=FALSE,0,INDEX('RPS by State'!BD:BD,MATCH($C42,'RPS by State'!$B:$B,0))),0)</f>
        <v>0</v>
      </c>
      <c r="AT42" s="100">
        <f>IFERROR(IF($A42=FALSE,0,INDEX('RPS by State'!BE:BE,MATCH($C42,'RPS by State'!$B:$B,0))),0)</f>
        <v>0</v>
      </c>
      <c r="AU42" s="100">
        <f>IFERROR(IF($A42=FALSE,0,INDEX('RPS by State'!BF:BF,MATCH($C42,'RPS by State'!$B:$B,0))),0)</f>
        <v>0</v>
      </c>
      <c r="AV42" s="100">
        <f>IFERROR(IF($A42=FALSE,0,INDEX('RPS by State'!BG:BG,MATCH($C42,'RPS by State'!$B:$B,0))),0)</f>
        <v>0</v>
      </c>
      <c r="AW42" s="100">
        <f>IFERROR(IF($A42=FALSE,0,INDEX('RPS by State'!BH:BH,MATCH($C42,'RPS by State'!$B:$B,0))),0)</f>
        <v>0</v>
      </c>
      <c r="AX42" s="100">
        <f>IFERROR(IF($A42=FALSE,0,INDEX('RPS by State'!BI:BI,MATCH($C42,'RPS by State'!$B:$B,0))),0)</f>
        <v>0</v>
      </c>
      <c r="AY42" s="100">
        <f>IFERROR(IF($A42=FALSE,0,INDEX('RPS by State'!BJ:BJ,MATCH($C42,'RPS by State'!$B:$B,0))),0)</f>
        <v>0</v>
      </c>
      <c r="AZ42" s="100">
        <f>IFERROR(IF($A42=FALSE,0,INDEX('RPS by State'!BK:BK,MATCH($C42,'RPS by State'!$B:$B,0))),0)</f>
        <v>0</v>
      </c>
      <c r="BA42" s="100">
        <f>IFERROR(IF($A42=FALSE,0,INDEX('RPS by State'!BL:BL,MATCH($C42,'RPS by State'!$B:$B,0))),0)</f>
        <v>0</v>
      </c>
      <c r="BB42" s="100">
        <f>IFERROR(IF($A42=FALSE,0,INDEX('RPS by State'!BM:BM,MATCH($C42,'RPS by State'!$B:$B,0))),0)</f>
        <v>0</v>
      </c>
      <c r="BC42" s="100">
        <f>IFERROR(IF($A42=FALSE,0,INDEX('RPS by State'!BN:BN,MATCH($C42,'RPS by State'!$B:$B,0))),0)</f>
        <v>0</v>
      </c>
      <c r="BD42" s="100">
        <f>IFERROR(IF($A42=FALSE,0,INDEX('RPS by State'!BO:BO,MATCH($C42,'RPS by State'!$B:$B,0))),0)</f>
        <v>0</v>
      </c>
      <c r="BE42" s="100">
        <f>IFERROR(IF($A42=FALSE,0,INDEX('RPS by State'!BP:BP,MATCH($C42,'RPS by State'!$B:$B,0))),0)</f>
        <v>0</v>
      </c>
      <c r="BF42" s="100">
        <f>IFERROR(IF($A42=FALSE,0,INDEX('RPS by State'!BQ:BQ,MATCH($C42,'RPS by State'!$B:$B,0))),0)</f>
        <v>0</v>
      </c>
      <c r="BG42" s="100">
        <f>IFERROR(IF($A42=FALSE,0,INDEX('RPS by State'!BR:BR,MATCH($C42,'RPS by State'!$B:$B,0))),0)</f>
        <v>0</v>
      </c>
      <c r="BH42" s="100">
        <f>IFERROR(IF($A42=FALSE,0,INDEX('RPS by State'!BS:BS,MATCH($C42,'RPS by State'!$B:$B,0))),0)</f>
        <v>0</v>
      </c>
      <c r="BI42" s="100">
        <f>IFERROR(IF($A42=FALSE,0,INDEX('RPS by State'!BT:BT,MATCH($C42,'RPS by State'!$B:$B,0))),0)</f>
        <v>0</v>
      </c>
      <c r="BJ42" s="100">
        <f>IFERROR(IF($A42=FALSE,0,INDEX('RPS by State'!BU:BU,MATCH($C42,'RPS by State'!$B:$B,0))),0)</f>
        <v>0</v>
      </c>
      <c r="BK42" s="100">
        <f>IFERROR(IF($A42=FALSE,0,INDEX('RPS by State'!BV:BV,MATCH($C42,'RPS by State'!$B:$B,0))),0)</f>
        <v>0</v>
      </c>
      <c r="BL42" s="100">
        <f>IFERROR(IF($A42=FALSE,0,INDEX('RPS by State'!BW:BW,MATCH($C42,'RPS by State'!$B:$B,0))),0)</f>
        <v>0</v>
      </c>
      <c r="BM42" s="100">
        <f>IFERROR(IF($A42=FALSE,0,INDEX('RPS by State'!BX:BX,MATCH($C42,'RPS by State'!$B:$B,0))),0)</f>
        <v>0</v>
      </c>
      <c r="BN42" s="100">
        <f>IFERROR(IF($A42=FALSE,0,INDEX('RPS by State'!BY:BY,MATCH($C42,'RPS by State'!$B:$B,0))),0)</f>
        <v>0</v>
      </c>
      <c r="BO42" s="100">
        <f>IFERROR(IF($A42=FALSE,0,INDEX('RPS by State'!BZ:BZ,MATCH($C42,'RPS by State'!$B:$B,0))),0)</f>
        <v>0</v>
      </c>
      <c r="BP42" s="100">
        <f>IFERROR(IF($A42=FALSE,0,INDEX('RPS by State'!CA:CA,MATCH($C42,'RPS by State'!$B:$B,0))),0)</f>
        <v>0</v>
      </c>
      <c r="BQ42" s="100">
        <f>IFERROR(IF($A42=FALSE,0,INDEX('RPS by State'!CB:CB,MATCH($C42,'RPS by State'!$B:$B,0))),0)</f>
        <v>0</v>
      </c>
      <c r="BR42" s="100">
        <f>IFERROR(IF($A42=FALSE,0,INDEX('RPS by State'!CC:CC,MATCH($C42,'RPS by State'!$B:$B,0))),0)</f>
        <v>0</v>
      </c>
      <c r="BS42" s="100">
        <f>IFERROR(IF($A42=FALSE,0,INDEX('RPS by State'!CD:CD,MATCH($C42,'RPS by State'!$B:$B,0))),0)</f>
        <v>0</v>
      </c>
      <c r="BT42" s="100">
        <f>IFERROR(IF($A42=FALSE,0,INDEX('RPS by State'!CE:CE,MATCH($C42,'RPS by State'!$B:$B,0))),0)</f>
        <v>0</v>
      </c>
      <c r="BU42" s="100">
        <f>IFERROR(IF($A42=FALSE,0,INDEX('RPS by State'!CF:CF,MATCH($C42,'RPS by State'!$B:$B,0))),0)</f>
        <v>0</v>
      </c>
      <c r="BV42" s="100">
        <f>IFERROR(IF($A42=FALSE,0,INDEX('RPS by State'!CG:CG,MATCH($C42,'RPS by State'!$B:$B,0))),0)</f>
        <v>0</v>
      </c>
      <c r="BW42" s="100">
        <f>IFERROR(IF($A42=FALSE,0,INDEX('RPS by State'!CH:CH,MATCH($C42,'RPS by State'!$B:$B,0))),0)</f>
        <v>0</v>
      </c>
      <c r="BX42" s="100">
        <f>IFERROR(IF($A42=FALSE,0,INDEX('RPS by State'!CI:CI,MATCH($C42,'RPS by State'!$B:$B,0))),0)</f>
        <v>0</v>
      </c>
      <c r="BY42" s="100">
        <f>IFERROR(IF($A42=FALSE,0,INDEX('RPS by State'!CJ:CJ,MATCH($C42,'RPS by State'!$B:$B,0))),0)</f>
        <v>0</v>
      </c>
      <c r="BZ42" s="100">
        <f>IFERROR(IF($A42=FALSE,0,INDEX('RPS by State'!CK:CK,MATCH($C42,'RPS by State'!$B:$B,0))),0)</f>
        <v>0</v>
      </c>
      <c r="CA42" s="100">
        <f>IFERROR(IF($A42=FALSE,0,INDEX('RPS by State'!CL:CL,MATCH($C42,'RPS by State'!$B:$B,0))),0)</f>
        <v>0</v>
      </c>
      <c r="CB42" s="100">
        <f>IFERROR(IF($A42=FALSE,0,INDEX('RPS by State'!CM:CM,MATCH($C42,'RPS by State'!$B:$B,0))),0)</f>
        <v>0</v>
      </c>
      <c r="CC42" s="100">
        <f>IFERROR(IF($A42=FALSE,0,INDEX('RPS by State'!CN:CN,MATCH($C42,'RPS by State'!$B:$B,0))),0)</f>
        <v>0</v>
      </c>
      <c r="CD42" s="100">
        <f>IFERROR(IF($A42=FALSE,0,INDEX('RPS by State'!CO:CO,MATCH($C42,'RPS by State'!$B:$B,0))),0)</f>
        <v>0</v>
      </c>
      <c r="CE42" s="100">
        <f>IFERROR(IF($A42=FALSE,0,INDEX('RPS by State'!CP:CP,MATCH($C42,'RPS by State'!$B:$B,0))),0)</f>
        <v>0</v>
      </c>
    </row>
    <row r="43" spans="1:83" x14ac:dyDescent="0.25">
      <c r="A43" t="b">
        <f>IFERROR(INDEX('RPS by State'!G:G,MATCH(B43,'RPS by State'!A:A,0)),0)</f>
        <v>0</v>
      </c>
      <c r="B43" s="120" t="s">
        <v>108</v>
      </c>
      <c r="C43" s="120" t="str">
        <f>IFERROR(INDEX(About!L:L,MATCH(B43,About!K:K,0)),0)</f>
        <v>SD</v>
      </c>
      <c r="D43" s="100">
        <f>IFERROR(IF($A43=FALSE,0,INDEX('RPS by State'!O:O,MATCH($C43,'RPS by State'!$B:$B,0))),0)</f>
        <v>0</v>
      </c>
      <c r="E43" s="100">
        <f>IFERROR(IF($A43=FALSE,0,INDEX('RPS by State'!P:P,MATCH($C43,'RPS by State'!$B:$B,0))),0)</f>
        <v>0</v>
      </c>
      <c r="F43" s="100">
        <f>IFERROR(IF($A43=FALSE,0,INDEX('RPS by State'!Q:Q,MATCH($C43,'RPS by State'!$B:$B,0))),0)</f>
        <v>0</v>
      </c>
      <c r="G43" s="100">
        <f>IFERROR(IF($A43=FALSE,0,INDEX('RPS by State'!R:R,MATCH($C43,'RPS by State'!$B:$B,0))),0)</f>
        <v>0</v>
      </c>
      <c r="H43" s="100">
        <f>IFERROR(IF($A43=FALSE,0,INDEX('RPS by State'!S:S,MATCH($C43,'RPS by State'!$B:$B,0))),0)</f>
        <v>0</v>
      </c>
      <c r="I43" s="100">
        <f>IFERROR(IF($A43=FALSE,0,INDEX('RPS by State'!T:T,MATCH($C43,'RPS by State'!$B:$B,0))),0)</f>
        <v>0</v>
      </c>
      <c r="J43" s="100">
        <f>IFERROR(IF($A43=FALSE,0,INDEX('RPS by State'!U:U,MATCH($C43,'RPS by State'!$B:$B,0))),0)</f>
        <v>0</v>
      </c>
      <c r="K43" s="100">
        <f>IFERROR(IF($A43=FALSE,0,INDEX('RPS by State'!V:V,MATCH($C43,'RPS by State'!$B:$B,0))),0)</f>
        <v>0</v>
      </c>
      <c r="L43" s="100">
        <f>IFERROR(IF($A43=FALSE,0,INDEX('RPS by State'!W:W,MATCH($C43,'RPS by State'!$B:$B,0))),0)</f>
        <v>0</v>
      </c>
      <c r="M43" s="100">
        <f>IFERROR(IF($A43=FALSE,0,INDEX('RPS by State'!X:X,MATCH($C43,'RPS by State'!$B:$B,0))),0)</f>
        <v>0</v>
      </c>
      <c r="N43" s="100">
        <f>IFERROR(IF($A43=FALSE,0,INDEX('RPS by State'!Y:Y,MATCH($C43,'RPS by State'!$B:$B,0))),0)</f>
        <v>0</v>
      </c>
      <c r="O43" s="100">
        <f>IFERROR(IF($A43=FALSE,0,INDEX('RPS by State'!Z:Z,MATCH($C43,'RPS by State'!$B:$B,0))),0)</f>
        <v>0</v>
      </c>
      <c r="P43" s="100">
        <f>IFERROR(IF($A43=FALSE,0,INDEX('RPS by State'!AA:AA,MATCH($C43,'RPS by State'!$B:$B,0))),0)</f>
        <v>0</v>
      </c>
      <c r="Q43" s="100">
        <f>IFERROR(IF($A43=FALSE,0,INDEX('RPS by State'!AB:AB,MATCH($C43,'RPS by State'!$B:$B,0))),0)</f>
        <v>0</v>
      </c>
      <c r="R43" s="100">
        <f>IFERROR(IF($A43=FALSE,0,INDEX('RPS by State'!AC:AC,MATCH($C43,'RPS by State'!$B:$B,0))),0)</f>
        <v>0</v>
      </c>
      <c r="S43" s="100">
        <f>IFERROR(IF($A43=FALSE,0,INDEX('RPS by State'!AD:AD,MATCH($C43,'RPS by State'!$B:$B,0))),0)</f>
        <v>0</v>
      </c>
      <c r="T43" s="100">
        <f>IFERROR(IF($A43=FALSE,0,INDEX('RPS by State'!AE:AE,MATCH($C43,'RPS by State'!$B:$B,0))),0)</f>
        <v>0</v>
      </c>
      <c r="U43" s="100">
        <f>IFERROR(IF($A43=FALSE,0,INDEX('RPS by State'!AF:AF,MATCH($C43,'RPS by State'!$B:$B,0))),0)</f>
        <v>0</v>
      </c>
      <c r="V43" s="100">
        <f>IFERROR(IF($A43=FALSE,0,INDEX('RPS by State'!AG:AG,MATCH($C43,'RPS by State'!$B:$B,0))),0)</f>
        <v>0</v>
      </c>
      <c r="W43" s="100">
        <f>IFERROR(IF($A43=FALSE,0,INDEX('RPS by State'!AH:AH,MATCH($C43,'RPS by State'!$B:$B,0))),0)</f>
        <v>0</v>
      </c>
      <c r="X43" s="100">
        <f>IFERROR(IF($A43=FALSE,0,INDEX('RPS by State'!AI:AI,MATCH($C43,'RPS by State'!$B:$B,0))),0)</f>
        <v>0</v>
      </c>
      <c r="Y43" s="100">
        <f>IFERROR(IF($A43=FALSE,0,INDEX('RPS by State'!AJ:AJ,MATCH($C43,'RPS by State'!$B:$B,0))),0)</f>
        <v>0</v>
      </c>
      <c r="Z43" s="100">
        <f>IFERROR(IF($A43=FALSE,0,INDEX('RPS by State'!AK:AK,MATCH($C43,'RPS by State'!$B:$B,0))),0)</f>
        <v>0</v>
      </c>
      <c r="AA43" s="100">
        <f>IFERROR(IF($A43=FALSE,0,INDEX('RPS by State'!AL:AL,MATCH($C43,'RPS by State'!$B:$B,0))),0)</f>
        <v>0</v>
      </c>
      <c r="AB43" s="100">
        <f>IFERROR(IF($A43=FALSE,0,INDEX('RPS by State'!AM:AM,MATCH($C43,'RPS by State'!$B:$B,0))),0)</f>
        <v>0</v>
      </c>
      <c r="AC43" s="100">
        <f>IFERROR(IF($A43=FALSE,0,INDEX('RPS by State'!AN:AN,MATCH($C43,'RPS by State'!$B:$B,0))),0)</f>
        <v>0</v>
      </c>
      <c r="AD43" s="100">
        <f>IFERROR(IF($A43=FALSE,0,INDEX('RPS by State'!AO:AO,MATCH($C43,'RPS by State'!$B:$B,0))),0)</f>
        <v>0</v>
      </c>
      <c r="AE43" s="100">
        <f>IFERROR(IF($A43=FALSE,0,INDEX('RPS by State'!AP:AP,MATCH($C43,'RPS by State'!$B:$B,0))),0)</f>
        <v>0</v>
      </c>
      <c r="AF43" s="100">
        <f>IFERROR(IF($A43=FALSE,0,INDEX('RPS by State'!AQ:AQ,MATCH($C43,'RPS by State'!$B:$B,0))),0)</f>
        <v>0</v>
      </c>
      <c r="AG43" s="100">
        <f>IFERROR(IF($A43=FALSE,0,INDEX('RPS by State'!AR:AR,MATCH($C43,'RPS by State'!$B:$B,0))),0)</f>
        <v>0</v>
      </c>
      <c r="AH43" s="100">
        <f>IFERROR(IF($A43=FALSE,0,INDEX('RPS by State'!AS:AS,MATCH($C43,'RPS by State'!$B:$B,0))),0)</f>
        <v>0</v>
      </c>
      <c r="AI43" s="100">
        <f>IFERROR(IF($A43=FALSE,0,INDEX('RPS by State'!AT:AT,MATCH($C43,'RPS by State'!$B:$B,0))),0)</f>
        <v>0</v>
      </c>
      <c r="AJ43" s="100">
        <f>IFERROR(IF($A43=FALSE,0,INDEX('RPS by State'!AU:AU,MATCH($C43,'RPS by State'!$B:$B,0))),0)</f>
        <v>0</v>
      </c>
      <c r="AK43" s="100">
        <f>IFERROR(IF($A43=FALSE,0,INDEX('RPS by State'!AV:AV,MATCH($C43,'RPS by State'!$B:$B,0))),0)</f>
        <v>0</v>
      </c>
      <c r="AL43" s="100">
        <f>IFERROR(IF($A43=FALSE,0,INDEX('RPS by State'!AW:AW,MATCH($C43,'RPS by State'!$B:$B,0))),0)</f>
        <v>0</v>
      </c>
      <c r="AM43" s="100">
        <f>IFERROR(IF($A43=FALSE,0,INDEX('RPS by State'!AX:AX,MATCH($C43,'RPS by State'!$B:$B,0))),0)</f>
        <v>0</v>
      </c>
      <c r="AN43" s="100">
        <f>IFERROR(IF($A43=FALSE,0,INDEX('RPS by State'!AY:AY,MATCH($C43,'RPS by State'!$B:$B,0))),0)</f>
        <v>0</v>
      </c>
      <c r="AO43" s="100">
        <f>IFERROR(IF($A43=FALSE,0,INDEX('RPS by State'!AZ:AZ,MATCH($C43,'RPS by State'!$B:$B,0))),0)</f>
        <v>0</v>
      </c>
      <c r="AP43" s="100">
        <f>IFERROR(IF($A43=FALSE,0,INDEX('RPS by State'!BA:BA,MATCH($C43,'RPS by State'!$B:$B,0))),0)</f>
        <v>0</v>
      </c>
      <c r="AQ43" s="100">
        <f>IFERROR(IF($A43=FALSE,0,INDEX('RPS by State'!BB:BB,MATCH($C43,'RPS by State'!$B:$B,0))),0)</f>
        <v>0</v>
      </c>
      <c r="AR43" s="100">
        <f>IFERROR(IF($A43=FALSE,0,INDEX('RPS by State'!BC:BC,MATCH($C43,'RPS by State'!$B:$B,0))),0)</f>
        <v>0</v>
      </c>
      <c r="AS43" s="100">
        <f>IFERROR(IF($A43=FALSE,0,INDEX('RPS by State'!BD:BD,MATCH($C43,'RPS by State'!$B:$B,0))),0)</f>
        <v>0</v>
      </c>
      <c r="AT43" s="100">
        <f>IFERROR(IF($A43=FALSE,0,INDEX('RPS by State'!BE:BE,MATCH($C43,'RPS by State'!$B:$B,0))),0)</f>
        <v>0</v>
      </c>
      <c r="AU43" s="100">
        <f>IFERROR(IF($A43=FALSE,0,INDEX('RPS by State'!BF:BF,MATCH($C43,'RPS by State'!$B:$B,0))),0)</f>
        <v>0</v>
      </c>
      <c r="AV43" s="100">
        <f>IFERROR(IF($A43=FALSE,0,INDEX('RPS by State'!BG:BG,MATCH($C43,'RPS by State'!$B:$B,0))),0)</f>
        <v>0</v>
      </c>
      <c r="AW43" s="100">
        <f>IFERROR(IF($A43=FALSE,0,INDEX('RPS by State'!BH:BH,MATCH($C43,'RPS by State'!$B:$B,0))),0)</f>
        <v>0</v>
      </c>
      <c r="AX43" s="100">
        <f>IFERROR(IF($A43=FALSE,0,INDEX('RPS by State'!BI:BI,MATCH($C43,'RPS by State'!$B:$B,0))),0)</f>
        <v>0</v>
      </c>
      <c r="AY43" s="100">
        <f>IFERROR(IF($A43=FALSE,0,INDEX('RPS by State'!BJ:BJ,MATCH($C43,'RPS by State'!$B:$B,0))),0)</f>
        <v>0</v>
      </c>
      <c r="AZ43" s="100">
        <f>IFERROR(IF($A43=FALSE,0,INDEX('RPS by State'!BK:BK,MATCH($C43,'RPS by State'!$B:$B,0))),0)</f>
        <v>0</v>
      </c>
      <c r="BA43" s="100">
        <f>IFERROR(IF($A43=FALSE,0,INDEX('RPS by State'!BL:BL,MATCH($C43,'RPS by State'!$B:$B,0))),0)</f>
        <v>0</v>
      </c>
      <c r="BB43" s="100">
        <f>IFERROR(IF($A43=FALSE,0,INDEX('RPS by State'!BM:BM,MATCH($C43,'RPS by State'!$B:$B,0))),0)</f>
        <v>0</v>
      </c>
      <c r="BC43" s="100">
        <f>IFERROR(IF($A43=FALSE,0,INDEX('RPS by State'!BN:BN,MATCH($C43,'RPS by State'!$B:$B,0))),0)</f>
        <v>0</v>
      </c>
      <c r="BD43" s="100">
        <f>IFERROR(IF($A43=FALSE,0,INDEX('RPS by State'!BO:BO,MATCH($C43,'RPS by State'!$B:$B,0))),0)</f>
        <v>0</v>
      </c>
      <c r="BE43" s="100">
        <f>IFERROR(IF($A43=FALSE,0,INDEX('RPS by State'!BP:BP,MATCH($C43,'RPS by State'!$B:$B,0))),0)</f>
        <v>0</v>
      </c>
      <c r="BF43" s="100">
        <f>IFERROR(IF($A43=FALSE,0,INDEX('RPS by State'!BQ:BQ,MATCH($C43,'RPS by State'!$B:$B,0))),0)</f>
        <v>0</v>
      </c>
      <c r="BG43" s="100">
        <f>IFERROR(IF($A43=FALSE,0,INDEX('RPS by State'!BR:BR,MATCH($C43,'RPS by State'!$B:$B,0))),0)</f>
        <v>0</v>
      </c>
      <c r="BH43" s="100">
        <f>IFERROR(IF($A43=FALSE,0,INDEX('RPS by State'!BS:BS,MATCH($C43,'RPS by State'!$B:$B,0))),0)</f>
        <v>0</v>
      </c>
      <c r="BI43" s="100">
        <f>IFERROR(IF($A43=FALSE,0,INDEX('RPS by State'!BT:BT,MATCH($C43,'RPS by State'!$B:$B,0))),0)</f>
        <v>0</v>
      </c>
      <c r="BJ43" s="100">
        <f>IFERROR(IF($A43=FALSE,0,INDEX('RPS by State'!BU:BU,MATCH($C43,'RPS by State'!$B:$B,0))),0)</f>
        <v>0</v>
      </c>
      <c r="BK43" s="100">
        <f>IFERROR(IF($A43=FALSE,0,INDEX('RPS by State'!BV:BV,MATCH($C43,'RPS by State'!$B:$B,0))),0)</f>
        <v>0</v>
      </c>
      <c r="BL43" s="100">
        <f>IFERROR(IF($A43=FALSE,0,INDEX('RPS by State'!BW:BW,MATCH($C43,'RPS by State'!$B:$B,0))),0)</f>
        <v>0</v>
      </c>
      <c r="BM43" s="100">
        <f>IFERROR(IF($A43=FALSE,0,INDEX('RPS by State'!BX:BX,MATCH($C43,'RPS by State'!$B:$B,0))),0)</f>
        <v>0</v>
      </c>
      <c r="BN43" s="100">
        <f>IFERROR(IF($A43=FALSE,0,INDEX('RPS by State'!BY:BY,MATCH($C43,'RPS by State'!$B:$B,0))),0)</f>
        <v>0</v>
      </c>
      <c r="BO43" s="100">
        <f>IFERROR(IF($A43=FALSE,0,INDEX('RPS by State'!BZ:BZ,MATCH($C43,'RPS by State'!$B:$B,0))),0)</f>
        <v>0</v>
      </c>
      <c r="BP43" s="100">
        <f>IFERROR(IF($A43=FALSE,0,INDEX('RPS by State'!CA:CA,MATCH($C43,'RPS by State'!$B:$B,0))),0)</f>
        <v>0</v>
      </c>
      <c r="BQ43" s="100">
        <f>IFERROR(IF($A43=FALSE,0,INDEX('RPS by State'!CB:CB,MATCH($C43,'RPS by State'!$B:$B,0))),0)</f>
        <v>0</v>
      </c>
      <c r="BR43" s="100">
        <f>IFERROR(IF($A43=FALSE,0,INDEX('RPS by State'!CC:CC,MATCH($C43,'RPS by State'!$B:$B,0))),0)</f>
        <v>0</v>
      </c>
      <c r="BS43" s="100">
        <f>IFERROR(IF($A43=FALSE,0,INDEX('RPS by State'!CD:CD,MATCH($C43,'RPS by State'!$B:$B,0))),0)</f>
        <v>0</v>
      </c>
      <c r="BT43" s="100">
        <f>IFERROR(IF($A43=FALSE,0,INDEX('RPS by State'!CE:CE,MATCH($C43,'RPS by State'!$B:$B,0))),0)</f>
        <v>0</v>
      </c>
      <c r="BU43" s="100">
        <f>IFERROR(IF($A43=FALSE,0,INDEX('RPS by State'!CF:CF,MATCH($C43,'RPS by State'!$B:$B,0))),0)</f>
        <v>0</v>
      </c>
      <c r="BV43" s="100">
        <f>IFERROR(IF($A43=FALSE,0,INDEX('RPS by State'!CG:CG,MATCH($C43,'RPS by State'!$B:$B,0))),0)</f>
        <v>0</v>
      </c>
      <c r="BW43" s="100">
        <f>IFERROR(IF($A43=FALSE,0,INDEX('RPS by State'!CH:CH,MATCH($C43,'RPS by State'!$B:$B,0))),0)</f>
        <v>0</v>
      </c>
      <c r="BX43" s="100">
        <f>IFERROR(IF($A43=FALSE,0,INDEX('RPS by State'!CI:CI,MATCH($C43,'RPS by State'!$B:$B,0))),0)</f>
        <v>0</v>
      </c>
      <c r="BY43" s="100">
        <f>IFERROR(IF($A43=FALSE,0,INDEX('RPS by State'!CJ:CJ,MATCH($C43,'RPS by State'!$B:$B,0))),0)</f>
        <v>0</v>
      </c>
      <c r="BZ43" s="100">
        <f>IFERROR(IF($A43=FALSE,0,INDEX('RPS by State'!CK:CK,MATCH($C43,'RPS by State'!$B:$B,0))),0)</f>
        <v>0</v>
      </c>
      <c r="CA43" s="100">
        <f>IFERROR(IF($A43=FALSE,0,INDEX('RPS by State'!CL:CL,MATCH($C43,'RPS by State'!$B:$B,0))),0)</f>
        <v>0</v>
      </c>
      <c r="CB43" s="100">
        <f>IFERROR(IF($A43=FALSE,0,INDEX('RPS by State'!CM:CM,MATCH($C43,'RPS by State'!$B:$B,0))),0)</f>
        <v>0</v>
      </c>
      <c r="CC43" s="100">
        <f>IFERROR(IF($A43=FALSE,0,INDEX('RPS by State'!CN:CN,MATCH($C43,'RPS by State'!$B:$B,0))),0)</f>
        <v>0</v>
      </c>
      <c r="CD43" s="100">
        <f>IFERROR(IF($A43=FALSE,0,INDEX('RPS by State'!CO:CO,MATCH($C43,'RPS by State'!$B:$B,0))),0)</f>
        <v>0</v>
      </c>
      <c r="CE43" s="100">
        <f>IFERROR(IF($A43=FALSE,0,INDEX('RPS by State'!CP:CP,MATCH($C43,'RPS by State'!$B:$B,0))),0)</f>
        <v>0</v>
      </c>
    </row>
    <row r="44" spans="1:83" x14ac:dyDescent="0.25">
      <c r="A44" t="b">
        <f>IFERROR(INDEX('RPS by State'!G:G,MATCH(B44,'RPS by State'!A:A,0)),0)</f>
        <v>0</v>
      </c>
      <c r="B44" s="120" t="s">
        <v>111</v>
      </c>
      <c r="C44" s="120" t="str">
        <f>IFERROR(INDEX(About!L:L,MATCH(B44,About!K:K,0)),0)</f>
        <v>TN</v>
      </c>
      <c r="D44" s="100">
        <f>IFERROR(IF($A44=FALSE,0,INDEX('RPS by State'!O:O,MATCH($C44,'RPS by State'!$B:$B,0))),0)</f>
        <v>0</v>
      </c>
      <c r="E44" s="100">
        <f>IFERROR(IF($A44=FALSE,0,INDEX('RPS by State'!P:P,MATCH($C44,'RPS by State'!$B:$B,0))),0)</f>
        <v>0</v>
      </c>
      <c r="F44" s="100">
        <f>IFERROR(IF($A44=FALSE,0,INDEX('RPS by State'!Q:Q,MATCH($C44,'RPS by State'!$B:$B,0))),0)</f>
        <v>0</v>
      </c>
      <c r="G44" s="100">
        <f>IFERROR(IF($A44=FALSE,0,INDEX('RPS by State'!R:R,MATCH($C44,'RPS by State'!$B:$B,0))),0)</f>
        <v>0</v>
      </c>
      <c r="H44" s="100">
        <f>IFERROR(IF($A44=FALSE,0,INDEX('RPS by State'!S:S,MATCH($C44,'RPS by State'!$B:$B,0))),0)</f>
        <v>0</v>
      </c>
      <c r="I44" s="100">
        <f>IFERROR(IF($A44=FALSE,0,INDEX('RPS by State'!T:T,MATCH($C44,'RPS by State'!$B:$B,0))),0)</f>
        <v>0</v>
      </c>
      <c r="J44" s="100">
        <f>IFERROR(IF($A44=FALSE,0,INDEX('RPS by State'!U:U,MATCH($C44,'RPS by State'!$B:$B,0))),0)</f>
        <v>0</v>
      </c>
      <c r="K44" s="100">
        <f>IFERROR(IF($A44=FALSE,0,INDEX('RPS by State'!V:V,MATCH($C44,'RPS by State'!$B:$B,0))),0)</f>
        <v>0</v>
      </c>
      <c r="L44" s="100">
        <f>IFERROR(IF($A44=FALSE,0,INDEX('RPS by State'!W:W,MATCH($C44,'RPS by State'!$B:$B,0))),0)</f>
        <v>0</v>
      </c>
      <c r="M44" s="100">
        <f>IFERROR(IF($A44=FALSE,0,INDEX('RPS by State'!X:X,MATCH($C44,'RPS by State'!$B:$B,0))),0)</f>
        <v>0</v>
      </c>
      <c r="N44" s="100">
        <f>IFERROR(IF($A44=FALSE,0,INDEX('RPS by State'!Y:Y,MATCH($C44,'RPS by State'!$B:$B,0))),0)</f>
        <v>0</v>
      </c>
      <c r="O44" s="100">
        <f>IFERROR(IF($A44=FALSE,0,INDEX('RPS by State'!Z:Z,MATCH($C44,'RPS by State'!$B:$B,0))),0)</f>
        <v>0</v>
      </c>
      <c r="P44" s="100">
        <f>IFERROR(IF($A44=FALSE,0,INDEX('RPS by State'!AA:AA,MATCH($C44,'RPS by State'!$B:$B,0))),0)</f>
        <v>0</v>
      </c>
      <c r="Q44" s="100">
        <f>IFERROR(IF($A44=FALSE,0,INDEX('RPS by State'!AB:AB,MATCH($C44,'RPS by State'!$B:$B,0))),0)</f>
        <v>0</v>
      </c>
      <c r="R44" s="100">
        <f>IFERROR(IF($A44=FALSE,0,INDEX('RPS by State'!AC:AC,MATCH($C44,'RPS by State'!$B:$B,0))),0)</f>
        <v>0</v>
      </c>
      <c r="S44" s="100">
        <f>IFERROR(IF($A44=FALSE,0,INDEX('RPS by State'!AD:AD,MATCH($C44,'RPS by State'!$B:$B,0))),0)</f>
        <v>0</v>
      </c>
      <c r="T44" s="100">
        <f>IFERROR(IF($A44=FALSE,0,INDEX('RPS by State'!AE:AE,MATCH($C44,'RPS by State'!$B:$B,0))),0)</f>
        <v>0</v>
      </c>
      <c r="U44" s="100">
        <f>IFERROR(IF($A44=FALSE,0,INDEX('RPS by State'!AF:AF,MATCH($C44,'RPS by State'!$B:$B,0))),0)</f>
        <v>0</v>
      </c>
      <c r="V44" s="100">
        <f>IFERROR(IF($A44=FALSE,0,INDEX('RPS by State'!AG:AG,MATCH($C44,'RPS by State'!$B:$B,0))),0)</f>
        <v>0</v>
      </c>
      <c r="W44" s="100">
        <f>IFERROR(IF($A44=FALSE,0,INDEX('RPS by State'!AH:AH,MATCH($C44,'RPS by State'!$B:$B,0))),0)</f>
        <v>0</v>
      </c>
      <c r="X44" s="100">
        <f>IFERROR(IF($A44=FALSE,0,INDEX('RPS by State'!AI:AI,MATCH($C44,'RPS by State'!$B:$B,0))),0)</f>
        <v>0</v>
      </c>
      <c r="Y44" s="100">
        <f>IFERROR(IF($A44=FALSE,0,INDEX('RPS by State'!AJ:AJ,MATCH($C44,'RPS by State'!$B:$B,0))),0)</f>
        <v>0</v>
      </c>
      <c r="Z44" s="100">
        <f>IFERROR(IF($A44=FALSE,0,INDEX('RPS by State'!AK:AK,MATCH($C44,'RPS by State'!$B:$B,0))),0)</f>
        <v>0</v>
      </c>
      <c r="AA44" s="100">
        <f>IFERROR(IF($A44=FALSE,0,INDEX('RPS by State'!AL:AL,MATCH($C44,'RPS by State'!$B:$B,0))),0)</f>
        <v>0</v>
      </c>
      <c r="AB44" s="100">
        <f>IFERROR(IF($A44=FALSE,0,INDEX('RPS by State'!AM:AM,MATCH($C44,'RPS by State'!$B:$B,0))),0)</f>
        <v>0</v>
      </c>
      <c r="AC44" s="100">
        <f>IFERROR(IF($A44=FALSE,0,INDEX('RPS by State'!AN:AN,MATCH($C44,'RPS by State'!$B:$B,0))),0)</f>
        <v>0</v>
      </c>
      <c r="AD44" s="100">
        <f>IFERROR(IF($A44=FALSE,0,INDEX('RPS by State'!AO:AO,MATCH($C44,'RPS by State'!$B:$B,0))),0)</f>
        <v>0</v>
      </c>
      <c r="AE44" s="100">
        <f>IFERROR(IF($A44=FALSE,0,INDEX('RPS by State'!AP:AP,MATCH($C44,'RPS by State'!$B:$B,0))),0)</f>
        <v>0</v>
      </c>
      <c r="AF44" s="100">
        <f>IFERROR(IF($A44=FALSE,0,INDEX('RPS by State'!AQ:AQ,MATCH($C44,'RPS by State'!$B:$B,0))),0)</f>
        <v>0</v>
      </c>
      <c r="AG44" s="100">
        <f>IFERROR(IF($A44=FALSE,0,INDEX('RPS by State'!AR:AR,MATCH($C44,'RPS by State'!$B:$B,0))),0)</f>
        <v>0</v>
      </c>
      <c r="AH44" s="100">
        <f>IFERROR(IF($A44=FALSE,0,INDEX('RPS by State'!AS:AS,MATCH($C44,'RPS by State'!$B:$B,0))),0)</f>
        <v>0</v>
      </c>
      <c r="AI44" s="100">
        <f>IFERROR(IF($A44=FALSE,0,INDEX('RPS by State'!AT:AT,MATCH($C44,'RPS by State'!$B:$B,0))),0)</f>
        <v>0</v>
      </c>
      <c r="AJ44" s="100">
        <f>IFERROR(IF($A44=FALSE,0,INDEX('RPS by State'!AU:AU,MATCH($C44,'RPS by State'!$B:$B,0))),0)</f>
        <v>0</v>
      </c>
      <c r="AK44" s="100">
        <f>IFERROR(IF($A44=FALSE,0,INDEX('RPS by State'!AV:AV,MATCH($C44,'RPS by State'!$B:$B,0))),0)</f>
        <v>0</v>
      </c>
      <c r="AL44" s="100">
        <f>IFERROR(IF($A44=FALSE,0,INDEX('RPS by State'!AW:AW,MATCH($C44,'RPS by State'!$B:$B,0))),0)</f>
        <v>0</v>
      </c>
      <c r="AM44" s="100">
        <f>IFERROR(IF($A44=FALSE,0,INDEX('RPS by State'!AX:AX,MATCH($C44,'RPS by State'!$B:$B,0))),0)</f>
        <v>0</v>
      </c>
      <c r="AN44" s="100">
        <f>IFERROR(IF($A44=FALSE,0,INDEX('RPS by State'!AY:AY,MATCH($C44,'RPS by State'!$B:$B,0))),0)</f>
        <v>0</v>
      </c>
      <c r="AO44" s="100">
        <f>IFERROR(IF($A44=FALSE,0,INDEX('RPS by State'!AZ:AZ,MATCH($C44,'RPS by State'!$B:$B,0))),0)</f>
        <v>0</v>
      </c>
      <c r="AP44" s="100">
        <f>IFERROR(IF($A44=FALSE,0,INDEX('RPS by State'!BA:BA,MATCH($C44,'RPS by State'!$B:$B,0))),0)</f>
        <v>0</v>
      </c>
      <c r="AQ44" s="100">
        <f>IFERROR(IF($A44=FALSE,0,INDEX('RPS by State'!BB:BB,MATCH($C44,'RPS by State'!$B:$B,0))),0)</f>
        <v>0</v>
      </c>
      <c r="AR44" s="100">
        <f>IFERROR(IF($A44=FALSE,0,INDEX('RPS by State'!BC:BC,MATCH($C44,'RPS by State'!$B:$B,0))),0)</f>
        <v>0</v>
      </c>
      <c r="AS44" s="100">
        <f>IFERROR(IF($A44=FALSE,0,INDEX('RPS by State'!BD:BD,MATCH($C44,'RPS by State'!$B:$B,0))),0)</f>
        <v>0</v>
      </c>
      <c r="AT44" s="100">
        <f>IFERROR(IF($A44=FALSE,0,INDEX('RPS by State'!BE:BE,MATCH($C44,'RPS by State'!$B:$B,0))),0)</f>
        <v>0</v>
      </c>
      <c r="AU44" s="100">
        <f>IFERROR(IF($A44=FALSE,0,INDEX('RPS by State'!BF:BF,MATCH($C44,'RPS by State'!$B:$B,0))),0)</f>
        <v>0</v>
      </c>
      <c r="AV44" s="100">
        <f>IFERROR(IF($A44=FALSE,0,INDEX('RPS by State'!BG:BG,MATCH($C44,'RPS by State'!$B:$B,0))),0)</f>
        <v>0</v>
      </c>
      <c r="AW44" s="100">
        <f>IFERROR(IF($A44=FALSE,0,INDEX('RPS by State'!BH:BH,MATCH($C44,'RPS by State'!$B:$B,0))),0)</f>
        <v>0</v>
      </c>
      <c r="AX44" s="100">
        <f>IFERROR(IF($A44=FALSE,0,INDEX('RPS by State'!BI:BI,MATCH($C44,'RPS by State'!$B:$B,0))),0)</f>
        <v>0</v>
      </c>
      <c r="AY44" s="100">
        <f>IFERROR(IF($A44=FALSE,0,INDEX('RPS by State'!BJ:BJ,MATCH($C44,'RPS by State'!$B:$B,0))),0)</f>
        <v>0</v>
      </c>
      <c r="AZ44" s="100">
        <f>IFERROR(IF($A44=FALSE,0,INDEX('RPS by State'!BK:BK,MATCH($C44,'RPS by State'!$B:$B,0))),0)</f>
        <v>0</v>
      </c>
      <c r="BA44" s="100">
        <f>IFERROR(IF($A44=FALSE,0,INDEX('RPS by State'!BL:BL,MATCH($C44,'RPS by State'!$B:$B,0))),0)</f>
        <v>0</v>
      </c>
      <c r="BB44" s="100">
        <f>IFERROR(IF($A44=FALSE,0,INDEX('RPS by State'!BM:BM,MATCH($C44,'RPS by State'!$B:$B,0))),0)</f>
        <v>0</v>
      </c>
      <c r="BC44" s="100">
        <f>IFERROR(IF($A44=FALSE,0,INDEX('RPS by State'!BN:BN,MATCH($C44,'RPS by State'!$B:$B,0))),0)</f>
        <v>0</v>
      </c>
      <c r="BD44" s="100">
        <f>IFERROR(IF($A44=FALSE,0,INDEX('RPS by State'!BO:BO,MATCH($C44,'RPS by State'!$B:$B,0))),0)</f>
        <v>0</v>
      </c>
      <c r="BE44" s="100">
        <f>IFERROR(IF($A44=FALSE,0,INDEX('RPS by State'!BP:BP,MATCH($C44,'RPS by State'!$B:$B,0))),0)</f>
        <v>0</v>
      </c>
      <c r="BF44" s="100">
        <f>IFERROR(IF($A44=FALSE,0,INDEX('RPS by State'!BQ:BQ,MATCH($C44,'RPS by State'!$B:$B,0))),0)</f>
        <v>0</v>
      </c>
      <c r="BG44" s="100">
        <f>IFERROR(IF($A44=FALSE,0,INDEX('RPS by State'!BR:BR,MATCH($C44,'RPS by State'!$B:$B,0))),0)</f>
        <v>0</v>
      </c>
      <c r="BH44" s="100">
        <f>IFERROR(IF($A44=FALSE,0,INDEX('RPS by State'!BS:BS,MATCH($C44,'RPS by State'!$B:$B,0))),0)</f>
        <v>0</v>
      </c>
      <c r="BI44" s="100">
        <f>IFERROR(IF($A44=FALSE,0,INDEX('RPS by State'!BT:BT,MATCH($C44,'RPS by State'!$B:$B,0))),0)</f>
        <v>0</v>
      </c>
      <c r="BJ44" s="100">
        <f>IFERROR(IF($A44=FALSE,0,INDEX('RPS by State'!BU:BU,MATCH($C44,'RPS by State'!$B:$B,0))),0)</f>
        <v>0</v>
      </c>
      <c r="BK44" s="100">
        <f>IFERROR(IF($A44=FALSE,0,INDEX('RPS by State'!BV:BV,MATCH($C44,'RPS by State'!$B:$B,0))),0)</f>
        <v>0</v>
      </c>
      <c r="BL44" s="100">
        <f>IFERROR(IF($A44=FALSE,0,INDEX('RPS by State'!BW:BW,MATCH($C44,'RPS by State'!$B:$B,0))),0)</f>
        <v>0</v>
      </c>
      <c r="BM44" s="100">
        <f>IFERROR(IF($A44=FALSE,0,INDEX('RPS by State'!BX:BX,MATCH($C44,'RPS by State'!$B:$B,0))),0)</f>
        <v>0</v>
      </c>
      <c r="BN44" s="100">
        <f>IFERROR(IF($A44=FALSE,0,INDEX('RPS by State'!BY:BY,MATCH($C44,'RPS by State'!$B:$B,0))),0)</f>
        <v>0</v>
      </c>
      <c r="BO44" s="100">
        <f>IFERROR(IF($A44=FALSE,0,INDEX('RPS by State'!BZ:BZ,MATCH($C44,'RPS by State'!$B:$B,0))),0)</f>
        <v>0</v>
      </c>
      <c r="BP44" s="100">
        <f>IFERROR(IF($A44=FALSE,0,INDEX('RPS by State'!CA:CA,MATCH($C44,'RPS by State'!$B:$B,0))),0)</f>
        <v>0</v>
      </c>
      <c r="BQ44" s="100">
        <f>IFERROR(IF($A44=FALSE,0,INDEX('RPS by State'!CB:CB,MATCH($C44,'RPS by State'!$B:$B,0))),0)</f>
        <v>0</v>
      </c>
      <c r="BR44" s="100">
        <f>IFERROR(IF($A44=FALSE,0,INDEX('RPS by State'!CC:CC,MATCH($C44,'RPS by State'!$B:$B,0))),0)</f>
        <v>0</v>
      </c>
      <c r="BS44" s="100">
        <f>IFERROR(IF($A44=FALSE,0,INDEX('RPS by State'!CD:CD,MATCH($C44,'RPS by State'!$B:$B,0))),0)</f>
        <v>0</v>
      </c>
      <c r="BT44" s="100">
        <f>IFERROR(IF($A44=FALSE,0,INDEX('RPS by State'!CE:CE,MATCH($C44,'RPS by State'!$B:$B,0))),0)</f>
        <v>0</v>
      </c>
      <c r="BU44" s="100">
        <f>IFERROR(IF($A44=FALSE,0,INDEX('RPS by State'!CF:CF,MATCH($C44,'RPS by State'!$B:$B,0))),0)</f>
        <v>0</v>
      </c>
      <c r="BV44" s="100">
        <f>IFERROR(IF($A44=FALSE,0,INDEX('RPS by State'!CG:CG,MATCH($C44,'RPS by State'!$B:$B,0))),0)</f>
        <v>0</v>
      </c>
      <c r="BW44" s="100">
        <f>IFERROR(IF($A44=FALSE,0,INDEX('RPS by State'!CH:CH,MATCH($C44,'RPS by State'!$B:$B,0))),0)</f>
        <v>0</v>
      </c>
      <c r="BX44" s="100">
        <f>IFERROR(IF($A44=FALSE,0,INDEX('RPS by State'!CI:CI,MATCH($C44,'RPS by State'!$B:$B,0))),0)</f>
        <v>0</v>
      </c>
      <c r="BY44" s="100">
        <f>IFERROR(IF($A44=FALSE,0,INDEX('RPS by State'!CJ:CJ,MATCH($C44,'RPS by State'!$B:$B,0))),0)</f>
        <v>0</v>
      </c>
      <c r="BZ44" s="100">
        <f>IFERROR(IF($A44=FALSE,0,INDEX('RPS by State'!CK:CK,MATCH($C44,'RPS by State'!$B:$B,0))),0)</f>
        <v>0</v>
      </c>
      <c r="CA44" s="100">
        <f>IFERROR(IF($A44=FALSE,0,INDEX('RPS by State'!CL:CL,MATCH($C44,'RPS by State'!$B:$B,0))),0)</f>
        <v>0</v>
      </c>
      <c r="CB44" s="100">
        <f>IFERROR(IF($A44=FALSE,0,INDEX('RPS by State'!CM:CM,MATCH($C44,'RPS by State'!$B:$B,0))),0)</f>
        <v>0</v>
      </c>
      <c r="CC44" s="100">
        <f>IFERROR(IF($A44=FALSE,0,INDEX('RPS by State'!CN:CN,MATCH($C44,'RPS by State'!$B:$B,0))),0)</f>
        <v>0</v>
      </c>
      <c r="CD44" s="100">
        <f>IFERROR(IF($A44=FALSE,0,INDEX('RPS by State'!CO:CO,MATCH($C44,'RPS by State'!$B:$B,0))),0)</f>
        <v>0</v>
      </c>
      <c r="CE44" s="100">
        <f>IFERROR(IF($A44=FALSE,0,INDEX('RPS by State'!CP:CP,MATCH($C44,'RPS by State'!$B:$B,0))),0)</f>
        <v>0</v>
      </c>
    </row>
    <row r="45" spans="1:83" x14ac:dyDescent="0.25">
      <c r="A45" t="b">
        <f>IFERROR(INDEX('RPS by State'!G:G,MATCH(B45,'RPS by State'!A:A,0)),0)</f>
        <v>1</v>
      </c>
      <c r="B45" s="120" t="s">
        <v>114</v>
      </c>
      <c r="C45" s="120" t="str">
        <f>IFERROR(INDEX(About!L:L,MATCH(B45,About!K:K,0)),0)</f>
        <v>TX</v>
      </c>
      <c r="D45" s="100">
        <f>IFERROR(IF($A45=FALSE,0,INDEX('RPS by State'!O:O,MATCH($C45,'RPS by State'!$B:$B,0))),0)</f>
        <v>6.7387585032621419E-2</v>
      </c>
      <c r="E45" s="100">
        <f>IFERROR(IF($A45=FALSE,0,INDEX('RPS by State'!P:P,MATCH($C45,'RPS by State'!$B:$B,0))),0)</f>
        <v>7.1005820283401133E-2</v>
      </c>
      <c r="F45" s="100">
        <f>IFERROR(IF($A45=FALSE,0,INDEX('RPS by State'!Q:Q,MATCH($C45,'RPS by State'!$B:$B,0))),0)</f>
        <v>7.4624055534180861E-2</v>
      </c>
      <c r="G45" s="100">
        <f>IFERROR(IF($A45=FALSE,0,INDEX('RPS by State'!R:R,MATCH($C45,'RPS by State'!$B:$B,0))),0)</f>
        <v>7.8242290784960589E-2</v>
      </c>
      <c r="H45" s="100">
        <f>IFERROR(IF($A45=FALSE,0,INDEX('RPS by State'!S:S,MATCH($C45,'RPS by State'!$B:$B,0))),0)</f>
        <v>8.1860526035740303E-2</v>
      </c>
      <c r="I45" s="100">
        <f>IFERROR(IF($A45=FALSE,0,INDEX('RPS by State'!T:T,MATCH($C45,'RPS by State'!$B:$B,0))),0)</f>
        <v>8.1860526035740303E-2</v>
      </c>
      <c r="J45" s="100">
        <f>IFERROR(IF($A45=FALSE,0,INDEX('RPS by State'!U:U,MATCH($C45,'RPS by State'!$B:$B,0))),0)</f>
        <v>8.1860526035740303E-2</v>
      </c>
      <c r="K45" s="100">
        <f>IFERROR(IF($A45=FALSE,0,INDEX('RPS by State'!V:V,MATCH($C45,'RPS by State'!$B:$B,0))),0)</f>
        <v>8.1860526035740303E-2</v>
      </c>
      <c r="L45" s="100">
        <f>IFERROR(IF($A45=FALSE,0,INDEX('RPS by State'!W:W,MATCH($C45,'RPS by State'!$B:$B,0))),0)</f>
        <v>8.1860526035740303E-2</v>
      </c>
      <c r="M45" s="100">
        <f>IFERROR(IF($A45=FALSE,0,INDEX('RPS by State'!X:X,MATCH($C45,'RPS by State'!$B:$B,0))),0)</f>
        <v>8.1860526035740303E-2</v>
      </c>
      <c r="N45" s="100">
        <f>IFERROR(IF($A45=FALSE,0,INDEX('RPS by State'!Y:Y,MATCH($C45,'RPS by State'!$B:$B,0))),0)</f>
        <v>8.1860526035740303E-2</v>
      </c>
      <c r="O45" s="100">
        <f>IFERROR(IF($A45=FALSE,0,INDEX('RPS by State'!Z:Z,MATCH($C45,'RPS by State'!$B:$B,0))),0)</f>
        <v>8.1860526035740303E-2</v>
      </c>
      <c r="P45" s="100">
        <f>IFERROR(IF($A45=FALSE,0,INDEX('RPS by State'!AA:AA,MATCH($C45,'RPS by State'!$B:$B,0))),0)</f>
        <v>8.1860526035740303E-2</v>
      </c>
      <c r="Q45" s="100">
        <f>IFERROR(IF($A45=FALSE,0,INDEX('RPS by State'!AB:AB,MATCH($C45,'RPS by State'!$B:$B,0))),0)</f>
        <v>8.1860526035740303E-2</v>
      </c>
      <c r="R45" s="100">
        <f>IFERROR(IF($A45=FALSE,0,INDEX('RPS by State'!AC:AC,MATCH($C45,'RPS by State'!$B:$B,0))),0)</f>
        <v>8.1860526035740303E-2</v>
      </c>
      <c r="S45" s="100">
        <f>IFERROR(IF($A45=FALSE,0,INDEX('RPS by State'!AD:AD,MATCH($C45,'RPS by State'!$B:$B,0))),0)</f>
        <v>8.1860526035740303E-2</v>
      </c>
      <c r="T45" s="100">
        <f>IFERROR(IF($A45=FALSE,0,INDEX('RPS by State'!AE:AE,MATCH($C45,'RPS by State'!$B:$B,0))),0)</f>
        <v>8.1860526035740303E-2</v>
      </c>
      <c r="U45" s="100">
        <f>IFERROR(IF($A45=FALSE,0,INDEX('RPS by State'!AF:AF,MATCH($C45,'RPS by State'!$B:$B,0))),0)</f>
        <v>8.1860526035740303E-2</v>
      </c>
      <c r="V45" s="100">
        <f>IFERROR(IF($A45=FALSE,0,INDEX('RPS by State'!AG:AG,MATCH($C45,'RPS by State'!$B:$B,0))),0)</f>
        <v>8.1860526035740303E-2</v>
      </c>
      <c r="W45" s="100">
        <f>IFERROR(IF($A45=FALSE,0,INDEX('RPS by State'!AH:AH,MATCH($C45,'RPS by State'!$B:$B,0))),0)</f>
        <v>8.1860526035740303E-2</v>
      </c>
      <c r="X45" s="100">
        <f>IFERROR(IF($A45=FALSE,0,INDEX('RPS by State'!AI:AI,MATCH($C45,'RPS by State'!$B:$B,0))),0)</f>
        <v>8.1860526035740303E-2</v>
      </c>
      <c r="Y45" s="100">
        <f>IFERROR(IF($A45=FALSE,0,INDEX('RPS by State'!AJ:AJ,MATCH($C45,'RPS by State'!$B:$B,0))),0)</f>
        <v>8.1860526035740303E-2</v>
      </c>
      <c r="Z45" s="100">
        <f>IFERROR(IF($A45=FALSE,0,INDEX('RPS by State'!AK:AK,MATCH($C45,'RPS by State'!$B:$B,0))),0)</f>
        <v>8.1860526035740303E-2</v>
      </c>
      <c r="AA45" s="100">
        <f>IFERROR(IF($A45=FALSE,0,INDEX('RPS by State'!AL:AL,MATCH($C45,'RPS by State'!$B:$B,0))),0)</f>
        <v>8.1860526035740303E-2</v>
      </c>
      <c r="AB45" s="100">
        <f>IFERROR(IF($A45=FALSE,0,INDEX('RPS by State'!AM:AM,MATCH($C45,'RPS by State'!$B:$B,0))),0)</f>
        <v>8.1860526035740303E-2</v>
      </c>
      <c r="AC45" s="100">
        <f>IFERROR(IF($A45=FALSE,0,INDEX('RPS by State'!AN:AN,MATCH($C45,'RPS by State'!$B:$B,0))),0)</f>
        <v>8.1860526035740303E-2</v>
      </c>
      <c r="AD45" s="100">
        <f>IFERROR(IF($A45=FALSE,0,INDEX('RPS by State'!AO:AO,MATCH($C45,'RPS by State'!$B:$B,0))),0)</f>
        <v>8.1860526035740303E-2</v>
      </c>
      <c r="AE45" s="100">
        <f>IFERROR(IF($A45=FALSE,0,INDEX('RPS by State'!AP:AP,MATCH($C45,'RPS by State'!$B:$B,0))),0)</f>
        <v>8.1860526035740303E-2</v>
      </c>
      <c r="AF45" s="100">
        <f>IFERROR(IF($A45=FALSE,0,INDEX('RPS by State'!AQ:AQ,MATCH($C45,'RPS by State'!$B:$B,0))),0)</f>
        <v>8.1860526035740303E-2</v>
      </c>
      <c r="AG45" s="100">
        <f>IFERROR(IF($A45=FALSE,0,INDEX('RPS by State'!AR:AR,MATCH($C45,'RPS by State'!$B:$B,0))),0)</f>
        <v>8.1860526035740303E-2</v>
      </c>
      <c r="AH45" s="100">
        <f>IFERROR(IF($A45=FALSE,0,INDEX('RPS by State'!AS:AS,MATCH($C45,'RPS by State'!$B:$B,0))),0)</f>
        <v>0</v>
      </c>
      <c r="AI45" s="100">
        <f>IFERROR(IF($A45=FALSE,0,INDEX('RPS by State'!AT:AT,MATCH($C45,'RPS by State'!$B:$B,0))),0)</f>
        <v>0</v>
      </c>
      <c r="AJ45" s="100">
        <f>IFERROR(IF($A45=FALSE,0,INDEX('RPS by State'!AU:AU,MATCH($C45,'RPS by State'!$B:$B,0))),0)</f>
        <v>0</v>
      </c>
      <c r="AK45" s="100">
        <f>IFERROR(IF($A45=FALSE,0,INDEX('RPS by State'!AV:AV,MATCH($C45,'RPS by State'!$B:$B,0))),0)</f>
        <v>0</v>
      </c>
      <c r="AL45" s="100">
        <f>IFERROR(IF($A45=FALSE,0,INDEX('RPS by State'!AW:AW,MATCH($C45,'RPS by State'!$B:$B,0))),0)</f>
        <v>0</v>
      </c>
      <c r="AM45" s="100">
        <f>IFERROR(IF($A45=FALSE,0,INDEX('RPS by State'!AX:AX,MATCH($C45,'RPS by State'!$B:$B,0))),0)</f>
        <v>0</v>
      </c>
      <c r="AN45" s="100">
        <f>IFERROR(IF($A45=FALSE,0,INDEX('RPS by State'!AY:AY,MATCH($C45,'RPS by State'!$B:$B,0))),0)</f>
        <v>0</v>
      </c>
      <c r="AO45" s="100">
        <f>IFERROR(IF($A45=FALSE,0,INDEX('RPS by State'!AZ:AZ,MATCH($C45,'RPS by State'!$B:$B,0))),0)</f>
        <v>0</v>
      </c>
      <c r="AP45" s="100">
        <f>IFERROR(IF($A45=FALSE,0,INDEX('RPS by State'!BA:BA,MATCH($C45,'RPS by State'!$B:$B,0))),0)</f>
        <v>0</v>
      </c>
      <c r="AQ45" s="100">
        <f>IFERROR(IF($A45=FALSE,0,INDEX('RPS by State'!BB:BB,MATCH($C45,'RPS by State'!$B:$B,0))),0)</f>
        <v>0</v>
      </c>
      <c r="AR45" s="100">
        <f>IFERROR(IF($A45=FALSE,0,INDEX('RPS by State'!BC:BC,MATCH($C45,'RPS by State'!$B:$B,0))),0)</f>
        <v>0</v>
      </c>
      <c r="AS45" s="100">
        <f>IFERROR(IF($A45=FALSE,0,INDEX('RPS by State'!BD:BD,MATCH($C45,'RPS by State'!$B:$B,0))),0)</f>
        <v>0</v>
      </c>
      <c r="AT45" s="100">
        <f>IFERROR(IF($A45=FALSE,0,INDEX('RPS by State'!BE:BE,MATCH($C45,'RPS by State'!$B:$B,0))),0)</f>
        <v>0</v>
      </c>
      <c r="AU45" s="100">
        <f>IFERROR(IF($A45=FALSE,0,INDEX('RPS by State'!BF:BF,MATCH($C45,'RPS by State'!$B:$B,0))),0)</f>
        <v>0</v>
      </c>
      <c r="AV45" s="100">
        <f>IFERROR(IF($A45=FALSE,0,INDEX('RPS by State'!BG:BG,MATCH($C45,'RPS by State'!$B:$B,0))),0)</f>
        <v>0</v>
      </c>
      <c r="AW45" s="100">
        <f>IFERROR(IF($A45=FALSE,0,INDEX('RPS by State'!BH:BH,MATCH($C45,'RPS by State'!$B:$B,0))),0)</f>
        <v>0</v>
      </c>
      <c r="AX45" s="100">
        <f>IFERROR(IF($A45=FALSE,0,INDEX('RPS by State'!BI:BI,MATCH($C45,'RPS by State'!$B:$B,0))),0)</f>
        <v>0</v>
      </c>
      <c r="AY45" s="100">
        <f>IFERROR(IF($A45=FALSE,0,INDEX('RPS by State'!BJ:BJ,MATCH($C45,'RPS by State'!$B:$B,0))),0)</f>
        <v>0</v>
      </c>
      <c r="AZ45" s="100">
        <f>IFERROR(IF($A45=FALSE,0,INDEX('RPS by State'!BK:BK,MATCH($C45,'RPS by State'!$B:$B,0))),0)</f>
        <v>0</v>
      </c>
      <c r="BA45" s="100">
        <f>IFERROR(IF($A45=FALSE,0,INDEX('RPS by State'!BL:BL,MATCH($C45,'RPS by State'!$B:$B,0))),0)</f>
        <v>0</v>
      </c>
      <c r="BB45" s="100">
        <f>IFERROR(IF($A45=FALSE,0,INDEX('RPS by State'!BM:BM,MATCH($C45,'RPS by State'!$B:$B,0))),0)</f>
        <v>0</v>
      </c>
      <c r="BC45" s="100">
        <f>IFERROR(IF($A45=FALSE,0,INDEX('RPS by State'!BN:BN,MATCH($C45,'RPS by State'!$B:$B,0))),0)</f>
        <v>0</v>
      </c>
      <c r="BD45" s="100">
        <f>IFERROR(IF($A45=FALSE,0,INDEX('RPS by State'!BO:BO,MATCH($C45,'RPS by State'!$B:$B,0))),0)</f>
        <v>0</v>
      </c>
      <c r="BE45" s="100">
        <f>IFERROR(IF($A45=FALSE,0,INDEX('RPS by State'!BP:BP,MATCH($C45,'RPS by State'!$B:$B,0))),0)</f>
        <v>0</v>
      </c>
      <c r="BF45" s="100">
        <f>IFERROR(IF($A45=FALSE,0,INDEX('RPS by State'!BQ:BQ,MATCH($C45,'RPS by State'!$B:$B,0))),0)</f>
        <v>0</v>
      </c>
      <c r="BG45" s="100">
        <f>IFERROR(IF($A45=FALSE,0,INDEX('RPS by State'!BR:BR,MATCH($C45,'RPS by State'!$B:$B,0))),0)</f>
        <v>0</v>
      </c>
      <c r="BH45" s="100">
        <f>IFERROR(IF($A45=FALSE,0,INDEX('RPS by State'!BS:BS,MATCH($C45,'RPS by State'!$B:$B,0))),0)</f>
        <v>0</v>
      </c>
      <c r="BI45" s="100">
        <f>IFERROR(IF($A45=FALSE,0,INDEX('RPS by State'!BT:BT,MATCH($C45,'RPS by State'!$B:$B,0))),0)</f>
        <v>0</v>
      </c>
      <c r="BJ45" s="100">
        <f>IFERROR(IF($A45=FALSE,0,INDEX('RPS by State'!BU:BU,MATCH($C45,'RPS by State'!$B:$B,0))),0)</f>
        <v>0</v>
      </c>
      <c r="BK45" s="100">
        <f>IFERROR(IF($A45=FALSE,0,INDEX('RPS by State'!BV:BV,MATCH($C45,'RPS by State'!$B:$B,0))),0)</f>
        <v>0</v>
      </c>
      <c r="BL45" s="100">
        <f>IFERROR(IF($A45=FALSE,0,INDEX('RPS by State'!BW:BW,MATCH($C45,'RPS by State'!$B:$B,0))),0)</f>
        <v>0</v>
      </c>
      <c r="BM45" s="100">
        <f>IFERROR(IF($A45=FALSE,0,INDEX('RPS by State'!BX:BX,MATCH($C45,'RPS by State'!$B:$B,0))),0)</f>
        <v>0</v>
      </c>
      <c r="BN45" s="100">
        <f>IFERROR(IF($A45=FALSE,0,INDEX('RPS by State'!BY:BY,MATCH($C45,'RPS by State'!$B:$B,0))),0)</f>
        <v>0</v>
      </c>
      <c r="BO45" s="100">
        <f>IFERROR(IF($A45=FALSE,0,INDEX('RPS by State'!BZ:BZ,MATCH($C45,'RPS by State'!$B:$B,0))),0)</f>
        <v>0</v>
      </c>
      <c r="BP45" s="100">
        <f>IFERROR(IF($A45=FALSE,0,INDEX('RPS by State'!CA:CA,MATCH($C45,'RPS by State'!$B:$B,0))),0)</f>
        <v>0</v>
      </c>
      <c r="BQ45" s="100">
        <f>IFERROR(IF($A45=FALSE,0,INDEX('RPS by State'!CB:CB,MATCH($C45,'RPS by State'!$B:$B,0))),0)</f>
        <v>0</v>
      </c>
      <c r="BR45" s="100">
        <f>IFERROR(IF($A45=FALSE,0,INDEX('RPS by State'!CC:CC,MATCH($C45,'RPS by State'!$B:$B,0))),0)</f>
        <v>0</v>
      </c>
      <c r="BS45" s="100">
        <f>IFERROR(IF($A45=FALSE,0,INDEX('RPS by State'!CD:CD,MATCH($C45,'RPS by State'!$B:$B,0))),0)</f>
        <v>0</v>
      </c>
      <c r="BT45" s="100">
        <f>IFERROR(IF($A45=FALSE,0,INDEX('RPS by State'!CE:CE,MATCH($C45,'RPS by State'!$B:$B,0))),0)</f>
        <v>0</v>
      </c>
      <c r="BU45" s="100">
        <f>IFERROR(IF($A45=FALSE,0,INDEX('RPS by State'!CF:CF,MATCH($C45,'RPS by State'!$B:$B,0))),0)</f>
        <v>0</v>
      </c>
      <c r="BV45" s="100">
        <f>IFERROR(IF($A45=FALSE,0,INDEX('RPS by State'!CG:CG,MATCH($C45,'RPS by State'!$B:$B,0))),0)</f>
        <v>0</v>
      </c>
      <c r="BW45" s="100">
        <f>IFERROR(IF($A45=FALSE,0,INDEX('RPS by State'!CH:CH,MATCH($C45,'RPS by State'!$B:$B,0))),0)</f>
        <v>0</v>
      </c>
      <c r="BX45" s="100">
        <f>IFERROR(IF($A45=FALSE,0,INDEX('RPS by State'!CI:CI,MATCH($C45,'RPS by State'!$B:$B,0))),0)</f>
        <v>0</v>
      </c>
      <c r="BY45" s="100">
        <f>IFERROR(IF($A45=FALSE,0,INDEX('RPS by State'!CJ:CJ,MATCH($C45,'RPS by State'!$B:$B,0))),0)</f>
        <v>0</v>
      </c>
      <c r="BZ45" s="100">
        <f>IFERROR(IF($A45=FALSE,0,INDEX('RPS by State'!CK:CK,MATCH($C45,'RPS by State'!$B:$B,0))),0)</f>
        <v>0</v>
      </c>
      <c r="CA45" s="100">
        <f>IFERROR(IF($A45=FALSE,0,INDEX('RPS by State'!CL:CL,MATCH($C45,'RPS by State'!$B:$B,0))),0)</f>
        <v>0</v>
      </c>
      <c r="CB45" s="100">
        <f>IFERROR(IF($A45=FALSE,0,INDEX('RPS by State'!CM:CM,MATCH($C45,'RPS by State'!$B:$B,0))),0)</f>
        <v>0</v>
      </c>
      <c r="CC45" s="100">
        <f>IFERROR(IF($A45=FALSE,0,INDEX('RPS by State'!CN:CN,MATCH($C45,'RPS by State'!$B:$B,0))),0)</f>
        <v>0</v>
      </c>
      <c r="CD45" s="100">
        <f>IFERROR(IF($A45=FALSE,0,INDEX('RPS by State'!CO:CO,MATCH($C45,'RPS by State'!$B:$B,0))),0)</f>
        <v>0</v>
      </c>
      <c r="CE45" s="100">
        <f>IFERROR(IF($A45=FALSE,0,INDEX('RPS by State'!CP:CP,MATCH($C45,'RPS by State'!$B:$B,0))),0)</f>
        <v>0</v>
      </c>
    </row>
    <row r="46" spans="1:83" x14ac:dyDescent="0.25">
      <c r="A46" t="b">
        <f>IFERROR(INDEX('RPS by State'!G:G,MATCH(B46,'RPS by State'!A:A,0)),0)</f>
        <v>0</v>
      </c>
      <c r="B46" s="120" t="s">
        <v>116</v>
      </c>
      <c r="C46" s="120" t="str">
        <f>IFERROR(INDEX(About!L:L,MATCH(B46,About!K:K,0)),0)</f>
        <v>UT</v>
      </c>
      <c r="D46" s="100">
        <f>IFERROR(IF($A46=FALSE,0,INDEX('RPS by State'!O:O,MATCH($C46,'RPS by State'!$B:$B,0))),0)</f>
        <v>0</v>
      </c>
      <c r="E46" s="100">
        <f>IFERROR(IF($A46=FALSE,0,INDEX('RPS by State'!P:P,MATCH($C46,'RPS by State'!$B:$B,0))),0)</f>
        <v>0</v>
      </c>
      <c r="F46" s="100">
        <f>IFERROR(IF($A46=FALSE,0,INDEX('RPS by State'!Q:Q,MATCH($C46,'RPS by State'!$B:$B,0))),0)</f>
        <v>0</v>
      </c>
      <c r="G46" s="100">
        <f>IFERROR(IF($A46=FALSE,0,INDEX('RPS by State'!R:R,MATCH($C46,'RPS by State'!$B:$B,0))),0)</f>
        <v>0</v>
      </c>
      <c r="H46" s="100">
        <f>IFERROR(IF($A46=FALSE,0,INDEX('RPS by State'!S:S,MATCH($C46,'RPS by State'!$B:$B,0))),0)</f>
        <v>0</v>
      </c>
      <c r="I46" s="100">
        <f>IFERROR(IF($A46=FALSE,0,INDEX('RPS by State'!T:T,MATCH($C46,'RPS by State'!$B:$B,0))),0)</f>
        <v>0</v>
      </c>
      <c r="J46" s="100">
        <f>IFERROR(IF($A46=FALSE,0,INDEX('RPS by State'!U:U,MATCH($C46,'RPS by State'!$B:$B,0))),0)</f>
        <v>0</v>
      </c>
      <c r="K46" s="100">
        <f>IFERROR(IF($A46=FALSE,0,INDEX('RPS by State'!V:V,MATCH($C46,'RPS by State'!$B:$B,0))),0)</f>
        <v>0</v>
      </c>
      <c r="L46" s="100">
        <f>IFERROR(IF($A46=FALSE,0,INDEX('RPS by State'!W:W,MATCH($C46,'RPS by State'!$B:$B,0))),0)</f>
        <v>0</v>
      </c>
      <c r="M46" s="100">
        <f>IFERROR(IF($A46=FALSE,0,INDEX('RPS by State'!X:X,MATCH($C46,'RPS by State'!$B:$B,0))),0)</f>
        <v>0</v>
      </c>
      <c r="N46" s="100">
        <f>IFERROR(IF($A46=FALSE,0,INDEX('RPS by State'!Y:Y,MATCH($C46,'RPS by State'!$B:$B,0))),0)</f>
        <v>0</v>
      </c>
      <c r="O46" s="100">
        <f>IFERROR(IF($A46=FALSE,0,INDEX('RPS by State'!Z:Z,MATCH($C46,'RPS by State'!$B:$B,0))),0)</f>
        <v>0</v>
      </c>
      <c r="P46" s="100">
        <f>IFERROR(IF($A46=FALSE,0,INDEX('RPS by State'!AA:AA,MATCH($C46,'RPS by State'!$B:$B,0))),0)</f>
        <v>0</v>
      </c>
      <c r="Q46" s="100">
        <f>IFERROR(IF($A46=FALSE,0,INDEX('RPS by State'!AB:AB,MATCH($C46,'RPS by State'!$B:$B,0))),0)</f>
        <v>0</v>
      </c>
      <c r="R46" s="100">
        <f>IFERROR(IF($A46=FALSE,0,INDEX('RPS by State'!AC:AC,MATCH($C46,'RPS by State'!$B:$B,0))),0)</f>
        <v>0</v>
      </c>
      <c r="S46" s="100">
        <f>IFERROR(IF($A46=FALSE,0,INDEX('RPS by State'!AD:AD,MATCH($C46,'RPS by State'!$B:$B,0))),0)</f>
        <v>0</v>
      </c>
      <c r="T46" s="100">
        <f>IFERROR(IF($A46=FALSE,0,INDEX('RPS by State'!AE:AE,MATCH($C46,'RPS by State'!$B:$B,0))),0)</f>
        <v>0</v>
      </c>
      <c r="U46" s="100">
        <f>IFERROR(IF($A46=FALSE,0,INDEX('RPS by State'!AF:AF,MATCH($C46,'RPS by State'!$B:$B,0))),0)</f>
        <v>0</v>
      </c>
      <c r="V46" s="100">
        <f>IFERROR(IF($A46=FALSE,0,INDEX('RPS by State'!AG:AG,MATCH($C46,'RPS by State'!$B:$B,0))),0)</f>
        <v>0</v>
      </c>
      <c r="W46" s="100">
        <f>IFERROR(IF($A46=FALSE,0,INDEX('RPS by State'!AH:AH,MATCH($C46,'RPS by State'!$B:$B,0))),0)</f>
        <v>0</v>
      </c>
      <c r="X46" s="100">
        <f>IFERROR(IF($A46=FALSE,0,INDEX('RPS by State'!AI:AI,MATCH($C46,'RPS by State'!$B:$B,0))),0)</f>
        <v>0</v>
      </c>
      <c r="Y46" s="100">
        <f>IFERROR(IF($A46=FALSE,0,INDEX('RPS by State'!AJ:AJ,MATCH($C46,'RPS by State'!$B:$B,0))),0)</f>
        <v>0</v>
      </c>
      <c r="Z46" s="100">
        <f>IFERROR(IF($A46=FALSE,0,INDEX('RPS by State'!AK:AK,MATCH($C46,'RPS by State'!$B:$B,0))),0)</f>
        <v>0</v>
      </c>
      <c r="AA46" s="100">
        <f>IFERROR(IF($A46=FALSE,0,INDEX('RPS by State'!AL:AL,MATCH($C46,'RPS by State'!$B:$B,0))),0)</f>
        <v>0</v>
      </c>
      <c r="AB46" s="100">
        <f>IFERROR(IF($A46=FALSE,0,INDEX('RPS by State'!AM:AM,MATCH($C46,'RPS by State'!$B:$B,0))),0)</f>
        <v>0</v>
      </c>
      <c r="AC46" s="100">
        <f>IFERROR(IF($A46=FALSE,0,INDEX('RPS by State'!AN:AN,MATCH($C46,'RPS by State'!$B:$B,0))),0)</f>
        <v>0</v>
      </c>
      <c r="AD46" s="100">
        <f>IFERROR(IF($A46=FALSE,0,INDEX('RPS by State'!AO:AO,MATCH($C46,'RPS by State'!$B:$B,0))),0)</f>
        <v>0</v>
      </c>
      <c r="AE46" s="100">
        <f>IFERROR(IF($A46=FALSE,0,INDEX('RPS by State'!AP:AP,MATCH($C46,'RPS by State'!$B:$B,0))),0)</f>
        <v>0</v>
      </c>
      <c r="AF46" s="100">
        <f>IFERROR(IF($A46=FALSE,0,INDEX('RPS by State'!AQ:AQ,MATCH($C46,'RPS by State'!$B:$B,0))),0)</f>
        <v>0</v>
      </c>
      <c r="AG46" s="100">
        <f>IFERROR(IF($A46=FALSE,0,INDEX('RPS by State'!AR:AR,MATCH($C46,'RPS by State'!$B:$B,0))),0)</f>
        <v>0</v>
      </c>
      <c r="AH46" s="100">
        <f>IFERROR(IF($A46=FALSE,0,INDEX('RPS by State'!AS:AS,MATCH($C46,'RPS by State'!$B:$B,0))),0)</f>
        <v>0</v>
      </c>
      <c r="AI46" s="100">
        <f>IFERROR(IF($A46=FALSE,0,INDEX('RPS by State'!AT:AT,MATCH($C46,'RPS by State'!$B:$B,0))),0)</f>
        <v>0</v>
      </c>
      <c r="AJ46" s="100">
        <f>IFERROR(IF($A46=FALSE,0,INDEX('RPS by State'!AU:AU,MATCH($C46,'RPS by State'!$B:$B,0))),0)</f>
        <v>0</v>
      </c>
      <c r="AK46" s="100">
        <f>IFERROR(IF($A46=FALSE,0,INDEX('RPS by State'!AV:AV,MATCH($C46,'RPS by State'!$B:$B,0))),0)</f>
        <v>0</v>
      </c>
      <c r="AL46" s="100">
        <f>IFERROR(IF($A46=FALSE,0,INDEX('RPS by State'!AW:AW,MATCH($C46,'RPS by State'!$B:$B,0))),0)</f>
        <v>0</v>
      </c>
      <c r="AM46" s="100">
        <f>IFERROR(IF($A46=FALSE,0,INDEX('RPS by State'!AX:AX,MATCH($C46,'RPS by State'!$B:$B,0))),0)</f>
        <v>0</v>
      </c>
      <c r="AN46" s="100">
        <f>IFERROR(IF($A46=FALSE,0,INDEX('RPS by State'!AY:AY,MATCH($C46,'RPS by State'!$B:$B,0))),0)</f>
        <v>0</v>
      </c>
      <c r="AO46" s="100">
        <f>IFERROR(IF($A46=FALSE,0,INDEX('RPS by State'!AZ:AZ,MATCH($C46,'RPS by State'!$B:$B,0))),0)</f>
        <v>0</v>
      </c>
      <c r="AP46" s="100">
        <f>IFERROR(IF($A46=FALSE,0,INDEX('RPS by State'!BA:BA,MATCH($C46,'RPS by State'!$B:$B,0))),0)</f>
        <v>0</v>
      </c>
      <c r="AQ46" s="100">
        <f>IFERROR(IF($A46=FALSE,0,INDEX('RPS by State'!BB:BB,MATCH($C46,'RPS by State'!$B:$B,0))),0)</f>
        <v>0</v>
      </c>
      <c r="AR46" s="100">
        <f>IFERROR(IF($A46=FALSE,0,INDEX('RPS by State'!BC:BC,MATCH($C46,'RPS by State'!$B:$B,0))),0)</f>
        <v>0</v>
      </c>
      <c r="AS46" s="100">
        <f>IFERROR(IF($A46=FALSE,0,INDEX('RPS by State'!BD:BD,MATCH($C46,'RPS by State'!$B:$B,0))),0)</f>
        <v>0</v>
      </c>
      <c r="AT46" s="100">
        <f>IFERROR(IF($A46=FALSE,0,INDEX('RPS by State'!BE:BE,MATCH($C46,'RPS by State'!$B:$B,0))),0)</f>
        <v>0</v>
      </c>
      <c r="AU46" s="100">
        <f>IFERROR(IF($A46=FALSE,0,INDEX('RPS by State'!BF:BF,MATCH($C46,'RPS by State'!$B:$B,0))),0)</f>
        <v>0</v>
      </c>
      <c r="AV46" s="100">
        <f>IFERROR(IF($A46=FALSE,0,INDEX('RPS by State'!BG:BG,MATCH($C46,'RPS by State'!$B:$B,0))),0)</f>
        <v>0</v>
      </c>
      <c r="AW46" s="100">
        <f>IFERROR(IF($A46=FALSE,0,INDEX('RPS by State'!BH:BH,MATCH($C46,'RPS by State'!$B:$B,0))),0)</f>
        <v>0</v>
      </c>
      <c r="AX46" s="100">
        <f>IFERROR(IF($A46=FALSE,0,INDEX('RPS by State'!BI:BI,MATCH($C46,'RPS by State'!$B:$B,0))),0)</f>
        <v>0</v>
      </c>
      <c r="AY46" s="100">
        <f>IFERROR(IF($A46=FALSE,0,INDEX('RPS by State'!BJ:BJ,MATCH($C46,'RPS by State'!$B:$B,0))),0)</f>
        <v>0</v>
      </c>
      <c r="AZ46" s="100">
        <f>IFERROR(IF($A46=FALSE,0,INDEX('RPS by State'!BK:BK,MATCH($C46,'RPS by State'!$B:$B,0))),0)</f>
        <v>0</v>
      </c>
      <c r="BA46" s="100">
        <f>IFERROR(IF($A46=FALSE,0,INDEX('RPS by State'!BL:BL,MATCH($C46,'RPS by State'!$B:$B,0))),0)</f>
        <v>0</v>
      </c>
      <c r="BB46" s="100">
        <f>IFERROR(IF($A46=FALSE,0,INDEX('RPS by State'!BM:BM,MATCH($C46,'RPS by State'!$B:$B,0))),0)</f>
        <v>0</v>
      </c>
      <c r="BC46" s="100">
        <f>IFERROR(IF($A46=FALSE,0,INDEX('RPS by State'!BN:BN,MATCH($C46,'RPS by State'!$B:$B,0))),0)</f>
        <v>0</v>
      </c>
      <c r="BD46" s="100">
        <f>IFERROR(IF($A46=FALSE,0,INDEX('RPS by State'!BO:BO,MATCH($C46,'RPS by State'!$B:$B,0))),0)</f>
        <v>0</v>
      </c>
      <c r="BE46" s="100">
        <f>IFERROR(IF($A46=FALSE,0,INDEX('RPS by State'!BP:BP,MATCH($C46,'RPS by State'!$B:$B,0))),0)</f>
        <v>0</v>
      </c>
      <c r="BF46" s="100">
        <f>IFERROR(IF($A46=FALSE,0,INDEX('RPS by State'!BQ:BQ,MATCH($C46,'RPS by State'!$B:$B,0))),0)</f>
        <v>0</v>
      </c>
      <c r="BG46" s="100">
        <f>IFERROR(IF($A46=FALSE,0,INDEX('RPS by State'!BR:BR,MATCH($C46,'RPS by State'!$B:$B,0))),0)</f>
        <v>0</v>
      </c>
      <c r="BH46" s="100">
        <f>IFERROR(IF($A46=FALSE,0,INDEX('RPS by State'!BS:BS,MATCH($C46,'RPS by State'!$B:$B,0))),0)</f>
        <v>0</v>
      </c>
      <c r="BI46" s="100">
        <f>IFERROR(IF($A46=FALSE,0,INDEX('RPS by State'!BT:BT,MATCH($C46,'RPS by State'!$B:$B,0))),0)</f>
        <v>0</v>
      </c>
      <c r="BJ46" s="100">
        <f>IFERROR(IF($A46=FALSE,0,INDEX('RPS by State'!BU:BU,MATCH($C46,'RPS by State'!$B:$B,0))),0)</f>
        <v>0</v>
      </c>
      <c r="BK46" s="100">
        <f>IFERROR(IF($A46=FALSE,0,INDEX('RPS by State'!BV:BV,MATCH($C46,'RPS by State'!$B:$B,0))),0)</f>
        <v>0</v>
      </c>
      <c r="BL46" s="100">
        <f>IFERROR(IF($A46=FALSE,0,INDEX('RPS by State'!BW:BW,MATCH($C46,'RPS by State'!$B:$B,0))),0)</f>
        <v>0</v>
      </c>
      <c r="BM46" s="100">
        <f>IFERROR(IF($A46=FALSE,0,INDEX('RPS by State'!BX:BX,MATCH($C46,'RPS by State'!$B:$B,0))),0)</f>
        <v>0</v>
      </c>
      <c r="BN46" s="100">
        <f>IFERROR(IF($A46=FALSE,0,INDEX('RPS by State'!BY:BY,MATCH($C46,'RPS by State'!$B:$B,0))),0)</f>
        <v>0</v>
      </c>
      <c r="BO46" s="100">
        <f>IFERROR(IF($A46=FALSE,0,INDEX('RPS by State'!BZ:BZ,MATCH($C46,'RPS by State'!$B:$B,0))),0)</f>
        <v>0</v>
      </c>
      <c r="BP46" s="100">
        <f>IFERROR(IF($A46=FALSE,0,INDEX('RPS by State'!CA:CA,MATCH($C46,'RPS by State'!$B:$B,0))),0)</f>
        <v>0</v>
      </c>
      <c r="BQ46" s="100">
        <f>IFERROR(IF($A46=FALSE,0,INDEX('RPS by State'!CB:CB,MATCH($C46,'RPS by State'!$B:$B,0))),0)</f>
        <v>0</v>
      </c>
      <c r="BR46" s="100">
        <f>IFERROR(IF($A46=FALSE,0,INDEX('RPS by State'!CC:CC,MATCH($C46,'RPS by State'!$B:$B,0))),0)</f>
        <v>0</v>
      </c>
      <c r="BS46" s="100">
        <f>IFERROR(IF($A46=FALSE,0,INDEX('RPS by State'!CD:CD,MATCH($C46,'RPS by State'!$B:$B,0))),0)</f>
        <v>0</v>
      </c>
      <c r="BT46" s="100">
        <f>IFERROR(IF($A46=FALSE,0,INDEX('RPS by State'!CE:CE,MATCH($C46,'RPS by State'!$B:$B,0))),0)</f>
        <v>0</v>
      </c>
      <c r="BU46" s="100">
        <f>IFERROR(IF($A46=FALSE,0,INDEX('RPS by State'!CF:CF,MATCH($C46,'RPS by State'!$B:$B,0))),0)</f>
        <v>0</v>
      </c>
      <c r="BV46" s="100">
        <f>IFERROR(IF($A46=FALSE,0,INDEX('RPS by State'!CG:CG,MATCH($C46,'RPS by State'!$B:$B,0))),0)</f>
        <v>0</v>
      </c>
      <c r="BW46" s="100">
        <f>IFERROR(IF($A46=FALSE,0,INDEX('RPS by State'!CH:CH,MATCH($C46,'RPS by State'!$B:$B,0))),0)</f>
        <v>0</v>
      </c>
      <c r="BX46" s="100">
        <f>IFERROR(IF($A46=FALSE,0,INDEX('RPS by State'!CI:CI,MATCH($C46,'RPS by State'!$B:$B,0))),0)</f>
        <v>0</v>
      </c>
      <c r="BY46" s="100">
        <f>IFERROR(IF($A46=FALSE,0,INDEX('RPS by State'!CJ:CJ,MATCH($C46,'RPS by State'!$B:$B,0))),0)</f>
        <v>0</v>
      </c>
      <c r="BZ46" s="100">
        <f>IFERROR(IF($A46=FALSE,0,INDEX('RPS by State'!CK:CK,MATCH($C46,'RPS by State'!$B:$B,0))),0)</f>
        <v>0</v>
      </c>
      <c r="CA46" s="100">
        <f>IFERROR(IF($A46=FALSE,0,INDEX('RPS by State'!CL:CL,MATCH($C46,'RPS by State'!$B:$B,0))),0)</f>
        <v>0</v>
      </c>
      <c r="CB46" s="100">
        <f>IFERROR(IF($A46=FALSE,0,INDEX('RPS by State'!CM:CM,MATCH($C46,'RPS by State'!$B:$B,0))),0)</f>
        <v>0</v>
      </c>
      <c r="CC46" s="100">
        <f>IFERROR(IF($A46=FALSE,0,INDEX('RPS by State'!CN:CN,MATCH($C46,'RPS by State'!$B:$B,0))),0)</f>
        <v>0</v>
      </c>
      <c r="CD46" s="100">
        <f>IFERROR(IF($A46=FALSE,0,INDEX('RPS by State'!CO:CO,MATCH($C46,'RPS by State'!$B:$B,0))),0)</f>
        <v>0</v>
      </c>
      <c r="CE46" s="100">
        <f>IFERROR(IF($A46=FALSE,0,INDEX('RPS by State'!CP:CP,MATCH($C46,'RPS by State'!$B:$B,0))),0)</f>
        <v>0</v>
      </c>
    </row>
    <row r="47" spans="1:83" x14ac:dyDescent="0.25">
      <c r="A47" t="b">
        <f>IFERROR(INDEX('RPS by State'!G:G,MATCH(B47,'RPS by State'!A:A,0)),0)</f>
        <v>1</v>
      </c>
      <c r="B47" s="120" t="s">
        <v>119</v>
      </c>
      <c r="C47" s="120" t="str">
        <f>IFERROR(INDEX(About!L:L,MATCH(B47,About!K:K,0)),0)</f>
        <v>VT</v>
      </c>
      <c r="D47" s="100">
        <f>IFERROR(IF($A47=FALSE,0,INDEX('RPS by State'!O:O,MATCH($C47,'RPS by State'!$B:$B,0))),0)</f>
        <v>0.60333333333333339</v>
      </c>
      <c r="E47" s="100">
        <f>IFERROR(IF($A47=FALSE,0,INDEX('RPS by State'!P:P,MATCH($C47,'RPS by State'!$B:$B,0))),0)</f>
        <v>0.6166666666666667</v>
      </c>
      <c r="F47" s="100">
        <f>IFERROR(IF($A47=FALSE,0,INDEX('RPS by State'!Q:Q,MATCH($C47,'RPS by State'!$B:$B,0))),0)</f>
        <v>0.63</v>
      </c>
      <c r="G47" s="100">
        <f>IFERROR(IF($A47=FALSE,0,INDEX('RPS by State'!R:R,MATCH($C47,'RPS by State'!$B:$B,0))),0)</f>
        <v>0.64333333333333331</v>
      </c>
      <c r="H47" s="100">
        <f>IFERROR(IF($A47=FALSE,0,INDEX('RPS by State'!S:S,MATCH($C47,'RPS by State'!$B:$B,0))),0)</f>
        <v>0.65666666666666673</v>
      </c>
      <c r="I47" s="100">
        <f>IFERROR(IF($A47=FALSE,0,INDEX('RPS by State'!T:T,MATCH($C47,'RPS by State'!$B:$B,0))),0)</f>
        <v>0.67</v>
      </c>
      <c r="J47" s="100">
        <f>IFERROR(IF($A47=FALSE,0,INDEX('RPS by State'!U:U,MATCH($C47,'RPS by State'!$B:$B,0))),0)</f>
        <v>0.68333333333333335</v>
      </c>
      <c r="K47" s="100">
        <f>IFERROR(IF($A47=FALSE,0,INDEX('RPS by State'!V:V,MATCH($C47,'RPS by State'!$B:$B,0))),0)</f>
        <v>0.69666666666666666</v>
      </c>
      <c r="L47" s="100">
        <f>IFERROR(IF($A47=FALSE,0,INDEX('RPS by State'!W:W,MATCH($C47,'RPS by State'!$B:$B,0))),0)</f>
        <v>0.71</v>
      </c>
      <c r="M47" s="100">
        <f>IFERROR(IF($A47=FALSE,0,INDEX('RPS by State'!X:X,MATCH($C47,'RPS by State'!$B:$B,0))),0)</f>
        <v>0.72333333333333338</v>
      </c>
      <c r="N47" s="100">
        <f>IFERROR(IF($A47=FALSE,0,INDEX('RPS by State'!Y:Y,MATCH($C47,'RPS by State'!$B:$B,0))),0)</f>
        <v>0.73666666666666669</v>
      </c>
      <c r="O47" s="100">
        <f>IFERROR(IF($A47=FALSE,0,INDEX('RPS by State'!Z:Z,MATCH($C47,'RPS by State'!$B:$B,0))),0)</f>
        <v>0.75</v>
      </c>
      <c r="P47" s="100">
        <f>IFERROR(IF($A47=FALSE,0,INDEX('RPS by State'!AA:AA,MATCH($C47,'RPS by State'!$B:$B,0))),0)</f>
        <v>0.75</v>
      </c>
      <c r="Q47" s="100">
        <f>IFERROR(IF($A47=FALSE,0,INDEX('RPS by State'!AB:AB,MATCH($C47,'RPS by State'!$B:$B,0))),0)</f>
        <v>0.75</v>
      </c>
      <c r="R47" s="100">
        <f>IFERROR(IF($A47=FALSE,0,INDEX('RPS by State'!AC:AC,MATCH($C47,'RPS by State'!$B:$B,0))),0)</f>
        <v>0.75</v>
      </c>
      <c r="S47" s="100">
        <f>IFERROR(IF($A47=FALSE,0,INDEX('RPS by State'!AD:AD,MATCH($C47,'RPS by State'!$B:$B,0))),0)</f>
        <v>0.75</v>
      </c>
      <c r="T47" s="100">
        <f>IFERROR(IF($A47=FALSE,0,INDEX('RPS by State'!AE:AE,MATCH($C47,'RPS by State'!$B:$B,0))),0)</f>
        <v>0.75</v>
      </c>
      <c r="U47" s="100">
        <f>IFERROR(IF($A47=FALSE,0,INDEX('RPS by State'!AF:AF,MATCH($C47,'RPS by State'!$B:$B,0))),0)</f>
        <v>0.75</v>
      </c>
      <c r="V47" s="100">
        <f>IFERROR(IF($A47=FALSE,0,INDEX('RPS by State'!AG:AG,MATCH($C47,'RPS by State'!$B:$B,0))),0)</f>
        <v>0.75</v>
      </c>
      <c r="W47" s="100">
        <f>IFERROR(IF($A47=FALSE,0,INDEX('RPS by State'!AH:AH,MATCH($C47,'RPS by State'!$B:$B,0))),0)</f>
        <v>0.75</v>
      </c>
      <c r="X47" s="100">
        <f>IFERROR(IF($A47=FALSE,0,INDEX('RPS by State'!AI:AI,MATCH($C47,'RPS by State'!$B:$B,0))),0)</f>
        <v>0.75</v>
      </c>
      <c r="Y47" s="100">
        <f>IFERROR(IF($A47=FALSE,0,INDEX('RPS by State'!AJ:AJ,MATCH($C47,'RPS by State'!$B:$B,0))),0)</f>
        <v>0.75</v>
      </c>
      <c r="Z47" s="100">
        <f>IFERROR(IF($A47=FALSE,0,INDEX('RPS by State'!AK:AK,MATCH($C47,'RPS by State'!$B:$B,0))),0)</f>
        <v>0.75</v>
      </c>
      <c r="AA47" s="100">
        <f>IFERROR(IF($A47=FALSE,0,INDEX('RPS by State'!AL:AL,MATCH($C47,'RPS by State'!$B:$B,0))),0)</f>
        <v>0.75</v>
      </c>
      <c r="AB47" s="100">
        <f>IFERROR(IF($A47=FALSE,0,INDEX('RPS by State'!AM:AM,MATCH($C47,'RPS by State'!$B:$B,0))),0)</f>
        <v>0.75</v>
      </c>
      <c r="AC47" s="100">
        <f>IFERROR(IF($A47=FALSE,0,INDEX('RPS by State'!AN:AN,MATCH($C47,'RPS by State'!$B:$B,0))),0)</f>
        <v>0.75</v>
      </c>
      <c r="AD47" s="100">
        <f>IFERROR(IF($A47=FALSE,0,INDEX('RPS by State'!AO:AO,MATCH($C47,'RPS by State'!$B:$B,0))),0)</f>
        <v>0.75</v>
      </c>
      <c r="AE47" s="100">
        <f>IFERROR(IF($A47=FALSE,0,INDEX('RPS by State'!AP:AP,MATCH($C47,'RPS by State'!$B:$B,0))),0)</f>
        <v>0.75</v>
      </c>
      <c r="AF47" s="100">
        <f>IFERROR(IF($A47=FALSE,0,INDEX('RPS by State'!AQ:AQ,MATCH($C47,'RPS by State'!$B:$B,0))),0)</f>
        <v>0.75</v>
      </c>
      <c r="AG47" s="100">
        <f>IFERROR(IF($A47=FALSE,0,INDEX('RPS by State'!AR:AR,MATCH($C47,'RPS by State'!$B:$B,0))),0)</f>
        <v>0.75</v>
      </c>
      <c r="AH47" s="100">
        <f>IFERROR(IF($A47=FALSE,0,INDEX('RPS by State'!AS:AS,MATCH($C47,'RPS by State'!$B:$B,0))),0)</f>
        <v>0</v>
      </c>
      <c r="AI47" s="100">
        <f>IFERROR(IF($A47=FALSE,0,INDEX('RPS by State'!AT:AT,MATCH($C47,'RPS by State'!$B:$B,0))),0)</f>
        <v>0</v>
      </c>
      <c r="AJ47" s="100">
        <f>IFERROR(IF($A47=FALSE,0,INDEX('RPS by State'!AU:AU,MATCH($C47,'RPS by State'!$B:$B,0))),0)</f>
        <v>0</v>
      </c>
      <c r="AK47" s="100">
        <f>IFERROR(IF($A47=FALSE,0,INDEX('RPS by State'!AV:AV,MATCH($C47,'RPS by State'!$B:$B,0))),0)</f>
        <v>0</v>
      </c>
      <c r="AL47" s="100">
        <f>IFERROR(IF($A47=FALSE,0,INDEX('RPS by State'!AW:AW,MATCH($C47,'RPS by State'!$B:$B,0))),0)</f>
        <v>0</v>
      </c>
      <c r="AM47" s="100">
        <f>IFERROR(IF($A47=FALSE,0,INDEX('RPS by State'!AX:AX,MATCH($C47,'RPS by State'!$B:$B,0))),0)</f>
        <v>0</v>
      </c>
      <c r="AN47" s="100">
        <f>IFERROR(IF($A47=FALSE,0,INDEX('RPS by State'!AY:AY,MATCH($C47,'RPS by State'!$B:$B,0))),0)</f>
        <v>0</v>
      </c>
      <c r="AO47" s="100">
        <f>IFERROR(IF($A47=FALSE,0,INDEX('RPS by State'!AZ:AZ,MATCH($C47,'RPS by State'!$B:$B,0))),0)</f>
        <v>0</v>
      </c>
      <c r="AP47" s="100">
        <f>IFERROR(IF($A47=FALSE,0,INDEX('RPS by State'!BA:BA,MATCH($C47,'RPS by State'!$B:$B,0))),0)</f>
        <v>0</v>
      </c>
      <c r="AQ47" s="100">
        <f>IFERROR(IF($A47=FALSE,0,INDEX('RPS by State'!BB:BB,MATCH($C47,'RPS by State'!$B:$B,0))),0)</f>
        <v>0</v>
      </c>
      <c r="AR47" s="100">
        <f>IFERROR(IF($A47=FALSE,0,INDEX('RPS by State'!BC:BC,MATCH($C47,'RPS by State'!$B:$B,0))),0)</f>
        <v>0</v>
      </c>
      <c r="AS47" s="100">
        <f>IFERROR(IF($A47=FALSE,0,INDEX('RPS by State'!BD:BD,MATCH($C47,'RPS by State'!$B:$B,0))),0)</f>
        <v>0</v>
      </c>
      <c r="AT47" s="100">
        <f>IFERROR(IF($A47=FALSE,0,INDEX('RPS by State'!BE:BE,MATCH($C47,'RPS by State'!$B:$B,0))),0)</f>
        <v>0</v>
      </c>
      <c r="AU47" s="100">
        <f>IFERROR(IF($A47=FALSE,0,INDEX('RPS by State'!BF:BF,MATCH($C47,'RPS by State'!$B:$B,0))),0)</f>
        <v>0</v>
      </c>
      <c r="AV47" s="100">
        <f>IFERROR(IF($A47=FALSE,0,INDEX('RPS by State'!BG:BG,MATCH($C47,'RPS by State'!$B:$B,0))),0)</f>
        <v>0</v>
      </c>
      <c r="AW47" s="100">
        <f>IFERROR(IF($A47=FALSE,0,INDEX('RPS by State'!BH:BH,MATCH($C47,'RPS by State'!$B:$B,0))),0)</f>
        <v>0</v>
      </c>
      <c r="AX47" s="100">
        <f>IFERROR(IF($A47=FALSE,0,INDEX('RPS by State'!BI:BI,MATCH($C47,'RPS by State'!$B:$B,0))),0)</f>
        <v>0</v>
      </c>
      <c r="AY47" s="100">
        <f>IFERROR(IF($A47=FALSE,0,INDEX('RPS by State'!BJ:BJ,MATCH($C47,'RPS by State'!$B:$B,0))),0)</f>
        <v>0</v>
      </c>
      <c r="AZ47" s="100">
        <f>IFERROR(IF($A47=FALSE,0,INDEX('RPS by State'!BK:BK,MATCH($C47,'RPS by State'!$B:$B,0))),0)</f>
        <v>0</v>
      </c>
      <c r="BA47" s="100">
        <f>IFERROR(IF($A47=FALSE,0,INDEX('RPS by State'!BL:BL,MATCH($C47,'RPS by State'!$B:$B,0))),0)</f>
        <v>0</v>
      </c>
      <c r="BB47" s="100">
        <f>IFERROR(IF($A47=FALSE,0,INDEX('RPS by State'!BM:BM,MATCH($C47,'RPS by State'!$B:$B,0))),0)</f>
        <v>0</v>
      </c>
      <c r="BC47" s="100">
        <f>IFERROR(IF($A47=FALSE,0,INDEX('RPS by State'!BN:BN,MATCH($C47,'RPS by State'!$B:$B,0))),0)</f>
        <v>0</v>
      </c>
      <c r="BD47" s="100">
        <f>IFERROR(IF($A47=FALSE,0,INDEX('RPS by State'!BO:BO,MATCH($C47,'RPS by State'!$B:$B,0))),0)</f>
        <v>0</v>
      </c>
      <c r="BE47" s="100">
        <f>IFERROR(IF($A47=FALSE,0,INDEX('RPS by State'!BP:BP,MATCH($C47,'RPS by State'!$B:$B,0))),0)</f>
        <v>0</v>
      </c>
      <c r="BF47" s="100">
        <f>IFERROR(IF($A47=FALSE,0,INDEX('RPS by State'!BQ:BQ,MATCH($C47,'RPS by State'!$B:$B,0))),0)</f>
        <v>0</v>
      </c>
      <c r="BG47" s="100">
        <f>IFERROR(IF($A47=FALSE,0,INDEX('RPS by State'!BR:BR,MATCH($C47,'RPS by State'!$B:$B,0))),0)</f>
        <v>0</v>
      </c>
      <c r="BH47" s="100">
        <f>IFERROR(IF($A47=FALSE,0,INDEX('RPS by State'!BS:BS,MATCH($C47,'RPS by State'!$B:$B,0))),0)</f>
        <v>0</v>
      </c>
      <c r="BI47" s="100">
        <f>IFERROR(IF($A47=FALSE,0,INDEX('RPS by State'!BT:BT,MATCH($C47,'RPS by State'!$B:$B,0))),0)</f>
        <v>0</v>
      </c>
      <c r="BJ47" s="100">
        <f>IFERROR(IF($A47=FALSE,0,INDEX('RPS by State'!BU:BU,MATCH($C47,'RPS by State'!$B:$B,0))),0)</f>
        <v>0</v>
      </c>
      <c r="BK47" s="100">
        <f>IFERROR(IF($A47=FALSE,0,INDEX('RPS by State'!BV:BV,MATCH($C47,'RPS by State'!$B:$B,0))),0)</f>
        <v>0</v>
      </c>
      <c r="BL47" s="100">
        <f>IFERROR(IF($A47=FALSE,0,INDEX('RPS by State'!BW:BW,MATCH($C47,'RPS by State'!$B:$B,0))),0)</f>
        <v>0</v>
      </c>
      <c r="BM47" s="100">
        <f>IFERROR(IF($A47=FALSE,0,INDEX('RPS by State'!BX:BX,MATCH($C47,'RPS by State'!$B:$B,0))),0)</f>
        <v>0</v>
      </c>
      <c r="BN47" s="100">
        <f>IFERROR(IF($A47=FALSE,0,INDEX('RPS by State'!BY:BY,MATCH($C47,'RPS by State'!$B:$B,0))),0)</f>
        <v>0</v>
      </c>
      <c r="BO47" s="100">
        <f>IFERROR(IF($A47=FALSE,0,INDEX('RPS by State'!BZ:BZ,MATCH($C47,'RPS by State'!$B:$B,0))),0)</f>
        <v>0</v>
      </c>
      <c r="BP47" s="100">
        <f>IFERROR(IF($A47=FALSE,0,INDEX('RPS by State'!CA:CA,MATCH($C47,'RPS by State'!$B:$B,0))),0)</f>
        <v>0</v>
      </c>
      <c r="BQ47" s="100">
        <f>IFERROR(IF($A47=FALSE,0,INDEX('RPS by State'!CB:CB,MATCH($C47,'RPS by State'!$B:$B,0))),0)</f>
        <v>0</v>
      </c>
      <c r="BR47" s="100">
        <f>IFERROR(IF($A47=FALSE,0,INDEX('RPS by State'!CC:CC,MATCH($C47,'RPS by State'!$B:$B,0))),0)</f>
        <v>0</v>
      </c>
      <c r="BS47" s="100">
        <f>IFERROR(IF($A47=FALSE,0,INDEX('RPS by State'!CD:CD,MATCH($C47,'RPS by State'!$B:$B,0))),0)</f>
        <v>0</v>
      </c>
      <c r="BT47" s="100">
        <f>IFERROR(IF($A47=FALSE,0,INDEX('RPS by State'!CE:CE,MATCH($C47,'RPS by State'!$B:$B,0))),0)</f>
        <v>0</v>
      </c>
      <c r="BU47" s="100">
        <f>IFERROR(IF($A47=FALSE,0,INDEX('RPS by State'!CF:CF,MATCH($C47,'RPS by State'!$B:$B,0))),0)</f>
        <v>0</v>
      </c>
      <c r="BV47" s="100">
        <f>IFERROR(IF($A47=FALSE,0,INDEX('RPS by State'!CG:CG,MATCH($C47,'RPS by State'!$B:$B,0))),0)</f>
        <v>0</v>
      </c>
      <c r="BW47" s="100">
        <f>IFERROR(IF($A47=FALSE,0,INDEX('RPS by State'!CH:CH,MATCH($C47,'RPS by State'!$B:$B,0))),0)</f>
        <v>0</v>
      </c>
      <c r="BX47" s="100">
        <f>IFERROR(IF($A47=FALSE,0,INDEX('RPS by State'!CI:CI,MATCH($C47,'RPS by State'!$B:$B,0))),0)</f>
        <v>0</v>
      </c>
      <c r="BY47" s="100">
        <f>IFERROR(IF($A47=FALSE,0,INDEX('RPS by State'!CJ:CJ,MATCH($C47,'RPS by State'!$B:$B,0))),0)</f>
        <v>0</v>
      </c>
      <c r="BZ47" s="100">
        <f>IFERROR(IF($A47=FALSE,0,INDEX('RPS by State'!CK:CK,MATCH($C47,'RPS by State'!$B:$B,0))),0)</f>
        <v>0</v>
      </c>
      <c r="CA47" s="100">
        <f>IFERROR(IF($A47=FALSE,0,INDEX('RPS by State'!CL:CL,MATCH($C47,'RPS by State'!$B:$B,0))),0)</f>
        <v>0</v>
      </c>
      <c r="CB47" s="100">
        <f>IFERROR(IF($A47=FALSE,0,INDEX('RPS by State'!CM:CM,MATCH($C47,'RPS by State'!$B:$B,0))),0)</f>
        <v>0</v>
      </c>
      <c r="CC47" s="100">
        <f>IFERROR(IF($A47=FALSE,0,INDEX('RPS by State'!CN:CN,MATCH($C47,'RPS by State'!$B:$B,0))),0)</f>
        <v>0</v>
      </c>
      <c r="CD47" s="100">
        <f>IFERROR(IF($A47=FALSE,0,INDEX('RPS by State'!CO:CO,MATCH($C47,'RPS by State'!$B:$B,0))),0)</f>
        <v>0</v>
      </c>
      <c r="CE47" s="100">
        <f>IFERROR(IF($A47=FALSE,0,INDEX('RPS by State'!CP:CP,MATCH($C47,'RPS by State'!$B:$B,0))),0)</f>
        <v>0</v>
      </c>
    </row>
    <row r="48" spans="1:83" x14ac:dyDescent="0.25">
      <c r="A48" t="b">
        <f>IFERROR(INDEX('RPS by State'!G:G,MATCH(B48,'RPS by State'!A:A,0)),0)</f>
        <v>1</v>
      </c>
      <c r="B48" s="120" t="s">
        <v>122</v>
      </c>
      <c r="C48" s="120" t="str">
        <f>IFERROR(INDEX(About!L:L,MATCH(B48,About!K:K,0)),0)</f>
        <v>VA</v>
      </c>
      <c r="D48" s="100">
        <f>IFERROR(IF($A48=FALSE,0,INDEX('RPS by State'!O:O,MATCH($C48,'RPS by State'!$B:$B,0))),0)</f>
        <v>3.8679882321466248E-2</v>
      </c>
      <c r="E48" s="100">
        <f>IFERROR(IF($A48=FALSE,0,INDEX('RPS by State'!P:P,MATCH($C48,'RPS by State'!$B:$B,0))),0)</f>
        <v>5.8019823482199376E-2</v>
      </c>
      <c r="F48" s="100">
        <f>IFERROR(IF($A48=FALSE,0,INDEX('RPS by State'!Q:Q,MATCH($C48,'RPS by State'!$B:$B,0))),0)</f>
        <v>7.7359764642932496E-2</v>
      </c>
      <c r="G48" s="100">
        <f>IFERROR(IF($A48=FALSE,0,INDEX('RPS by State'!R:R,MATCH($C48,'RPS by State'!$B:$B,0))),0)</f>
        <v>9.6699705803665617E-2</v>
      </c>
      <c r="H48" s="100">
        <f>IFERROR(IF($A48=FALSE,0,INDEX('RPS by State'!S:S,MATCH($C48,'RPS by State'!$B:$B,0))),0)</f>
        <v>0.11603964696439875</v>
      </c>
      <c r="I48" s="100">
        <f>IFERROR(IF($A48=FALSE,0,INDEX('RPS by State'!T:T,MATCH($C48,'RPS by State'!$B:$B,0))),0)</f>
        <v>0.1425629948419756</v>
      </c>
      <c r="J48" s="100">
        <f>IFERROR(IF($A48=FALSE,0,INDEX('RPS by State'!U:U,MATCH($C48,'RPS by State'!$B:$B,0))),0)</f>
        <v>0.16908634271955245</v>
      </c>
      <c r="K48" s="100">
        <f>IFERROR(IF($A48=FALSE,0,INDEX('RPS by State'!V:V,MATCH($C48,'RPS by State'!$B:$B,0))),0)</f>
        <v>0.19560969059712929</v>
      </c>
      <c r="L48" s="100">
        <f>IFERROR(IF($A48=FALSE,0,INDEX('RPS by State'!W:W,MATCH($C48,'RPS by State'!$B:$B,0))),0)</f>
        <v>0.22213303847470614</v>
      </c>
      <c r="M48" s="100">
        <f>IFERROR(IF($A48=FALSE,0,INDEX('RPS by State'!X:X,MATCH($C48,'RPS by State'!$B:$B,0))),0)</f>
        <v>0.24865638635228304</v>
      </c>
      <c r="N48" s="100">
        <f>IFERROR(IF($A48=FALSE,0,INDEX('RPS by State'!Y:Y,MATCH($C48,'RPS by State'!$B:$B,0))),0)</f>
        <v>0.27766629809338272</v>
      </c>
      <c r="O48" s="100">
        <f>IFERROR(IF($A48=FALSE,0,INDEX('RPS by State'!Z:Z,MATCH($C48,'RPS by State'!$B:$B,0))),0)</f>
        <v>0.30667620983448241</v>
      </c>
      <c r="P48" s="100">
        <f>IFERROR(IF($A48=FALSE,0,INDEX('RPS by State'!AA:AA,MATCH($C48,'RPS by State'!$B:$B,0))),0)</f>
        <v>0.33568612157558209</v>
      </c>
      <c r="Q48" s="100">
        <f>IFERROR(IF($A48=FALSE,0,INDEX('RPS by State'!AB:AB,MATCH($C48,'RPS by State'!$B:$B,0))),0)</f>
        <v>0.36469603331668177</v>
      </c>
      <c r="R48" s="100">
        <f>IFERROR(IF($A48=FALSE,0,INDEX('RPS by State'!AC:AC,MATCH($C48,'RPS by State'!$B:$B,0))),0)</f>
        <v>0.39370594505778145</v>
      </c>
      <c r="S48" s="100">
        <f>IFERROR(IF($A48=FALSE,0,INDEX('RPS by State'!AD:AD,MATCH($C48,'RPS by State'!$B:$B,0))),0)</f>
        <v>0.42271585679888113</v>
      </c>
      <c r="T48" s="100">
        <f>IFERROR(IF($A48=FALSE,0,INDEX('RPS by State'!AE:AE,MATCH($C48,'RPS by State'!$B:$B,0))),0)</f>
        <v>0.45172576853998081</v>
      </c>
      <c r="U48" s="100">
        <f>IFERROR(IF($A48=FALSE,0,INDEX('RPS by State'!AF:AF,MATCH($C48,'RPS by State'!$B:$B,0))),0)</f>
        <v>0.48073568028108049</v>
      </c>
      <c r="V48" s="100">
        <f>IFERROR(IF($A48=FALSE,0,INDEX('RPS by State'!AG:AG,MATCH($C48,'RPS by State'!$B:$B,0))),0)</f>
        <v>0.50974559202218017</v>
      </c>
      <c r="W48" s="100">
        <f>IFERROR(IF($A48=FALSE,0,INDEX('RPS by State'!AH:AH,MATCH($C48,'RPS by State'!$B:$B,0))),0)</f>
        <v>0.53875550376327985</v>
      </c>
      <c r="X48" s="100">
        <f>IFERROR(IF($A48=FALSE,0,INDEX('RPS by State'!AI:AI,MATCH($C48,'RPS by State'!$B:$B,0))),0)</f>
        <v>0.56776541550437953</v>
      </c>
      <c r="Y48" s="100">
        <f>IFERROR(IF($A48=FALSE,0,INDEX('RPS by State'!AJ:AJ,MATCH($C48,'RPS by State'!$B:$B,0))),0)</f>
        <v>0.59677532724547921</v>
      </c>
      <c r="Z48" s="100">
        <f>IFERROR(IF($A48=FALSE,0,INDEX('RPS by State'!AK:AK,MATCH($C48,'RPS by State'!$B:$B,0))),0)</f>
        <v>0.6257852389865789</v>
      </c>
      <c r="AA48" s="100">
        <f>IFERROR(IF($A48=FALSE,0,INDEX('RPS by State'!AL:AL,MATCH($C48,'RPS by State'!$B:$B,0))),0)</f>
        <v>0.65479515072767858</v>
      </c>
      <c r="AB48" s="100">
        <f>IFERROR(IF($A48=FALSE,0,INDEX('RPS by State'!AM:AM,MATCH($C48,'RPS by State'!$B:$B,0))),0)</f>
        <v>0.68380506246877826</v>
      </c>
      <c r="AC48" s="100">
        <f>IFERROR(IF($A48=FALSE,0,INDEX('RPS by State'!AN:AN,MATCH($C48,'RPS by State'!$B:$B,0))),0)</f>
        <v>0.71281497420987794</v>
      </c>
      <c r="AD48" s="100">
        <f>IFERROR(IF($A48=FALSE,0,INDEX('RPS by State'!AO:AO,MATCH($C48,'RPS by State'!$B:$B,0))),0)</f>
        <v>0.74182488595097762</v>
      </c>
      <c r="AE48" s="100">
        <f>IFERROR(IF($A48=FALSE,0,INDEX('RPS by State'!AP:AP,MATCH($C48,'RPS by State'!$B:$B,0))),0)</f>
        <v>0.7708347976920773</v>
      </c>
      <c r="AF48" s="100">
        <f>IFERROR(IF($A48=FALSE,0,INDEX('RPS by State'!AQ:AQ,MATCH($C48,'RPS by State'!$B:$B,0))),0)</f>
        <v>0.79984470943317698</v>
      </c>
      <c r="AG48" s="100">
        <f>IFERROR(IF($A48=FALSE,0,INDEX('RPS by State'!AR:AR,MATCH($C48,'RPS by State'!$B:$B,0))),0)</f>
        <v>0.82885462117427677</v>
      </c>
      <c r="AH48" s="100">
        <f>IFERROR(IF($A48=FALSE,0,INDEX('RPS by State'!AS:AS,MATCH($C48,'RPS by State'!$B:$B,0))),0)</f>
        <v>0</v>
      </c>
      <c r="AI48" s="100">
        <f>IFERROR(IF($A48=FALSE,0,INDEX('RPS by State'!AT:AT,MATCH($C48,'RPS by State'!$B:$B,0))),0)</f>
        <v>0</v>
      </c>
      <c r="AJ48" s="100">
        <f>IFERROR(IF($A48=FALSE,0,INDEX('RPS by State'!AU:AU,MATCH($C48,'RPS by State'!$B:$B,0))),0)</f>
        <v>0</v>
      </c>
      <c r="AK48" s="100">
        <f>IFERROR(IF($A48=FALSE,0,INDEX('RPS by State'!AV:AV,MATCH($C48,'RPS by State'!$B:$B,0))),0)</f>
        <v>0</v>
      </c>
      <c r="AL48" s="100">
        <f>IFERROR(IF($A48=FALSE,0,INDEX('RPS by State'!AW:AW,MATCH($C48,'RPS by State'!$B:$B,0))),0)</f>
        <v>0</v>
      </c>
      <c r="AM48" s="100">
        <f>IFERROR(IF($A48=FALSE,0,INDEX('RPS by State'!AX:AX,MATCH($C48,'RPS by State'!$B:$B,0))),0)</f>
        <v>0</v>
      </c>
      <c r="AN48" s="100">
        <f>IFERROR(IF($A48=FALSE,0,INDEX('RPS by State'!AY:AY,MATCH($C48,'RPS by State'!$B:$B,0))),0)</f>
        <v>0</v>
      </c>
      <c r="AO48" s="100">
        <f>IFERROR(IF($A48=FALSE,0,INDEX('RPS by State'!AZ:AZ,MATCH($C48,'RPS by State'!$B:$B,0))),0)</f>
        <v>0</v>
      </c>
      <c r="AP48" s="100">
        <f>IFERROR(IF($A48=FALSE,0,INDEX('RPS by State'!BA:BA,MATCH($C48,'RPS by State'!$B:$B,0))),0)</f>
        <v>0</v>
      </c>
      <c r="AQ48" s="100">
        <f>IFERROR(IF($A48=FALSE,0,INDEX('RPS by State'!BB:BB,MATCH($C48,'RPS by State'!$B:$B,0))),0)</f>
        <v>0</v>
      </c>
      <c r="AR48" s="100">
        <f>IFERROR(IF($A48=FALSE,0,INDEX('RPS by State'!BC:BC,MATCH($C48,'RPS by State'!$B:$B,0))),0)</f>
        <v>0</v>
      </c>
      <c r="AS48" s="100">
        <f>IFERROR(IF($A48=FALSE,0,INDEX('RPS by State'!BD:BD,MATCH($C48,'RPS by State'!$B:$B,0))),0)</f>
        <v>0</v>
      </c>
      <c r="AT48" s="100">
        <f>IFERROR(IF($A48=FALSE,0,INDEX('RPS by State'!BE:BE,MATCH($C48,'RPS by State'!$B:$B,0))),0)</f>
        <v>0</v>
      </c>
      <c r="AU48" s="100">
        <f>IFERROR(IF($A48=FALSE,0,INDEX('RPS by State'!BF:BF,MATCH($C48,'RPS by State'!$B:$B,0))),0)</f>
        <v>0</v>
      </c>
      <c r="AV48" s="100">
        <f>IFERROR(IF($A48=FALSE,0,INDEX('RPS by State'!BG:BG,MATCH($C48,'RPS by State'!$B:$B,0))),0)</f>
        <v>0</v>
      </c>
      <c r="AW48" s="100">
        <f>IFERROR(IF($A48=FALSE,0,INDEX('RPS by State'!BH:BH,MATCH($C48,'RPS by State'!$B:$B,0))),0)</f>
        <v>0</v>
      </c>
      <c r="AX48" s="100">
        <f>IFERROR(IF($A48=FALSE,0,INDEX('RPS by State'!BI:BI,MATCH($C48,'RPS by State'!$B:$B,0))),0)</f>
        <v>0</v>
      </c>
      <c r="AY48" s="100">
        <f>IFERROR(IF($A48=FALSE,0,INDEX('RPS by State'!BJ:BJ,MATCH($C48,'RPS by State'!$B:$B,0))),0)</f>
        <v>0</v>
      </c>
      <c r="AZ48" s="100">
        <f>IFERROR(IF($A48=FALSE,0,INDEX('RPS by State'!BK:BK,MATCH($C48,'RPS by State'!$B:$B,0))),0)</f>
        <v>0</v>
      </c>
      <c r="BA48" s="100">
        <f>IFERROR(IF($A48=FALSE,0,INDEX('RPS by State'!BL:BL,MATCH($C48,'RPS by State'!$B:$B,0))),0)</f>
        <v>0</v>
      </c>
      <c r="BB48" s="100">
        <f>IFERROR(IF($A48=FALSE,0,INDEX('RPS by State'!BM:BM,MATCH($C48,'RPS by State'!$B:$B,0))),0)</f>
        <v>0</v>
      </c>
      <c r="BC48" s="100">
        <f>IFERROR(IF($A48=FALSE,0,INDEX('RPS by State'!BN:BN,MATCH($C48,'RPS by State'!$B:$B,0))),0)</f>
        <v>0</v>
      </c>
      <c r="BD48" s="100">
        <f>IFERROR(IF($A48=FALSE,0,INDEX('RPS by State'!BO:BO,MATCH($C48,'RPS by State'!$B:$B,0))),0)</f>
        <v>0</v>
      </c>
      <c r="BE48" s="100">
        <f>IFERROR(IF($A48=FALSE,0,INDEX('RPS by State'!BP:BP,MATCH($C48,'RPS by State'!$B:$B,0))),0)</f>
        <v>0</v>
      </c>
      <c r="BF48" s="100">
        <f>IFERROR(IF($A48=FALSE,0,INDEX('RPS by State'!BQ:BQ,MATCH($C48,'RPS by State'!$B:$B,0))),0)</f>
        <v>0</v>
      </c>
      <c r="BG48" s="100">
        <f>IFERROR(IF($A48=FALSE,0,INDEX('RPS by State'!BR:BR,MATCH($C48,'RPS by State'!$B:$B,0))),0)</f>
        <v>0</v>
      </c>
      <c r="BH48" s="100">
        <f>IFERROR(IF($A48=FALSE,0,INDEX('RPS by State'!BS:BS,MATCH($C48,'RPS by State'!$B:$B,0))),0)</f>
        <v>0</v>
      </c>
      <c r="BI48" s="100">
        <f>IFERROR(IF($A48=FALSE,0,INDEX('RPS by State'!BT:BT,MATCH($C48,'RPS by State'!$B:$B,0))),0)</f>
        <v>0</v>
      </c>
      <c r="BJ48" s="100">
        <f>IFERROR(IF($A48=FALSE,0,INDEX('RPS by State'!BU:BU,MATCH($C48,'RPS by State'!$B:$B,0))),0)</f>
        <v>0</v>
      </c>
      <c r="BK48" s="100">
        <f>IFERROR(IF($A48=FALSE,0,INDEX('RPS by State'!BV:BV,MATCH($C48,'RPS by State'!$B:$B,0))),0)</f>
        <v>0</v>
      </c>
      <c r="BL48" s="100">
        <f>IFERROR(IF($A48=FALSE,0,INDEX('RPS by State'!BW:BW,MATCH($C48,'RPS by State'!$B:$B,0))),0)</f>
        <v>0</v>
      </c>
      <c r="BM48" s="100">
        <f>IFERROR(IF($A48=FALSE,0,INDEX('RPS by State'!BX:BX,MATCH($C48,'RPS by State'!$B:$B,0))),0)</f>
        <v>0</v>
      </c>
      <c r="BN48" s="100">
        <f>IFERROR(IF($A48=FALSE,0,INDEX('RPS by State'!BY:BY,MATCH($C48,'RPS by State'!$B:$B,0))),0)</f>
        <v>0</v>
      </c>
      <c r="BO48" s="100">
        <f>IFERROR(IF($A48=FALSE,0,INDEX('RPS by State'!BZ:BZ,MATCH($C48,'RPS by State'!$B:$B,0))),0)</f>
        <v>0</v>
      </c>
      <c r="BP48" s="100">
        <f>IFERROR(IF($A48=FALSE,0,INDEX('RPS by State'!CA:CA,MATCH($C48,'RPS by State'!$B:$B,0))),0)</f>
        <v>0</v>
      </c>
      <c r="BQ48" s="100">
        <f>IFERROR(IF($A48=FALSE,0,INDEX('RPS by State'!CB:CB,MATCH($C48,'RPS by State'!$B:$B,0))),0)</f>
        <v>0</v>
      </c>
      <c r="BR48" s="100">
        <f>IFERROR(IF($A48=FALSE,0,INDEX('RPS by State'!CC:CC,MATCH($C48,'RPS by State'!$B:$B,0))),0)</f>
        <v>0</v>
      </c>
      <c r="BS48" s="100">
        <f>IFERROR(IF($A48=FALSE,0,INDEX('RPS by State'!CD:CD,MATCH($C48,'RPS by State'!$B:$B,0))),0)</f>
        <v>0</v>
      </c>
      <c r="BT48" s="100">
        <f>IFERROR(IF($A48=FALSE,0,INDEX('RPS by State'!CE:CE,MATCH($C48,'RPS by State'!$B:$B,0))),0)</f>
        <v>0</v>
      </c>
      <c r="BU48" s="100">
        <f>IFERROR(IF($A48=FALSE,0,INDEX('RPS by State'!CF:CF,MATCH($C48,'RPS by State'!$B:$B,0))),0)</f>
        <v>0</v>
      </c>
      <c r="BV48" s="100">
        <f>IFERROR(IF($A48=FALSE,0,INDEX('RPS by State'!CG:CG,MATCH($C48,'RPS by State'!$B:$B,0))),0)</f>
        <v>0</v>
      </c>
      <c r="BW48" s="100">
        <f>IFERROR(IF($A48=FALSE,0,INDEX('RPS by State'!CH:CH,MATCH($C48,'RPS by State'!$B:$B,0))),0)</f>
        <v>0</v>
      </c>
      <c r="BX48" s="100">
        <f>IFERROR(IF($A48=FALSE,0,INDEX('RPS by State'!CI:CI,MATCH($C48,'RPS by State'!$B:$B,0))),0)</f>
        <v>0</v>
      </c>
      <c r="BY48" s="100">
        <f>IFERROR(IF($A48=FALSE,0,INDEX('RPS by State'!CJ:CJ,MATCH($C48,'RPS by State'!$B:$B,0))),0)</f>
        <v>0</v>
      </c>
      <c r="BZ48" s="100">
        <f>IFERROR(IF($A48=FALSE,0,INDEX('RPS by State'!CK:CK,MATCH($C48,'RPS by State'!$B:$B,0))),0)</f>
        <v>0</v>
      </c>
      <c r="CA48" s="100">
        <f>IFERROR(IF($A48=FALSE,0,INDEX('RPS by State'!CL:CL,MATCH($C48,'RPS by State'!$B:$B,0))),0)</f>
        <v>0</v>
      </c>
      <c r="CB48" s="100">
        <f>IFERROR(IF($A48=FALSE,0,INDEX('RPS by State'!CM:CM,MATCH($C48,'RPS by State'!$B:$B,0))),0)</f>
        <v>0</v>
      </c>
      <c r="CC48" s="100">
        <f>IFERROR(IF($A48=FALSE,0,INDEX('RPS by State'!CN:CN,MATCH($C48,'RPS by State'!$B:$B,0))),0)</f>
        <v>0</v>
      </c>
      <c r="CD48" s="100">
        <f>IFERROR(IF($A48=FALSE,0,INDEX('RPS by State'!CO:CO,MATCH($C48,'RPS by State'!$B:$B,0))),0)</f>
        <v>0</v>
      </c>
      <c r="CE48" s="100">
        <f>IFERROR(IF($A48=FALSE,0,INDEX('RPS by State'!CP:CP,MATCH($C48,'RPS by State'!$B:$B,0))),0)</f>
        <v>0</v>
      </c>
    </row>
    <row r="49" spans="1:83" x14ac:dyDescent="0.25">
      <c r="A49" t="b">
        <f>IFERROR(INDEX('RPS by State'!G:G,MATCH(B49,'RPS by State'!A:A,0)),0)</f>
        <v>1</v>
      </c>
      <c r="B49" s="120" t="s">
        <v>125</v>
      </c>
      <c r="C49" s="120" t="str">
        <f>IFERROR(INDEX(About!L:L,MATCH(B49,About!K:K,0)),0)</f>
        <v>WA</v>
      </c>
      <c r="D49" s="100">
        <f>IFERROR(IF($A49=FALSE,0,INDEX('RPS by State'!O:O,MATCH($C49,'RPS by State'!$B:$B,0))),0)</f>
        <v>0.15436766739064367</v>
      </c>
      <c r="E49" s="100">
        <f>IFERROR(IF($A49=FALSE,0,INDEX('RPS by State'!P:P,MATCH($C49,'RPS by State'!$B:$B,0))),0)</f>
        <v>0.18289212766934956</v>
      </c>
      <c r="F49" s="100">
        <f>IFERROR(IF($A49=FALSE,0,INDEX('RPS by State'!Q:Q,MATCH($C49,'RPS by State'!$B:$B,0))),0)</f>
        <v>0.21141658794805546</v>
      </c>
      <c r="G49" s="100">
        <f>IFERROR(IF($A49=FALSE,0,INDEX('RPS by State'!R:R,MATCH($C49,'RPS by State'!$B:$B,0))),0)</f>
        <v>0.23994104822676135</v>
      </c>
      <c r="H49" s="100">
        <f>IFERROR(IF($A49=FALSE,0,INDEX('RPS by State'!S:S,MATCH($C49,'RPS by State'!$B:$B,0))),0)</f>
        <v>0.26846550850546724</v>
      </c>
      <c r="I49" s="100">
        <f>IFERROR(IF($A49=FALSE,0,INDEX('RPS by State'!T:T,MATCH($C49,'RPS by State'!$B:$B,0))),0)</f>
        <v>0.29698996878417316</v>
      </c>
      <c r="J49" s="100">
        <f>IFERROR(IF($A49=FALSE,0,INDEX('RPS by State'!U:U,MATCH($C49,'RPS by State'!$B:$B,0))),0)</f>
        <v>0.32551442906287908</v>
      </c>
      <c r="K49" s="100">
        <f>IFERROR(IF($A49=FALSE,0,INDEX('RPS by State'!V:V,MATCH($C49,'RPS by State'!$B:$B,0))),0)</f>
        <v>0.35403888934158501</v>
      </c>
      <c r="L49" s="100">
        <f>IFERROR(IF($A49=FALSE,0,INDEX('RPS by State'!W:W,MATCH($C49,'RPS by State'!$B:$B,0))),0)</f>
        <v>0.38256334962029093</v>
      </c>
      <c r="M49" s="100">
        <f>IFERROR(IF($A49=FALSE,0,INDEX('RPS by State'!X:X,MATCH($C49,'RPS by State'!$B:$B,0))),0)</f>
        <v>0.41108780989899685</v>
      </c>
      <c r="N49" s="100">
        <f>IFERROR(IF($A49=FALSE,0,INDEX('RPS by State'!Y:Y,MATCH($C49,'RPS by State'!$B:$B,0))),0)</f>
        <v>0.43961227017770277</v>
      </c>
      <c r="O49" s="100">
        <f>IFERROR(IF($A49=FALSE,0,INDEX('RPS by State'!Z:Z,MATCH($C49,'RPS by State'!$B:$B,0))),0)</f>
        <v>0.46813673045640869</v>
      </c>
      <c r="P49" s="100">
        <f>IFERROR(IF($A49=FALSE,0,INDEX('RPS by State'!AA:AA,MATCH($C49,'RPS by State'!$B:$B,0))),0)</f>
        <v>0.49666119073511461</v>
      </c>
      <c r="Q49" s="100">
        <f>IFERROR(IF($A49=FALSE,0,INDEX('RPS by State'!AB:AB,MATCH($C49,'RPS by State'!$B:$B,0))),0)</f>
        <v>0.52518565101382053</v>
      </c>
      <c r="R49" s="100">
        <f>IFERROR(IF($A49=FALSE,0,INDEX('RPS by State'!AC:AC,MATCH($C49,'RPS by State'!$B:$B,0))),0)</f>
        <v>0.55371011129252645</v>
      </c>
      <c r="S49" s="100">
        <f>IFERROR(IF($A49=FALSE,0,INDEX('RPS by State'!AD:AD,MATCH($C49,'RPS by State'!$B:$B,0))),0)</f>
        <v>0.58223457157123237</v>
      </c>
      <c r="T49" s="100">
        <f>IFERROR(IF($A49=FALSE,0,INDEX('RPS by State'!AE:AE,MATCH($C49,'RPS by State'!$B:$B,0))),0)</f>
        <v>0.61075903184993829</v>
      </c>
      <c r="U49" s="100">
        <f>IFERROR(IF($A49=FALSE,0,INDEX('RPS by State'!AF:AF,MATCH($C49,'RPS by State'!$B:$B,0))),0)</f>
        <v>0.63928349212864422</v>
      </c>
      <c r="V49" s="100">
        <f>IFERROR(IF($A49=FALSE,0,INDEX('RPS by State'!AG:AG,MATCH($C49,'RPS by State'!$B:$B,0))),0)</f>
        <v>0.66780795240735014</v>
      </c>
      <c r="W49" s="100">
        <f>IFERROR(IF($A49=FALSE,0,INDEX('RPS by State'!AH:AH,MATCH($C49,'RPS by State'!$B:$B,0))),0)</f>
        <v>0.69633241268605606</v>
      </c>
      <c r="X49" s="100">
        <f>IFERROR(IF($A49=FALSE,0,INDEX('RPS by State'!AI:AI,MATCH($C49,'RPS by State'!$B:$B,0))),0)</f>
        <v>0.72485687296476198</v>
      </c>
      <c r="Y49" s="100">
        <f>IFERROR(IF($A49=FALSE,0,INDEX('RPS by State'!AJ:AJ,MATCH($C49,'RPS by State'!$B:$B,0))),0)</f>
        <v>0.7533813332434679</v>
      </c>
      <c r="Z49" s="100">
        <f>IFERROR(IF($A49=FALSE,0,INDEX('RPS by State'!AK:AK,MATCH($C49,'RPS by State'!$B:$B,0))),0)</f>
        <v>0.78190579352217382</v>
      </c>
      <c r="AA49" s="100">
        <f>IFERROR(IF($A49=FALSE,0,INDEX('RPS by State'!AL:AL,MATCH($C49,'RPS by State'!$B:$B,0))),0)</f>
        <v>0.81043025380087974</v>
      </c>
      <c r="AB49" s="100">
        <f>IFERROR(IF($A49=FALSE,0,INDEX('RPS by State'!AM:AM,MATCH($C49,'RPS by State'!$B:$B,0))),0)</f>
        <v>0.83895471407958522</v>
      </c>
      <c r="AC49" s="100">
        <f>IFERROR(IF($A49=FALSE,0,INDEX('RPS by State'!AN:AN,MATCH($C49,'RPS by State'!$B:$B,0))),0)</f>
        <v>0.83895471407958522</v>
      </c>
      <c r="AD49" s="100">
        <f>IFERROR(IF($A49=FALSE,0,INDEX('RPS by State'!AO:AO,MATCH($C49,'RPS by State'!$B:$B,0))),0)</f>
        <v>0.83895471407958522</v>
      </c>
      <c r="AE49" s="100">
        <f>IFERROR(IF($A49=FALSE,0,INDEX('RPS by State'!AP:AP,MATCH($C49,'RPS by State'!$B:$B,0))),0)</f>
        <v>0.83895471407958522</v>
      </c>
      <c r="AF49" s="100">
        <f>IFERROR(IF($A49=FALSE,0,INDEX('RPS by State'!AQ:AQ,MATCH($C49,'RPS by State'!$B:$B,0))),0)</f>
        <v>0.83895471407958522</v>
      </c>
      <c r="AG49" s="100">
        <f>IFERROR(IF($A49=FALSE,0,INDEX('RPS by State'!AR:AR,MATCH($C49,'RPS by State'!$B:$B,0))),0)</f>
        <v>0.83895471407958522</v>
      </c>
      <c r="AH49" s="100">
        <f>IFERROR(IF($A49=FALSE,0,INDEX('RPS by State'!AS:AS,MATCH($C49,'RPS by State'!$B:$B,0))),0)</f>
        <v>0</v>
      </c>
      <c r="AI49" s="100">
        <f>IFERROR(IF($A49=FALSE,0,INDEX('RPS by State'!AT:AT,MATCH($C49,'RPS by State'!$B:$B,0))),0)</f>
        <v>0</v>
      </c>
      <c r="AJ49" s="100">
        <f>IFERROR(IF($A49=FALSE,0,INDEX('RPS by State'!AU:AU,MATCH($C49,'RPS by State'!$B:$B,0))),0)</f>
        <v>0</v>
      </c>
      <c r="AK49" s="100">
        <f>IFERROR(IF($A49=FALSE,0,INDEX('RPS by State'!AV:AV,MATCH($C49,'RPS by State'!$B:$B,0))),0)</f>
        <v>0</v>
      </c>
      <c r="AL49" s="100">
        <f>IFERROR(IF($A49=FALSE,0,INDEX('RPS by State'!AW:AW,MATCH($C49,'RPS by State'!$B:$B,0))),0)</f>
        <v>0</v>
      </c>
      <c r="AM49" s="100">
        <f>IFERROR(IF($A49=FALSE,0,INDEX('RPS by State'!AX:AX,MATCH($C49,'RPS by State'!$B:$B,0))),0)</f>
        <v>0</v>
      </c>
      <c r="AN49" s="100">
        <f>IFERROR(IF($A49=FALSE,0,INDEX('RPS by State'!AY:AY,MATCH($C49,'RPS by State'!$B:$B,0))),0)</f>
        <v>0</v>
      </c>
      <c r="AO49" s="100">
        <f>IFERROR(IF($A49=FALSE,0,INDEX('RPS by State'!AZ:AZ,MATCH($C49,'RPS by State'!$B:$B,0))),0)</f>
        <v>0</v>
      </c>
      <c r="AP49" s="100">
        <f>IFERROR(IF($A49=FALSE,0,INDEX('RPS by State'!BA:BA,MATCH($C49,'RPS by State'!$B:$B,0))),0)</f>
        <v>0</v>
      </c>
      <c r="AQ49" s="100">
        <f>IFERROR(IF($A49=FALSE,0,INDEX('RPS by State'!BB:BB,MATCH($C49,'RPS by State'!$B:$B,0))),0)</f>
        <v>0</v>
      </c>
      <c r="AR49" s="100">
        <f>IFERROR(IF($A49=FALSE,0,INDEX('RPS by State'!BC:BC,MATCH($C49,'RPS by State'!$B:$B,0))),0)</f>
        <v>0</v>
      </c>
      <c r="AS49" s="100">
        <f>IFERROR(IF($A49=FALSE,0,INDEX('RPS by State'!BD:BD,MATCH($C49,'RPS by State'!$B:$B,0))),0)</f>
        <v>0</v>
      </c>
      <c r="AT49" s="100">
        <f>IFERROR(IF($A49=FALSE,0,INDEX('RPS by State'!BE:BE,MATCH($C49,'RPS by State'!$B:$B,0))),0)</f>
        <v>0</v>
      </c>
      <c r="AU49" s="100">
        <f>IFERROR(IF($A49=FALSE,0,INDEX('RPS by State'!BF:BF,MATCH($C49,'RPS by State'!$B:$B,0))),0)</f>
        <v>0</v>
      </c>
      <c r="AV49" s="100">
        <f>IFERROR(IF($A49=FALSE,0,INDEX('RPS by State'!BG:BG,MATCH($C49,'RPS by State'!$B:$B,0))),0)</f>
        <v>0</v>
      </c>
      <c r="AW49" s="100">
        <f>IFERROR(IF($A49=FALSE,0,INDEX('RPS by State'!BH:BH,MATCH($C49,'RPS by State'!$B:$B,0))),0)</f>
        <v>0</v>
      </c>
      <c r="AX49" s="100">
        <f>IFERROR(IF($A49=FALSE,0,INDEX('RPS by State'!BI:BI,MATCH($C49,'RPS by State'!$B:$B,0))),0)</f>
        <v>0</v>
      </c>
      <c r="AY49" s="100">
        <f>IFERROR(IF($A49=FALSE,0,INDEX('RPS by State'!BJ:BJ,MATCH($C49,'RPS by State'!$B:$B,0))),0)</f>
        <v>0</v>
      </c>
      <c r="AZ49" s="100">
        <f>IFERROR(IF($A49=FALSE,0,INDEX('RPS by State'!BK:BK,MATCH($C49,'RPS by State'!$B:$B,0))),0)</f>
        <v>0</v>
      </c>
      <c r="BA49" s="100">
        <f>IFERROR(IF($A49=FALSE,0,INDEX('RPS by State'!BL:BL,MATCH($C49,'RPS by State'!$B:$B,0))),0)</f>
        <v>0</v>
      </c>
      <c r="BB49" s="100">
        <f>IFERROR(IF($A49=FALSE,0,INDEX('RPS by State'!BM:BM,MATCH($C49,'RPS by State'!$B:$B,0))),0)</f>
        <v>0</v>
      </c>
      <c r="BC49" s="100">
        <f>IFERROR(IF($A49=FALSE,0,INDEX('RPS by State'!BN:BN,MATCH($C49,'RPS by State'!$B:$B,0))),0)</f>
        <v>0</v>
      </c>
      <c r="BD49" s="100">
        <f>IFERROR(IF($A49=FALSE,0,INDEX('RPS by State'!BO:BO,MATCH($C49,'RPS by State'!$B:$B,0))),0)</f>
        <v>0</v>
      </c>
      <c r="BE49" s="100">
        <f>IFERROR(IF($A49=FALSE,0,INDEX('RPS by State'!BP:BP,MATCH($C49,'RPS by State'!$B:$B,0))),0)</f>
        <v>0</v>
      </c>
      <c r="BF49" s="100">
        <f>IFERROR(IF($A49=FALSE,0,INDEX('RPS by State'!BQ:BQ,MATCH($C49,'RPS by State'!$B:$B,0))),0)</f>
        <v>0</v>
      </c>
      <c r="BG49" s="100">
        <f>IFERROR(IF($A49=FALSE,0,INDEX('RPS by State'!BR:BR,MATCH($C49,'RPS by State'!$B:$B,0))),0)</f>
        <v>0</v>
      </c>
      <c r="BH49" s="100">
        <f>IFERROR(IF($A49=FALSE,0,INDEX('RPS by State'!BS:BS,MATCH($C49,'RPS by State'!$B:$B,0))),0)</f>
        <v>0</v>
      </c>
      <c r="BI49" s="100">
        <f>IFERROR(IF($A49=FALSE,0,INDEX('RPS by State'!BT:BT,MATCH($C49,'RPS by State'!$B:$B,0))),0)</f>
        <v>0</v>
      </c>
      <c r="BJ49" s="100">
        <f>IFERROR(IF($A49=FALSE,0,INDEX('RPS by State'!BU:BU,MATCH($C49,'RPS by State'!$B:$B,0))),0)</f>
        <v>0</v>
      </c>
      <c r="BK49" s="100">
        <f>IFERROR(IF($A49=FALSE,0,INDEX('RPS by State'!BV:BV,MATCH($C49,'RPS by State'!$B:$B,0))),0)</f>
        <v>0</v>
      </c>
      <c r="BL49" s="100">
        <f>IFERROR(IF($A49=FALSE,0,INDEX('RPS by State'!BW:BW,MATCH($C49,'RPS by State'!$B:$B,0))),0)</f>
        <v>0</v>
      </c>
      <c r="BM49" s="100">
        <f>IFERROR(IF($A49=FALSE,0,INDEX('RPS by State'!BX:BX,MATCH($C49,'RPS by State'!$B:$B,0))),0)</f>
        <v>0</v>
      </c>
      <c r="BN49" s="100">
        <f>IFERROR(IF($A49=FALSE,0,INDEX('RPS by State'!BY:BY,MATCH($C49,'RPS by State'!$B:$B,0))),0)</f>
        <v>0</v>
      </c>
      <c r="BO49" s="100">
        <f>IFERROR(IF($A49=FALSE,0,INDEX('RPS by State'!BZ:BZ,MATCH($C49,'RPS by State'!$B:$B,0))),0)</f>
        <v>0</v>
      </c>
      <c r="BP49" s="100">
        <f>IFERROR(IF($A49=FALSE,0,INDEX('RPS by State'!CA:CA,MATCH($C49,'RPS by State'!$B:$B,0))),0)</f>
        <v>0</v>
      </c>
      <c r="BQ49" s="100">
        <f>IFERROR(IF($A49=FALSE,0,INDEX('RPS by State'!CB:CB,MATCH($C49,'RPS by State'!$B:$B,0))),0)</f>
        <v>0</v>
      </c>
      <c r="BR49" s="100">
        <f>IFERROR(IF($A49=FALSE,0,INDEX('RPS by State'!CC:CC,MATCH($C49,'RPS by State'!$B:$B,0))),0)</f>
        <v>0</v>
      </c>
      <c r="BS49" s="100">
        <f>IFERROR(IF($A49=FALSE,0,INDEX('RPS by State'!CD:CD,MATCH($C49,'RPS by State'!$B:$B,0))),0)</f>
        <v>0</v>
      </c>
      <c r="BT49" s="100">
        <f>IFERROR(IF($A49=FALSE,0,INDEX('RPS by State'!CE:CE,MATCH($C49,'RPS by State'!$B:$B,0))),0)</f>
        <v>0</v>
      </c>
      <c r="BU49" s="100">
        <f>IFERROR(IF($A49=FALSE,0,INDEX('RPS by State'!CF:CF,MATCH($C49,'RPS by State'!$B:$B,0))),0)</f>
        <v>0</v>
      </c>
      <c r="BV49" s="100">
        <f>IFERROR(IF($A49=FALSE,0,INDEX('RPS by State'!CG:CG,MATCH($C49,'RPS by State'!$B:$B,0))),0)</f>
        <v>0</v>
      </c>
      <c r="BW49" s="100">
        <f>IFERROR(IF($A49=FALSE,0,INDEX('RPS by State'!CH:CH,MATCH($C49,'RPS by State'!$B:$B,0))),0)</f>
        <v>0</v>
      </c>
      <c r="BX49" s="100">
        <f>IFERROR(IF($A49=FALSE,0,INDEX('RPS by State'!CI:CI,MATCH($C49,'RPS by State'!$B:$B,0))),0)</f>
        <v>0</v>
      </c>
      <c r="BY49" s="100">
        <f>IFERROR(IF($A49=FALSE,0,INDEX('RPS by State'!CJ:CJ,MATCH($C49,'RPS by State'!$B:$B,0))),0)</f>
        <v>0</v>
      </c>
      <c r="BZ49" s="100">
        <f>IFERROR(IF($A49=FALSE,0,INDEX('RPS by State'!CK:CK,MATCH($C49,'RPS by State'!$B:$B,0))),0)</f>
        <v>0</v>
      </c>
      <c r="CA49" s="100">
        <f>IFERROR(IF($A49=FALSE,0,INDEX('RPS by State'!CL:CL,MATCH($C49,'RPS by State'!$B:$B,0))),0)</f>
        <v>0</v>
      </c>
      <c r="CB49" s="100">
        <f>IFERROR(IF($A49=FALSE,0,INDEX('RPS by State'!CM:CM,MATCH($C49,'RPS by State'!$B:$B,0))),0)</f>
        <v>0</v>
      </c>
      <c r="CC49" s="100">
        <f>IFERROR(IF($A49=FALSE,0,INDEX('RPS by State'!CN:CN,MATCH($C49,'RPS by State'!$B:$B,0))),0)</f>
        <v>0</v>
      </c>
      <c r="CD49" s="100">
        <f>IFERROR(IF($A49=FALSE,0,INDEX('RPS by State'!CO:CO,MATCH($C49,'RPS by State'!$B:$B,0))),0)</f>
        <v>0</v>
      </c>
      <c r="CE49" s="100">
        <f>IFERROR(IF($A49=FALSE,0,INDEX('RPS by State'!CP:CP,MATCH($C49,'RPS by State'!$B:$B,0))),0)</f>
        <v>0</v>
      </c>
    </row>
    <row r="50" spans="1:83" x14ac:dyDescent="0.25">
      <c r="A50" t="b">
        <f>IFERROR(INDEX('RPS by State'!G:G,MATCH(B50,'RPS by State'!A:A,0)),0)</f>
        <v>0</v>
      </c>
      <c r="B50" s="120" t="s">
        <v>128</v>
      </c>
      <c r="C50" s="120" t="str">
        <f>IFERROR(INDEX(About!L:L,MATCH(B50,About!K:K,0)),0)</f>
        <v>WV</v>
      </c>
      <c r="D50" s="100">
        <f>IFERROR(IF($A50=FALSE,0,INDEX('RPS by State'!O:O,MATCH($C50,'RPS by State'!$B:$B,0))),0)</f>
        <v>0</v>
      </c>
      <c r="E50" s="100">
        <f>IFERROR(IF($A50=FALSE,0,INDEX('RPS by State'!P:P,MATCH($C50,'RPS by State'!$B:$B,0))),0)</f>
        <v>0</v>
      </c>
      <c r="F50" s="100">
        <f>IFERROR(IF($A50=FALSE,0,INDEX('RPS by State'!Q:Q,MATCH($C50,'RPS by State'!$B:$B,0))),0)</f>
        <v>0</v>
      </c>
      <c r="G50" s="100">
        <f>IFERROR(IF($A50=FALSE,0,INDEX('RPS by State'!R:R,MATCH($C50,'RPS by State'!$B:$B,0))),0)</f>
        <v>0</v>
      </c>
      <c r="H50" s="100">
        <f>IFERROR(IF($A50=FALSE,0,INDEX('RPS by State'!S:S,MATCH($C50,'RPS by State'!$B:$B,0))),0)</f>
        <v>0</v>
      </c>
      <c r="I50" s="100">
        <f>IFERROR(IF($A50=FALSE,0,INDEX('RPS by State'!T:T,MATCH($C50,'RPS by State'!$B:$B,0))),0)</f>
        <v>0</v>
      </c>
      <c r="J50" s="100">
        <f>IFERROR(IF($A50=FALSE,0,INDEX('RPS by State'!U:U,MATCH($C50,'RPS by State'!$B:$B,0))),0)</f>
        <v>0</v>
      </c>
      <c r="K50" s="100">
        <f>IFERROR(IF($A50=FALSE,0,INDEX('RPS by State'!V:V,MATCH($C50,'RPS by State'!$B:$B,0))),0)</f>
        <v>0</v>
      </c>
      <c r="L50" s="100">
        <f>IFERROR(IF($A50=FALSE,0,INDEX('RPS by State'!W:W,MATCH($C50,'RPS by State'!$B:$B,0))),0)</f>
        <v>0</v>
      </c>
      <c r="M50" s="100">
        <f>IFERROR(IF($A50=FALSE,0,INDEX('RPS by State'!X:X,MATCH($C50,'RPS by State'!$B:$B,0))),0)</f>
        <v>0</v>
      </c>
      <c r="N50" s="100">
        <f>IFERROR(IF($A50=FALSE,0,INDEX('RPS by State'!Y:Y,MATCH($C50,'RPS by State'!$B:$B,0))),0)</f>
        <v>0</v>
      </c>
      <c r="O50" s="100">
        <f>IFERROR(IF($A50=FALSE,0,INDEX('RPS by State'!Z:Z,MATCH($C50,'RPS by State'!$B:$B,0))),0)</f>
        <v>0</v>
      </c>
      <c r="P50" s="100">
        <f>IFERROR(IF($A50=FALSE,0,INDEX('RPS by State'!AA:AA,MATCH($C50,'RPS by State'!$B:$B,0))),0)</f>
        <v>0</v>
      </c>
      <c r="Q50" s="100">
        <f>IFERROR(IF($A50=FALSE,0,INDEX('RPS by State'!AB:AB,MATCH($C50,'RPS by State'!$B:$B,0))),0)</f>
        <v>0</v>
      </c>
      <c r="R50" s="100">
        <f>IFERROR(IF($A50=FALSE,0,INDEX('RPS by State'!AC:AC,MATCH($C50,'RPS by State'!$B:$B,0))),0)</f>
        <v>0</v>
      </c>
      <c r="S50" s="100">
        <f>IFERROR(IF($A50=FALSE,0,INDEX('RPS by State'!AD:AD,MATCH($C50,'RPS by State'!$B:$B,0))),0)</f>
        <v>0</v>
      </c>
      <c r="T50" s="100">
        <f>IFERROR(IF($A50=FALSE,0,INDEX('RPS by State'!AE:AE,MATCH($C50,'RPS by State'!$B:$B,0))),0)</f>
        <v>0</v>
      </c>
      <c r="U50" s="100">
        <f>IFERROR(IF($A50=FALSE,0,INDEX('RPS by State'!AF:AF,MATCH($C50,'RPS by State'!$B:$B,0))),0)</f>
        <v>0</v>
      </c>
      <c r="V50" s="100">
        <f>IFERROR(IF($A50=FALSE,0,INDEX('RPS by State'!AG:AG,MATCH($C50,'RPS by State'!$B:$B,0))),0)</f>
        <v>0</v>
      </c>
      <c r="W50" s="100">
        <f>IFERROR(IF($A50=FALSE,0,INDEX('RPS by State'!AH:AH,MATCH($C50,'RPS by State'!$B:$B,0))),0)</f>
        <v>0</v>
      </c>
      <c r="X50" s="100">
        <f>IFERROR(IF($A50=FALSE,0,INDEX('RPS by State'!AI:AI,MATCH($C50,'RPS by State'!$B:$B,0))),0)</f>
        <v>0</v>
      </c>
      <c r="Y50" s="100">
        <f>IFERROR(IF($A50=FALSE,0,INDEX('RPS by State'!AJ:AJ,MATCH($C50,'RPS by State'!$B:$B,0))),0)</f>
        <v>0</v>
      </c>
      <c r="Z50" s="100">
        <f>IFERROR(IF($A50=FALSE,0,INDEX('RPS by State'!AK:AK,MATCH($C50,'RPS by State'!$B:$B,0))),0)</f>
        <v>0</v>
      </c>
      <c r="AA50" s="100">
        <f>IFERROR(IF($A50=FALSE,0,INDEX('RPS by State'!AL:AL,MATCH($C50,'RPS by State'!$B:$B,0))),0)</f>
        <v>0</v>
      </c>
      <c r="AB50" s="100">
        <f>IFERROR(IF($A50=FALSE,0,INDEX('RPS by State'!AM:AM,MATCH($C50,'RPS by State'!$B:$B,0))),0)</f>
        <v>0</v>
      </c>
      <c r="AC50" s="100">
        <f>IFERROR(IF($A50=FALSE,0,INDEX('RPS by State'!AN:AN,MATCH($C50,'RPS by State'!$B:$B,0))),0)</f>
        <v>0</v>
      </c>
      <c r="AD50" s="100">
        <f>IFERROR(IF($A50=FALSE,0,INDEX('RPS by State'!AO:AO,MATCH($C50,'RPS by State'!$B:$B,0))),0)</f>
        <v>0</v>
      </c>
      <c r="AE50" s="100">
        <f>IFERROR(IF($A50=FALSE,0,INDEX('RPS by State'!AP:AP,MATCH($C50,'RPS by State'!$B:$B,0))),0)</f>
        <v>0</v>
      </c>
      <c r="AF50" s="100">
        <f>IFERROR(IF($A50=FALSE,0,INDEX('RPS by State'!AQ:AQ,MATCH($C50,'RPS by State'!$B:$B,0))),0)</f>
        <v>0</v>
      </c>
      <c r="AG50" s="100">
        <f>IFERROR(IF($A50=FALSE,0,INDEX('RPS by State'!AR:AR,MATCH($C50,'RPS by State'!$B:$B,0))),0)</f>
        <v>0</v>
      </c>
      <c r="AH50" s="100">
        <f>IFERROR(IF($A50=FALSE,0,INDEX('RPS by State'!AS:AS,MATCH($C50,'RPS by State'!$B:$B,0))),0)</f>
        <v>0</v>
      </c>
      <c r="AI50" s="100">
        <f>IFERROR(IF($A50=FALSE,0,INDEX('RPS by State'!AT:AT,MATCH($C50,'RPS by State'!$B:$B,0))),0)</f>
        <v>0</v>
      </c>
      <c r="AJ50" s="100">
        <f>IFERROR(IF($A50=FALSE,0,INDEX('RPS by State'!AU:AU,MATCH($C50,'RPS by State'!$B:$B,0))),0)</f>
        <v>0</v>
      </c>
      <c r="AK50" s="100">
        <f>IFERROR(IF($A50=FALSE,0,INDEX('RPS by State'!AV:AV,MATCH($C50,'RPS by State'!$B:$B,0))),0)</f>
        <v>0</v>
      </c>
      <c r="AL50" s="100">
        <f>IFERROR(IF($A50=FALSE,0,INDEX('RPS by State'!AW:AW,MATCH($C50,'RPS by State'!$B:$B,0))),0)</f>
        <v>0</v>
      </c>
      <c r="AM50" s="100">
        <f>IFERROR(IF($A50=FALSE,0,INDEX('RPS by State'!AX:AX,MATCH($C50,'RPS by State'!$B:$B,0))),0)</f>
        <v>0</v>
      </c>
      <c r="AN50" s="100">
        <f>IFERROR(IF($A50=FALSE,0,INDEX('RPS by State'!AY:AY,MATCH($C50,'RPS by State'!$B:$B,0))),0)</f>
        <v>0</v>
      </c>
      <c r="AO50" s="100">
        <f>IFERROR(IF($A50=FALSE,0,INDEX('RPS by State'!AZ:AZ,MATCH($C50,'RPS by State'!$B:$B,0))),0)</f>
        <v>0</v>
      </c>
      <c r="AP50" s="100">
        <f>IFERROR(IF($A50=FALSE,0,INDEX('RPS by State'!BA:BA,MATCH($C50,'RPS by State'!$B:$B,0))),0)</f>
        <v>0</v>
      </c>
      <c r="AQ50" s="100">
        <f>IFERROR(IF($A50=FALSE,0,INDEX('RPS by State'!BB:BB,MATCH($C50,'RPS by State'!$B:$B,0))),0)</f>
        <v>0</v>
      </c>
      <c r="AR50" s="100">
        <f>IFERROR(IF($A50=FALSE,0,INDEX('RPS by State'!BC:BC,MATCH($C50,'RPS by State'!$B:$B,0))),0)</f>
        <v>0</v>
      </c>
      <c r="AS50" s="100">
        <f>IFERROR(IF($A50=FALSE,0,INDEX('RPS by State'!BD:BD,MATCH($C50,'RPS by State'!$B:$B,0))),0)</f>
        <v>0</v>
      </c>
      <c r="AT50" s="100">
        <f>IFERROR(IF($A50=FALSE,0,INDEX('RPS by State'!BE:BE,MATCH($C50,'RPS by State'!$B:$B,0))),0)</f>
        <v>0</v>
      </c>
      <c r="AU50" s="100">
        <f>IFERROR(IF($A50=FALSE,0,INDEX('RPS by State'!BF:BF,MATCH($C50,'RPS by State'!$B:$B,0))),0)</f>
        <v>0</v>
      </c>
      <c r="AV50" s="100">
        <f>IFERROR(IF($A50=FALSE,0,INDEX('RPS by State'!BG:BG,MATCH($C50,'RPS by State'!$B:$B,0))),0)</f>
        <v>0</v>
      </c>
      <c r="AW50" s="100">
        <f>IFERROR(IF($A50=FALSE,0,INDEX('RPS by State'!BH:BH,MATCH($C50,'RPS by State'!$B:$B,0))),0)</f>
        <v>0</v>
      </c>
      <c r="AX50" s="100">
        <f>IFERROR(IF($A50=FALSE,0,INDEX('RPS by State'!BI:BI,MATCH($C50,'RPS by State'!$B:$B,0))),0)</f>
        <v>0</v>
      </c>
      <c r="AY50" s="100">
        <f>IFERROR(IF($A50=FALSE,0,INDEX('RPS by State'!BJ:BJ,MATCH($C50,'RPS by State'!$B:$B,0))),0)</f>
        <v>0</v>
      </c>
      <c r="AZ50" s="100">
        <f>IFERROR(IF($A50=FALSE,0,INDEX('RPS by State'!BK:BK,MATCH($C50,'RPS by State'!$B:$B,0))),0)</f>
        <v>0</v>
      </c>
      <c r="BA50" s="100">
        <f>IFERROR(IF($A50=FALSE,0,INDEX('RPS by State'!BL:BL,MATCH($C50,'RPS by State'!$B:$B,0))),0)</f>
        <v>0</v>
      </c>
      <c r="BB50" s="100">
        <f>IFERROR(IF($A50=FALSE,0,INDEX('RPS by State'!BM:BM,MATCH($C50,'RPS by State'!$B:$B,0))),0)</f>
        <v>0</v>
      </c>
      <c r="BC50" s="100">
        <f>IFERROR(IF($A50=FALSE,0,INDEX('RPS by State'!BN:BN,MATCH($C50,'RPS by State'!$B:$B,0))),0)</f>
        <v>0</v>
      </c>
      <c r="BD50" s="100">
        <f>IFERROR(IF($A50=FALSE,0,INDEX('RPS by State'!BO:BO,MATCH($C50,'RPS by State'!$B:$B,0))),0)</f>
        <v>0</v>
      </c>
      <c r="BE50" s="100">
        <f>IFERROR(IF($A50=FALSE,0,INDEX('RPS by State'!BP:BP,MATCH($C50,'RPS by State'!$B:$B,0))),0)</f>
        <v>0</v>
      </c>
      <c r="BF50" s="100">
        <f>IFERROR(IF($A50=FALSE,0,INDEX('RPS by State'!BQ:BQ,MATCH($C50,'RPS by State'!$B:$B,0))),0)</f>
        <v>0</v>
      </c>
      <c r="BG50" s="100">
        <f>IFERROR(IF($A50=FALSE,0,INDEX('RPS by State'!BR:BR,MATCH($C50,'RPS by State'!$B:$B,0))),0)</f>
        <v>0</v>
      </c>
      <c r="BH50" s="100">
        <f>IFERROR(IF($A50=FALSE,0,INDEX('RPS by State'!BS:BS,MATCH($C50,'RPS by State'!$B:$B,0))),0)</f>
        <v>0</v>
      </c>
      <c r="BI50" s="100">
        <f>IFERROR(IF($A50=FALSE,0,INDEX('RPS by State'!BT:BT,MATCH($C50,'RPS by State'!$B:$B,0))),0)</f>
        <v>0</v>
      </c>
      <c r="BJ50" s="100">
        <f>IFERROR(IF($A50=FALSE,0,INDEX('RPS by State'!BU:BU,MATCH($C50,'RPS by State'!$B:$B,0))),0)</f>
        <v>0</v>
      </c>
      <c r="BK50" s="100">
        <f>IFERROR(IF($A50=FALSE,0,INDEX('RPS by State'!BV:BV,MATCH($C50,'RPS by State'!$B:$B,0))),0)</f>
        <v>0</v>
      </c>
      <c r="BL50" s="100">
        <f>IFERROR(IF($A50=FALSE,0,INDEX('RPS by State'!BW:BW,MATCH($C50,'RPS by State'!$B:$B,0))),0)</f>
        <v>0</v>
      </c>
      <c r="BM50" s="100">
        <f>IFERROR(IF($A50=FALSE,0,INDEX('RPS by State'!BX:BX,MATCH($C50,'RPS by State'!$B:$B,0))),0)</f>
        <v>0</v>
      </c>
      <c r="BN50" s="100">
        <f>IFERROR(IF($A50=FALSE,0,INDEX('RPS by State'!BY:BY,MATCH($C50,'RPS by State'!$B:$B,0))),0)</f>
        <v>0</v>
      </c>
      <c r="BO50" s="100">
        <f>IFERROR(IF($A50=FALSE,0,INDEX('RPS by State'!BZ:BZ,MATCH($C50,'RPS by State'!$B:$B,0))),0)</f>
        <v>0</v>
      </c>
      <c r="BP50" s="100">
        <f>IFERROR(IF($A50=FALSE,0,INDEX('RPS by State'!CA:CA,MATCH($C50,'RPS by State'!$B:$B,0))),0)</f>
        <v>0</v>
      </c>
      <c r="BQ50" s="100">
        <f>IFERROR(IF($A50=FALSE,0,INDEX('RPS by State'!CB:CB,MATCH($C50,'RPS by State'!$B:$B,0))),0)</f>
        <v>0</v>
      </c>
      <c r="BR50" s="100">
        <f>IFERROR(IF($A50=FALSE,0,INDEX('RPS by State'!CC:CC,MATCH($C50,'RPS by State'!$B:$B,0))),0)</f>
        <v>0</v>
      </c>
      <c r="BS50" s="100">
        <f>IFERROR(IF($A50=FALSE,0,INDEX('RPS by State'!CD:CD,MATCH($C50,'RPS by State'!$B:$B,0))),0)</f>
        <v>0</v>
      </c>
      <c r="BT50" s="100">
        <f>IFERROR(IF($A50=FALSE,0,INDEX('RPS by State'!CE:CE,MATCH($C50,'RPS by State'!$B:$B,0))),0)</f>
        <v>0</v>
      </c>
      <c r="BU50" s="100">
        <f>IFERROR(IF($A50=FALSE,0,INDEX('RPS by State'!CF:CF,MATCH($C50,'RPS by State'!$B:$B,0))),0)</f>
        <v>0</v>
      </c>
      <c r="BV50" s="100">
        <f>IFERROR(IF($A50=FALSE,0,INDEX('RPS by State'!CG:CG,MATCH($C50,'RPS by State'!$B:$B,0))),0)</f>
        <v>0</v>
      </c>
      <c r="BW50" s="100">
        <f>IFERROR(IF($A50=FALSE,0,INDEX('RPS by State'!CH:CH,MATCH($C50,'RPS by State'!$B:$B,0))),0)</f>
        <v>0</v>
      </c>
      <c r="BX50" s="100">
        <f>IFERROR(IF($A50=FALSE,0,INDEX('RPS by State'!CI:CI,MATCH($C50,'RPS by State'!$B:$B,0))),0)</f>
        <v>0</v>
      </c>
      <c r="BY50" s="100">
        <f>IFERROR(IF($A50=FALSE,0,INDEX('RPS by State'!CJ:CJ,MATCH($C50,'RPS by State'!$B:$B,0))),0)</f>
        <v>0</v>
      </c>
      <c r="BZ50" s="100">
        <f>IFERROR(IF($A50=FALSE,0,INDEX('RPS by State'!CK:CK,MATCH($C50,'RPS by State'!$B:$B,0))),0)</f>
        <v>0</v>
      </c>
      <c r="CA50" s="100">
        <f>IFERROR(IF($A50=FALSE,0,INDEX('RPS by State'!CL:CL,MATCH($C50,'RPS by State'!$B:$B,0))),0)</f>
        <v>0</v>
      </c>
      <c r="CB50" s="100">
        <f>IFERROR(IF($A50=FALSE,0,INDEX('RPS by State'!CM:CM,MATCH($C50,'RPS by State'!$B:$B,0))),0)</f>
        <v>0</v>
      </c>
      <c r="CC50" s="100">
        <f>IFERROR(IF($A50=FALSE,0,INDEX('RPS by State'!CN:CN,MATCH($C50,'RPS by State'!$B:$B,0))),0)</f>
        <v>0</v>
      </c>
      <c r="CD50" s="100">
        <f>IFERROR(IF($A50=FALSE,0,INDEX('RPS by State'!CO:CO,MATCH($C50,'RPS by State'!$B:$B,0))),0)</f>
        <v>0</v>
      </c>
      <c r="CE50" s="100">
        <f>IFERROR(IF($A50=FALSE,0,INDEX('RPS by State'!CP:CP,MATCH($C50,'RPS by State'!$B:$B,0))),0)</f>
        <v>0</v>
      </c>
    </row>
    <row r="51" spans="1:83" x14ac:dyDescent="0.25">
      <c r="A51" t="b">
        <f>IFERROR(INDEX('RPS by State'!G:G,MATCH(B51,'RPS by State'!A:A,0)),0)</f>
        <v>1</v>
      </c>
      <c r="B51" s="120" t="s">
        <v>131</v>
      </c>
      <c r="C51" s="120" t="str">
        <f>IFERROR(INDEX(About!L:L,MATCH(B51,About!K:K,0)),0)</f>
        <v>WI</v>
      </c>
      <c r="D51" s="100">
        <f>IFERROR(IF($A51=FALSE,0,INDEX('RPS by State'!O:O,MATCH($C51,'RPS by State'!$B:$B,0))),0)</f>
        <v>0.1</v>
      </c>
      <c r="E51" s="100">
        <f>IFERROR(IF($A51=FALSE,0,INDEX('RPS by State'!P:P,MATCH($C51,'RPS by State'!$B:$B,0))),0)</f>
        <v>0.1</v>
      </c>
      <c r="F51" s="100">
        <f>IFERROR(IF($A51=FALSE,0,INDEX('RPS by State'!Q:Q,MATCH($C51,'RPS by State'!$B:$B,0))),0)</f>
        <v>0.1</v>
      </c>
      <c r="G51" s="100">
        <f>IFERROR(IF($A51=FALSE,0,INDEX('RPS by State'!R:R,MATCH($C51,'RPS by State'!$B:$B,0))),0)</f>
        <v>0.1</v>
      </c>
      <c r="H51" s="100">
        <f>IFERROR(IF($A51=FALSE,0,INDEX('RPS by State'!S:S,MATCH($C51,'RPS by State'!$B:$B,0))),0)</f>
        <v>0.1</v>
      </c>
      <c r="I51" s="100">
        <f>IFERROR(IF($A51=FALSE,0,INDEX('RPS by State'!T:T,MATCH($C51,'RPS by State'!$B:$B,0))),0)</f>
        <v>0.1</v>
      </c>
      <c r="J51" s="100">
        <f>IFERROR(IF($A51=FALSE,0,INDEX('RPS by State'!U:U,MATCH($C51,'RPS by State'!$B:$B,0))),0)</f>
        <v>0.1</v>
      </c>
      <c r="K51" s="100">
        <f>IFERROR(IF($A51=FALSE,0,INDEX('RPS by State'!V:V,MATCH($C51,'RPS by State'!$B:$B,0))),0)</f>
        <v>0.1</v>
      </c>
      <c r="L51" s="100">
        <f>IFERROR(IF($A51=FALSE,0,INDEX('RPS by State'!W:W,MATCH($C51,'RPS by State'!$B:$B,0))),0)</f>
        <v>0.1</v>
      </c>
      <c r="M51" s="100">
        <f>IFERROR(IF($A51=FALSE,0,INDEX('RPS by State'!X:X,MATCH($C51,'RPS by State'!$B:$B,0))),0)</f>
        <v>0.1</v>
      </c>
      <c r="N51" s="100">
        <f>IFERROR(IF($A51=FALSE,0,INDEX('RPS by State'!Y:Y,MATCH($C51,'RPS by State'!$B:$B,0))),0)</f>
        <v>0.1</v>
      </c>
      <c r="O51" s="100">
        <f>IFERROR(IF($A51=FALSE,0,INDEX('RPS by State'!Z:Z,MATCH($C51,'RPS by State'!$B:$B,0))),0)</f>
        <v>0.1</v>
      </c>
      <c r="P51" s="100">
        <f>IFERROR(IF($A51=FALSE,0,INDEX('RPS by State'!AA:AA,MATCH($C51,'RPS by State'!$B:$B,0))),0)</f>
        <v>0.1</v>
      </c>
      <c r="Q51" s="100">
        <f>IFERROR(IF($A51=FALSE,0,INDEX('RPS by State'!AB:AB,MATCH($C51,'RPS by State'!$B:$B,0))),0)</f>
        <v>0.1</v>
      </c>
      <c r="R51" s="100">
        <f>IFERROR(IF($A51=FALSE,0,INDEX('RPS by State'!AC:AC,MATCH($C51,'RPS by State'!$B:$B,0))),0)</f>
        <v>0.1</v>
      </c>
      <c r="S51" s="100">
        <f>IFERROR(IF($A51=FALSE,0,INDEX('RPS by State'!AD:AD,MATCH($C51,'RPS by State'!$B:$B,0))),0)</f>
        <v>0.1</v>
      </c>
      <c r="T51" s="100">
        <f>IFERROR(IF($A51=FALSE,0,INDEX('RPS by State'!AE:AE,MATCH($C51,'RPS by State'!$B:$B,0))),0)</f>
        <v>0.1</v>
      </c>
      <c r="U51" s="100">
        <f>IFERROR(IF($A51=FALSE,0,INDEX('RPS by State'!AF:AF,MATCH($C51,'RPS by State'!$B:$B,0))),0)</f>
        <v>0.1</v>
      </c>
      <c r="V51" s="100">
        <f>IFERROR(IF($A51=FALSE,0,INDEX('RPS by State'!AG:AG,MATCH($C51,'RPS by State'!$B:$B,0))),0)</f>
        <v>0.1</v>
      </c>
      <c r="W51" s="100">
        <f>IFERROR(IF($A51=FALSE,0,INDEX('RPS by State'!AH:AH,MATCH($C51,'RPS by State'!$B:$B,0))),0)</f>
        <v>0.1</v>
      </c>
      <c r="X51" s="100">
        <f>IFERROR(IF($A51=FALSE,0,INDEX('RPS by State'!AI:AI,MATCH($C51,'RPS by State'!$B:$B,0))),0)</f>
        <v>0.1</v>
      </c>
      <c r="Y51" s="100">
        <f>IFERROR(IF($A51=FALSE,0,INDEX('RPS by State'!AJ:AJ,MATCH($C51,'RPS by State'!$B:$B,0))),0)</f>
        <v>0.1</v>
      </c>
      <c r="Z51" s="100">
        <f>IFERROR(IF($A51=FALSE,0,INDEX('RPS by State'!AK:AK,MATCH($C51,'RPS by State'!$B:$B,0))),0)</f>
        <v>0.1</v>
      </c>
      <c r="AA51" s="100">
        <f>IFERROR(IF($A51=FALSE,0,INDEX('RPS by State'!AL:AL,MATCH($C51,'RPS by State'!$B:$B,0))),0)</f>
        <v>0.1</v>
      </c>
      <c r="AB51" s="100">
        <f>IFERROR(IF($A51=FALSE,0,INDEX('RPS by State'!AM:AM,MATCH($C51,'RPS by State'!$B:$B,0))),0)</f>
        <v>0.1</v>
      </c>
      <c r="AC51" s="100">
        <f>IFERROR(IF($A51=FALSE,0,INDEX('RPS by State'!AN:AN,MATCH($C51,'RPS by State'!$B:$B,0))),0)</f>
        <v>0.1</v>
      </c>
      <c r="AD51" s="100">
        <f>IFERROR(IF($A51=FALSE,0,INDEX('RPS by State'!AO:AO,MATCH($C51,'RPS by State'!$B:$B,0))),0)</f>
        <v>0.1</v>
      </c>
      <c r="AE51" s="100">
        <f>IFERROR(IF($A51=FALSE,0,INDEX('RPS by State'!AP:AP,MATCH($C51,'RPS by State'!$B:$B,0))),0)</f>
        <v>0.1</v>
      </c>
      <c r="AF51" s="100">
        <f>IFERROR(IF($A51=FALSE,0,INDEX('RPS by State'!AQ:AQ,MATCH($C51,'RPS by State'!$B:$B,0))),0)</f>
        <v>0.1</v>
      </c>
      <c r="AG51" s="100">
        <f>IFERROR(IF($A51=FALSE,0,INDEX('RPS by State'!AR:AR,MATCH($C51,'RPS by State'!$B:$B,0))),0)</f>
        <v>0.1</v>
      </c>
      <c r="AH51" s="100">
        <f>IFERROR(IF($A51=FALSE,0,INDEX('RPS by State'!AS:AS,MATCH($C51,'RPS by State'!$B:$B,0))),0)</f>
        <v>0</v>
      </c>
      <c r="AI51" s="100">
        <f>IFERROR(IF($A51=FALSE,0,INDEX('RPS by State'!AT:AT,MATCH($C51,'RPS by State'!$B:$B,0))),0)</f>
        <v>0</v>
      </c>
      <c r="AJ51" s="100">
        <f>IFERROR(IF($A51=FALSE,0,INDEX('RPS by State'!AU:AU,MATCH($C51,'RPS by State'!$B:$B,0))),0)</f>
        <v>0</v>
      </c>
      <c r="AK51" s="100">
        <f>IFERROR(IF($A51=FALSE,0,INDEX('RPS by State'!AV:AV,MATCH($C51,'RPS by State'!$B:$B,0))),0)</f>
        <v>0</v>
      </c>
      <c r="AL51" s="100">
        <f>IFERROR(IF($A51=FALSE,0,INDEX('RPS by State'!AW:AW,MATCH($C51,'RPS by State'!$B:$B,0))),0)</f>
        <v>0</v>
      </c>
      <c r="AM51" s="100">
        <f>IFERROR(IF($A51=FALSE,0,INDEX('RPS by State'!AX:AX,MATCH($C51,'RPS by State'!$B:$B,0))),0)</f>
        <v>0</v>
      </c>
      <c r="AN51" s="100">
        <f>IFERROR(IF($A51=FALSE,0,INDEX('RPS by State'!AY:AY,MATCH($C51,'RPS by State'!$B:$B,0))),0)</f>
        <v>0</v>
      </c>
      <c r="AO51" s="100">
        <f>IFERROR(IF($A51=FALSE,0,INDEX('RPS by State'!AZ:AZ,MATCH($C51,'RPS by State'!$B:$B,0))),0)</f>
        <v>0</v>
      </c>
      <c r="AP51" s="100">
        <f>IFERROR(IF($A51=FALSE,0,INDEX('RPS by State'!BA:BA,MATCH($C51,'RPS by State'!$B:$B,0))),0)</f>
        <v>0</v>
      </c>
      <c r="AQ51" s="100">
        <f>IFERROR(IF($A51=FALSE,0,INDEX('RPS by State'!BB:BB,MATCH($C51,'RPS by State'!$B:$B,0))),0)</f>
        <v>0</v>
      </c>
      <c r="AR51" s="100">
        <f>IFERROR(IF($A51=FALSE,0,INDEX('RPS by State'!BC:BC,MATCH($C51,'RPS by State'!$B:$B,0))),0)</f>
        <v>0</v>
      </c>
      <c r="AS51" s="100">
        <f>IFERROR(IF($A51=FALSE,0,INDEX('RPS by State'!BD:BD,MATCH($C51,'RPS by State'!$B:$B,0))),0)</f>
        <v>0</v>
      </c>
      <c r="AT51" s="100">
        <f>IFERROR(IF($A51=FALSE,0,INDEX('RPS by State'!BE:BE,MATCH($C51,'RPS by State'!$B:$B,0))),0)</f>
        <v>0</v>
      </c>
      <c r="AU51" s="100">
        <f>IFERROR(IF($A51=FALSE,0,INDEX('RPS by State'!BF:BF,MATCH($C51,'RPS by State'!$B:$B,0))),0)</f>
        <v>0</v>
      </c>
      <c r="AV51" s="100">
        <f>IFERROR(IF($A51=FALSE,0,INDEX('RPS by State'!BG:BG,MATCH($C51,'RPS by State'!$B:$B,0))),0)</f>
        <v>0</v>
      </c>
      <c r="AW51" s="100">
        <f>IFERROR(IF($A51=FALSE,0,INDEX('RPS by State'!BH:BH,MATCH($C51,'RPS by State'!$B:$B,0))),0)</f>
        <v>0</v>
      </c>
      <c r="AX51" s="100">
        <f>IFERROR(IF($A51=FALSE,0,INDEX('RPS by State'!BI:BI,MATCH($C51,'RPS by State'!$B:$B,0))),0)</f>
        <v>0</v>
      </c>
      <c r="AY51" s="100">
        <f>IFERROR(IF($A51=FALSE,0,INDEX('RPS by State'!BJ:BJ,MATCH($C51,'RPS by State'!$B:$B,0))),0)</f>
        <v>0</v>
      </c>
      <c r="AZ51" s="100">
        <f>IFERROR(IF($A51=FALSE,0,INDEX('RPS by State'!BK:BK,MATCH($C51,'RPS by State'!$B:$B,0))),0)</f>
        <v>0</v>
      </c>
      <c r="BA51" s="100">
        <f>IFERROR(IF($A51=FALSE,0,INDEX('RPS by State'!BL:BL,MATCH($C51,'RPS by State'!$B:$B,0))),0)</f>
        <v>0</v>
      </c>
      <c r="BB51" s="100">
        <f>IFERROR(IF($A51=FALSE,0,INDEX('RPS by State'!BM:BM,MATCH($C51,'RPS by State'!$B:$B,0))),0)</f>
        <v>0</v>
      </c>
      <c r="BC51" s="100">
        <f>IFERROR(IF($A51=FALSE,0,INDEX('RPS by State'!BN:BN,MATCH($C51,'RPS by State'!$B:$B,0))),0)</f>
        <v>0</v>
      </c>
      <c r="BD51" s="100">
        <f>IFERROR(IF($A51=FALSE,0,INDEX('RPS by State'!BO:BO,MATCH($C51,'RPS by State'!$B:$B,0))),0)</f>
        <v>0</v>
      </c>
      <c r="BE51" s="100">
        <f>IFERROR(IF($A51=FALSE,0,INDEX('RPS by State'!BP:BP,MATCH($C51,'RPS by State'!$B:$B,0))),0)</f>
        <v>0</v>
      </c>
      <c r="BF51" s="100">
        <f>IFERROR(IF($A51=FALSE,0,INDEX('RPS by State'!BQ:BQ,MATCH($C51,'RPS by State'!$B:$B,0))),0)</f>
        <v>0</v>
      </c>
      <c r="BG51" s="100">
        <f>IFERROR(IF($A51=FALSE,0,INDEX('RPS by State'!BR:BR,MATCH($C51,'RPS by State'!$B:$B,0))),0)</f>
        <v>0</v>
      </c>
      <c r="BH51" s="100">
        <f>IFERROR(IF($A51=FALSE,0,INDEX('RPS by State'!BS:BS,MATCH($C51,'RPS by State'!$B:$B,0))),0)</f>
        <v>0</v>
      </c>
      <c r="BI51" s="100">
        <f>IFERROR(IF($A51=FALSE,0,INDEX('RPS by State'!BT:BT,MATCH($C51,'RPS by State'!$B:$B,0))),0)</f>
        <v>0</v>
      </c>
      <c r="BJ51" s="100">
        <f>IFERROR(IF($A51=FALSE,0,INDEX('RPS by State'!BU:BU,MATCH($C51,'RPS by State'!$B:$B,0))),0)</f>
        <v>0</v>
      </c>
      <c r="BK51" s="100">
        <f>IFERROR(IF($A51=FALSE,0,INDEX('RPS by State'!BV:BV,MATCH($C51,'RPS by State'!$B:$B,0))),0)</f>
        <v>0</v>
      </c>
      <c r="BL51" s="100">
        <f>IFERROR(IF($A51=FALSE,0,INDEX('RPS by State'!BW:BW,MATCH($C51,'RPS by State'!$B:$B,0))),0)</f>
        <v>0</v>
      </c>
      <c r="BM51" s="100">
        <f>IFERROR(IF($A51=FALSE,0,INDEX('RPS by State'!BX:BX,MATCH($C51,'RPS by State'!$B:$B,0))),0)</f>
        <v>0</v>
      </c>
      <c r="BN51" s="100">
        <f>IFERROR(IF($A51=FALSE,0,INDEX('RPS by State'!BY:BY,MATCH($C51,'RPS by State'!$B:$B,0))),0)</f>
        <v>0</v>
      </c>
      <c r="BO51" s="100">
        <f>IFERROR(IF($A51=FALSE,0,INDEX('RPS by State'!BZ:BZ,MATCH($C51,'RPS by State'!$B:$B,0))),0)</f>
        <v>0</v>
      </c>
      <c r="BP51" s="100">
        <f>IFERROR(IF($A51=FALSE,0,INDEX('RPS by State'!CA:CA,MATCH($C51,'RPS by State'!$B:$B,0))),0)</f>
        <v>0</v>
      </c>
      <c r="BQ51" s="100">
        <f>IFERROR(IF($A51=FALSE,0,INDEX('RPS by State'!CB:CB,MATCH($C51,'RPS by State'!$B:$B,0))),0)</f>
        <v>0</v>
      </c>
      <c r="BR51" s="100">
        <f>IFERROR(IF($A51=FALSE,0,INDEX('RPS by State'!CC:CC,MATCH($C51,'RPS by State'!$B:$B,0))),0)</f>
        <v>0</v>
      </c>
      <c r="BS51" s="100">
        <f>IFERROR(IF($A51=FALSE,0,INDEX('RPS by State'!CD:CD,MATCH($C51,'RPS by State'!$B:$B,0))),0)</f>
        <v>0</v>
      </c>
      <c r="BT51" s="100">
        <f>IFERROR(IF($A51=FALSE,0,INDEX('RPS by State'!CE:CE,MATCH($C51,'RPS by State'!$B:$B,0))),0)</f>
        <v>0</v>
      </c>
      <c r="BU51" s="100">
        <f>IFERROR(IF($A51=FALSE,0,INDEX('RPS by State'!CF:CF,MATCH($C51,'RPS by State'!$B:$B,0))),0)</f>
        <v>0</v>
      </c>
      <c r="BV51" s="100">
        <f>IFERROR(IF($A51=FALSE,0,INDEX('RPS by State'!CG:CG,MATCH($C51,'RPS by State'!$B:$B,0))),0)</f>
        <v>0</v>
      </c>
      <c r="BW51" s="100">
        <f>IFERROR(IF($A51=FALSE,0,INDEX('RPS by State'!CH:CH,MATCH($C51,'RPS by State'!$B:$B,0))),0)</f>
        <v>0</v>
      </c>
      <c r="BX51" s="100">
        <f>IFERROR(IF($A51=FALSE,0,INDEX('RPS by State'!CI:CI,MATCH($C51,'RPS by State'!$B:$B,0))),0)</f>
        <v>0</v>
      </c>
      <c r="BY51" s="100">
        <f>IFERROR(IF($A51=FALSE,0,INDEX('RPS by State'!CJ:CJ,MATCH($C51,'RPS by State'!$B:$B,0))),0)</f>
        <v>0</v>
      </c>
      <c r="BZ51" s="100">
        <f>IFERROR(IF($A51=FALSE,0,INDEX('RPS by State'!CK:CK,MATCH($C51,'RPS by State'!$B:$B,0))),0)</f>
        <v>0</v>
      </c>
      <c r="CA51" s="100">
        <f>IFERROR(IF($A51=FALSE,0,INDEX('RPS by State'!CL:CL,MATCH($C51,'RPS by State'!$B:$B,0))),0)</f>
        <v>0</v>
      </c>
      <c r="CB51" s="100">
        <f>IFERROR(IF($A51=FALSE,0,INDEX('RPS by State'!CM:CM,MATCH($C51,'RPS by State'!$B:$B,0))),0)</f>
        <v>0</v>
      </c>
      <c r="CC51" s="100">
        <f>IFERROR(IF($A51=FALSE,0,INDEX('RPS by State'!CN:CN,MATCH($C51,'RPS by State'!$B:$B,0))),0)</f>
        <v>0</v>
      </c>
      <c r="CD51" s="100">
        <f>IFERROR(IF($A51=FALSE,0,INDEX('RPS by State'!CO:CO,MATCH($C51,'RPS by State'!$B:$B,0))),0)</f>
        <v>0</v>
      </c>
      <c r="CE51" s="100">
        <f>IFERROR(IF($A51=FALSE,0,INDEX('RPS by State'!CP:CP,MATCH($C51,'RPS by State'!$B:$B,0))),0)</f>
        <v>0</v>
      </c>
    </row>
    <row r="52" spans="1:83" x14ac:dyDescent="0.25">
      <c r="A52" t="b">
        <f>IFERROR(INDEX('RPS by State'!G:G,MATCH(B52,'RPS by State'!A:A,0)),0)</f>
        <v>0</v>
      </c>
      <c r="B52" s="120" t="s">
        <v>134</v>
      </c>
      <c r="C52" s="120" t="str">
        <f>IFERROR(INDEX(About!L:L,MATCH(B52,About!K:K,0)),0)</f>
        <v>WY</v>
      </c>
      <c r="D52" s="100">
        <f>IFERROR(IF($A52=FALSE,0,INDEX('RPS by State'!O:O,MATCH($C52,'RPS by State'!$B:$B,0))),0)</f>
        <v>0</v>
      </c>
      <c r="E52" s="100">
        <f>IFERROR(IF($A52=FALSE,0,INDEX('RPS by State'!P:P,MATCH($C52,'RPS by State'!$B:$B,0))),0)</f>
        <v>0</v>
      </c>
      <c r="F52" s="100">
        <f>IFERROR(IF($A52=FALSE,0,INDEX('RPS by State'!Q:Q,MATCH($C52,'RPS by State'!$B:$B,0))),0)</f>
        <v>0</v>
      </c>
      <c r="G52" s="100">
        <f>IFERROR(IF($A52=FALSE,0,INDEX('RPS by State'!R:R,MATCH($C52,'RPS by State'!$B:$B,0))),0)</f>
        <v>0</v>
      </c>
      <c r="H52" s="100">
        <f>IFERROR(IF($A52=FALSE,0,INDEX('RPS by State'!S:S,MATCH($C52,'RPS by State'!$B:$B,0))),0)</f>
        <v>0</v>
      </c>
      <c r="I52" s="100">
        <f>IFERROR(IF($A52=FALSE,0,INDEX('RPS by State'!T:T,MATCH($C52,'RPS by State'!$B:$B,0))),0)</f>
        <v>0</v>
      </c>
      <c r="J52" s="100">
        <f>IFERROR(IF($A52=FALSE,0,INDEX('RPS by State'!U:U,MATCH($C52,'RPS by State'!$B:$B,0))),0)</f>
        <v>0</v>
      </c>
      <c r="K52" s="100">
        <f>IFERROR(IF($A52=FALSE,0,INDEX('RPS by State'!V:V,MATCH($C52,'RPS by State'!$B:$B,0))),0)</f>
        <v>0</v>
      </c>
      <c r="L52" s="100">
        <f>IFERROR(IF($A52=FALSE,0,INDEX('RPS by State'!W:W,MATCH($C52,'RPS by State'!$B:$B,0))),0)</f>
        <v>0</v>
      </c>
      <c r="M52" s="100">
        <f>IFERROR(IF($A52=FALSE,0,INDEX('RPS by State'!X:X,MATCH($C52,'RPS by State'!$B:$B,0))),0)</f>
        <v>0</v>
      </c>
      <c r="N52" s="100">
        <f>IFERROR(IF($A52=FALSE,0,INDEX('RPS by State'!Y:Y,MATCH($C52,'RPS by State'!$B:$B,0))),0)</f>
        <v>0</v>
      </c>
      <c r="O52" s="100">
        <f>IFERROR(IF($A52=FALSE,0,INDEX('RPS by State'!Z:Z,MATCH($C52,'RPS by State'!$B:$B,0))),0)</f>
        <v>0</v>
      </c>
      <c r="P52" s="100">
        <f>IFERROR(IF($A52=FALSE,0,INDEX('RPS by State'!AA:AA,MATCH($C52,'RPS by State'!$B:$B,0))),0)</f>
        <v>0</v>
      </c>
      <c r="Q52" s="100">
        <f>IFERROR(IF($A52=FALSE,0,INDEX('RPS by State'!AB:AB,MATCH($C52,'RPS by State'!$B:$B,0))),0)</f>
        <v>0</v>
      </c>
      <c r="R52" s="100">
        <f>IFERROR(IF($A52=FALSE,0,INDEX('RPS by State'!AC:AC,MATCH($C52,'RPS by State'!$B:$B,0))),0)</f>
        <v>0</v>
      </c>
      <c r="S52" s="100">
        <f>IFERROR(IF($A52=FALSE,0,INDEX('RPS by State'!AD:AD,MATCH($C52,'RPS by State'!$B:$B,0))),0)</f>
        <v>0</v>
      </c>
      <c r="T52" s="100">
        <f>IFERROR(IF($A52=FALSE,0,INDEX('RPS by State'!AE:AE,MATCH($C52,'RPS by State'!$B:$B,0))),0)</f>
        <v>0</v>
      </c>
      <c r="U52" s="100">
        <f>IFERROR(IF($A52=FALSE,0,INDEX('RPS by State'!AF:AF,MATCH($C52,'RPS by State'!$B:$B,0))),0)</f>
        <v>0</v>
      </c>
      <c r="V52" s="100">
        <f>IFERROR(IF($A52=FALSE,0,INDEX('RPS by State'!AG:AG,MATCH($C52,'RPS by State'!$B:$B,0))),0)</f>
        <v>0</v>
      </c>
      <c r="W52" s="100">
        <f>IFERROR(IF($A52=FALSE,0,INDEX('RPS by State'!AH:AH,MATCH($C52,'RPS by State'!$B:$B,0))),0)</f>
        <v>0</v>
      </c>
      <c r="X52" s="100">
        <f>IFERROR(IF($A52=FALSE,0,INDEX('RPS by State'!AI:AI,MATCH($C52,'RPS by State'!$B:$B,0))),0)</f>
        <v>0</v>
      </c>
      <c r="Y52" s="100">
        <f>IFERROR(IF($A52=FALSE,0,INDEX('RPS by State'!AJ:AJ,MATCH($C52,'RPS by State'!$B:$B,0))),0)</f>
        <v>0</v>
      </c>
      <c r="Z52" s="100">
        <f>IFERROR(IF($A52=FALSE,0,INDEX('RPS by State'!AK:AK,MATCH($C52,'RPS by State'!$B:$B,0))),0)</f>
        <v>0</v>
      </c>
      <c r="AA52" s="100">
        <f>IFERROR(IF($A52=FALSE,0,INDEX('RPS by State'!AL:AL,MATCH($C52,'RPS by State'!$B:$B,0))),0)</f>
        <v>0</v>
      </c>
      <c r="AB52" s="100">
        <f>IFERROR(IF($A52=FALSE,0,INDEX('RPS by State'!AM:AM,MATCH($C52,'RPS by State'!$B:$B,0))),0)</f>
        <v>0</v>
      </c>
      <c r="AC52" s="100">
        <f>IFERROR(IF($A52=FALSE,0,INDEX('RPS by State'!AN:AN,MATCH($C52,'RPS by State'!$B:$B,0))),0)</f>
        <v>0</v>
      </c>
      <c r="AD52" s="100">
        <f>IFERROR(IF($A52=FALSE,0,INDEX('RPS by State'!AO:AO,MATCH($C52,'RPS by State'!$B:$B,0))),0)</f>
        <v>0</v>
      </c>
      <c r="AE52" s="100">
        <f>IFERROR(IF($A52=FALSE,0,INDEX('RPS by State'!AP:AP,MATCH($C52,'RPS by State'!$B:$B,0))),0)</f>
        <v>0</v>
      </c>
      <c r="AF52" s="100">
        <f>IFERROR(IF($A52=FALSE,0,INDEX('RPS by State'!AQ:AQ,MATCH($C52,'RPS by State'!$B:$B,0))),0)</f>
        <v>0</v>
      </c>
      <c r="AG52" s="100">
        <f>IFERROR(IF($A52=FALSE,0,INDEX('RPS by State'!AR:AR,MATCH($C52,'RPS by State'!$B:$B,0))),0)</f>
        <v>0</v>
      </c>
      <c r="AH52" s="100">
        <f>IFERROR(IF($A52=FALSE,0,INDEX('RPS by State'!AS:AS,MATCH($C52,'RPS by State'!$B:$B,0))),0)</f>
        <v>0</v>
      </c>
      <c r="AI52" s="100">
        <f>IFERROR(IF($A52=FALSE,0,INDEX('RPS by State'!AT:AT,MATCH($C52,'RPS by State'!$B:$B,0))),0)</f>
        <v>0</v>
      </c>
      <c r="AJ52" s="100">
        <f>IFERROR(IF($A52=FALSE,0,INDEX('RPS by State'!AU:AU,MATCH($C52,'RPS by State'!$B:$B,0))),0)</f>
        <v>0</v>
      </c>
      <c r="AK52" s="100">
        <f>IFERROR(IF($A52=FALSE,0,INDEX('RPS by State'!AV:AV,MATCH($C52,'RPS by State'!$B:$B,0))),0)</f>
        <v>0</v>
      </c>
      <c r="AL52" s="100">
        <f>IFERROR(IF($A52=FALSE,0,INDEX('RPS by State'!AW:AW,MATCH($C52,'RPS by State'!$B:$B,0))),0)</f>
        <v>0</v>
      </c>
      <c r="AM52" s="100">
        <f>IFERROR(IF($A52=FALSE,0,INDEX('RPS by State'!AX:AX,MATCH($C52,'RPS by State'!$B:$B,0))),0)</f>
        <v>0</v>
      </c>
      <c r="AN52" s="100">
        <f>IFERROR(IF($A52=FALSE,0,INDEX('RPS by State'!AY:AY,MATCH($C52,'RPS by State'!$B:$B,0))),0)</f>
        <v>0</v>
      </c>
      <c r="AO52" s="100">
        <f>IFERROR(IF($A52=FALSE,0,INDEX('RPS by State'!AZ:AZ,MATCH($C52,'RPS by State'!$B:$B,0))),0)</f>
        <v>0</v>
      </c>
      <c r="AP52" s="100">
        <f>IFERROR(IF($A52=FALSE,0,INDEX('RPS by State'!BA:BA,MATCH($C52,'RPS by State'!$B:$B,0))),0)</f>
        <v>0</v>
      </c>
      <c r="AQ52" s="100">
        <f>IFERROR(IF($A52=FALSE,0,INDEX('RPS by State'!BB:BB,MATCH($C52,'RPS by State'!$B:$B,0))),0)</f>
        <v>0</v>
      </c>
      <c r="AR52" s="100">
        <f>IFERROR(IF($A52=FALSE,0,INDEX('RPS by State'!BC:BC,MATCH($C52,'RPS by State'!$B:$B,0))),0)</f>
        <v>0</v>
      </c>
      <c r="AS52" s="100">
        <f>IFERROR(IF($A52=FALSE,0,INDEX('RPS by State'!BD:BD,MATCH($C52,'RPS by State'!$B:$B,0))),0)</f>
        <v>0</v>
      </c>
      <c r="AT52" s="100">
        <f>IFERROR(IF($A52=FALSE,0,INDEX('RPS by State'!BE:BE,MATCH($C52,'RPS by State'!$B:$B,0))),0)</f>
        <v>0</v>
      </c>
      <c r="AU52" s="100">
        <f>IFERROR(IF($A52=FALSE,0,INDEX('RPS by State'!BF:BF,MATCH($C52,'RPS by State'!$B:$B,0))),0)</f>
        <v>0</v>
      </c>
      <c r="AV52" s="100">
        <f>IFERROR(IF($A52=FALSE,0,INDEX('RPS by State'!BG:BG,MATCH($C52,'RPS by State'!$B:$B,0))),0)</f>
        <v>0</v>
      </c>
      <c r="AW52" s="100">
        <f>IFERROR(IF($A52=FALSE,0,INDEX('RPS by State'!BH:BH,MATCH($C52,'RPS by State'!$B:$B,0))),0)</f>
        <v>0</v>
      </c>
      <c r="AX52" s="100">
        <f>IFERROR(IF($A52=FALSE,0,INDEX('RPS by State'!BI:BI,MATCH($C52,'RPS by State'!$B:$B,0))),0)</f>
        <v>0</v>
      </c>
      <c r="AY52" s="100">
        <f>IFERROR(IF($A52=FALSE,0,INDEX('RPS by State'!BJ:BJ,MATCH($C52,'RPS by State'!$B:$B,0))),0)</f>
        <v>0</v>
      </c>
      <c r="AZ52" s="100">
        <f>IFERROR(IF($A52=FALSE,0,INDEX('RPS by State'!BK:BK,MATCH($C52,'RPS by State'!$B:$B,0))),0)</f>
        <v>0</v>
      </c>
      <c r="BA52" s="100">
        <f>IFERROR(IF($A52=FALSE,0,INDEX('RPS by State'!BL:BL,MATCH($C52,'RPS by State'!$B:$B,0))),0)</f>
        <v>0</v>
      </c>
      <c r="BB52" s="100">
        <f>IFERROR(IF($A52=FALSE,0,INDEX('RPS by State'!BM:BM,MATCH($C52,'RPS by State'!$B:$B,0))),0)</f>
        <v>0</v>
      </c>
      <c r="BC52" s="100">
        <f>IFERROR(IF($A52=FALSE,0,INDEX('RPS by State'!BN:BN,MATCH($C52,'RPS by State'!$B:$B,0))),0)</f>
        <v>0</v>
      </c>
      <c r="BD52" s="100">
        <f>IFERROR(IF($A52=FALSE,0,INDEX('RPS by State'!BO:BO,MATCH($C52,'RPS by State'!$B:$B,0))),0)</f>
        <v>0</v>
      </c>
      <c r="BE52" s="100">
        <f>IFERROR(IF($A52=FALSE,0,INDEX('RPS by State'!BP:BP,MATCH($C52,'RPS by State'!$B:$B,0))),0)</f>
        <v>0</v>
      </c>
      <c r="BF52" s="100">
        <f>IFERROR(IF($A52=FALSE,0,INDEX('RPS by State'!BQ:BQ,MATCH($C52,'RPS by State'!$B:$B,0))),0)</f>
        <v>0</v>
      </c>
      <c r="BG52" s="100">
        <f>IFERROR(IF($A52=FALSE,0,INDEX('RPS by State'!BR:BR,MATCH($C52,'RPS by State'!$B:$B,0))),0)</f>
        <v>0</v>
      </c>
      <c r="BH52" s="100">
        <f>IFERROR(IF($A52=FALSE,0,INDEX('RPS by State'!BS:BS,MATCH($C52,'RPS by State'!$B:$B,0))),0)</f>
        <v>0</v>
      </c>
      <c r="BI52" s="100">
        <f>IFERROR(IF($A52=FALSE,0,INDEX('RPS by State'!BT:BT,MATCH($C52,'RPS by State'!$B:$B,0))),0)</f>
        <v>0</v>
      </c>
      <c r="BJ52" s="100">
        <f>IFERROR(IF($A52=FALSE,0,INDEX('RPS by State'!BU:BU,MATCH($C52,'RPS by State'!$B:$B,0))),0)</f>
        <v>0</v>
      </c>
      <c r="BK52" s="100">
        <f>IFERROR(IF($A52=FALSE,0,INDEX('RPS by State'!BV:BV,MATCH($C52,'RPS by State'!$B:$B,0))),0)</f>
        <v>0</v>
      </c>
      <c r="BL52" s="100">
        <f>IFERROR(IF($A52=FALSE,0,INDEX('RPS by State'!BW:BW,MATCH($C52,'RPS by State'!$B:$B,0))),0)</f>
        <v>0</v>
      </c>
      <c r="BM52" s="100">
        <f>IFERROR(IF($A52=FALSE,0,INDEX('RPS by State'!BX:BX,MATCH($C52,'RPS by State'!$B:$B,0))),0)</f>
        <v>0</v>
      </c>
      <c r="BN52" s="100">
        <f>IFERROR(IF($A52=FALSE,0,INDEX('RPS by State'!BY:BY,MATCH($C52,'RPS by State'!$B:$B,0))),0)</f>
        <v>0</v>
      </c>
      <c r="BO52" s="100">
        <f>IFERROR(IF($A52=FALSE,0,INDEX('RPS by State'!BZ:BZ,MATCH($C52,'RPS by State'!$B:$B,0))),0)</f>
        <v>0</v>
      </c>
      <c r="BP52" s="100">
        <f>IFERROR(IF($A52=FALSE,0,INDEX('RPS by State'!CA:CA,MATCH($C52,'RPS by State'!$B:$B,0))),0)</f>
        <v>0</v>
      </c>
      <c r="BQ52" s="100">
        <f>IFERROR(IF($A52=FALSE,0,INDEX('RPS by State'!CB:CB,MATCH($C52,'RPS by State'!$B:$B,0))),0)</f>
        <v>0</v>
      </c>
      <c r="BR52" s="100">
        <f>IFERROR(IF($A52=FALSE,0,INDEX('RPS by State'!CC:CC,MATCH($C52,'RPS by State'!$B:$B,0))),0)</f>
        <v>0</v>
      </c>
      <c r="BS52" s="100">
        <f>IFERROR(IF($A52=FALSE,0,INDEX('RPS by State'!CD:CD,MATCH($C52,'RPS by State'!$B:$B,0))),0)</f>
        <v>0</v>
      </c>
      <c r="BT52" s="100">
        <f>IFERROR(IF($A52=FALSE,0,INDEX('RPS by State'!CE:CE,MATCH($C52,'RPS by State'!$B:$B,0))),0)</f>
        <v>0</v>
      </c>
      <c r="BU52" s="100">
        <f>IFERROR(IF($A52=FALSE,0,INDEX('RPS by State'!CF:CF,MATCH($C52,'RPS by State'!$B:$B,0))),0)</f>
        <v>0</v>
      </c>
      <c r="BV52" s="100">
        <f>IFERROR(IF($A52=FALSE,0,INDEX('RPS by State'!CG:CG,MATCH($C52,'RPS by State'!$B:$B,0))),0)</f>
        <v>0</v>
      </c>
      <c r="BW52" s="100">
        <f>IFERROR(IF($A52=FALSE,0,INDEX('RPS by State'!CH:CH,MATCH($C52,'RPS by State'!$B:$B,0))),0)</f>
        <v>0</v>
      </c>
      <c r="BX52" s="100">
        <f>IFERROR(IF($A52=FALSE,0,INDEX('RPS by State'!CI:CI,MATCH($C52,'RPS by State'!$B:$B,0))),0)</f>
        <v>0</v>
      </c>
      <c r="BY52" s="100">
        <f>IFERROR(IF($A52=FALSE,0,INDEX('RPS by State'!CJ:CJ,MATCH($C52,'RPS by State'!$B:$B,0))),0)</f>
        <v>0</v>
      </c>
      <c r="BZ52" s="100">
        <f>IFERROR(IF($A52=FALSE,0,INDEX('RPS by State'!CK:CK,MATCH($C52,'RPS by State'!$B:$B,0))),0)</f>
        <v>0</v>
      </c>
      <c r="CA52" s="100">
        <f>IFERROR(IF($A52=FALSE,0,INDEX('RPS by State'!CL:CL,MATCH($C52,'RPS by State'!$B:$B,0))),0)</f>
        <v>0</v>
      </c>
      <c r="CB52" s="100">
        <f>IFERROR(IF($A52=FALSE,0,INDEX('RPS by State'!CM:CM,MATCH($C52,'RPS by State'!$B:$B,0))),0)</f>
        <v>0</v>
      </c>
      <c r="CC52" s="100">
        <f>IFERROR(IF($A52=FALSE,0,INDEX('RPS by State'!CN:CN,MATCH($C52,'RPS by State'!$B:$B,0))),0)</f>
        <v>0</v>
      </c>
      <c r="CD52" s="100">
        <f>IFERROR(IF($A52=FALSE,0,INDEX('RPS by State'!CO:CO,MATCH($C52,'RPS by State'!$B:$B,0))),0)</f>
        <v>0</v>
      </c>
      <c r="CE52" s="100">
        <f>IFERROR(IF($A52=FALSE,0,INDEX('RPS by State'!CP:CP,MATCH($C52,'RPS by State'!$B:$B,0))),0)</f>
        <v>0</v>
      </c>
    </row>
    <row r="53" spans="1:83" x14ac:dyDescent="0.25">
      <c r="A53">
        <f>IFERROR(INDEX('RPS by State'!G:G,MATCH(B53,'RPS by State'!A:A,0)),0)</f>
        <v>0</v>
      </c>
      <c r="B53" s="120" t="s">
        <v>2297</v>
      </c>
      <c r="C53" s="120">
        <f>IFERROR(INDEX(About!L:L,MATCH(B53,About!K:K,0)),0)</f>
        <v>0</v>
      </c>
      <c r="D53" s="100">
        <f>IFERROR(IF($A53=FALSE,0,INDEX('RPS by State'!O:O,MATCH($C53,'RPS by State'!$B:$B,0))),0)</f>
        <v>0</v>
      </c>
      <c r="E53" s="100">
        <f>IFERROR(IF($A53=FALSE,0,INDEX('RPS by State'!P:P,MATCH($C53,'RPS by State'!$B:$B,0))),0)</f>
        <v>0</v>
      </c>
      <c r="F53" s="100">
        <f>IFERROR(IF($A53=FALSE,0,INDEX('RPS by State'!Q:Q,MATCH($C53,'RPS by State'!$B:$B,0))),0)</f>
        <v>0</v>
      </c>
      <c r="G53" s="100">
        <f>IFERROR(IF($A53=FALSE,0,INDEX('RPS by State'!R:R,MATCH($C53,'RPS by State'!$B:$B,0))),0)</f>
        <v>0</v>
      </c>
      <c r="H53" s="100">
        <f>IFERROR(IF($A53=FALSE,0,INDEX('RPS by State'!S:S,MATCH($C53,'RPS by State'!$B:$B,0))),0)</f>
        <v>0</v>
      </c>
      <c r="I53" s="100">
        <f>IFERROR(IF($A53=FALSE,0,INDEX('RPS by State'!T:T,MATCH($C53,'RPS by State'!$B:$B,0))),0)</f>
        <v>0</v>
      </c>
      <c r="J53" s="100">
        <f>IFERROR(IF($A53=FALSE,0,INDEX('RPS by State'!U:U,MATCH($C53,'RPS by State'!$B:$B,0))),0)</f>
        <v>0</v>
      </c>
      <c r="K53" s="100">
        <f>IFERROR(IF($A53=FALSE,0,INDEX('RPS by State'!V:V,MATCH($C53,'RPS by State'!$B:$B,0))),0)</f>
        <v>0</v>
      </c>
      <c r="L53" s="100">
        <f>IFERROR(IF($A53=FALSE,0,INDEX('RPS by State'!W:W,MATCH($C53,'RPS by State'!$B:$B,0))),0)</f>
        <v>0</v>
      </c>
      <c r="M53" s="100">
        <f>IFERROR(IF($A53=FALSE,0,INDEX('RPS by State'!X:X,MATCH($C53,'RPS by State'!$B:$B,0))),0)</f>
        <v>0</v>
      </c>
      <c r="N53" s="100">
        <f>IFERROR(IF($A53=FALSE,0,INDEX('RPS by State'!Y:Y,MATCH($C53,'RPS by State'!$B:$B,0))),0)</f>
        <v>0</v>
      </c>
      <c r="O53" s="100">
        <f>IFERROR(IF($A53=FALSE,0,INDEX('RPS by State'!Z:Z,MATCH($C53,'RPS by State'!$B:$B,0))),0)</f>
        <v>0</v>
      </c>
      <c r="P53" s="100">
        <f>IFERROR(IF($A53=FALSE,0,INDEX('RPS by State'!AA:AA,MATCH($C53,'RPS by State'!$B:$B,0))),0)</f>
        <v>0</v>
      </c>
      <c r="Q53" s="100">
        <f>IFERROR(IF($A53=FALSE,0,INDEX('RPS by State'!AB:AB,MATCH($C53,'RPS by State'!$B:$B,0))),0)</f>
        <v>0</v>
      </c>
      <c r="R53" s="100">
        <f>IFERROR(IF($A53=FALSE,0,INDEX('RPS by State'!AC:AC,MATCH($C53,'RPS by State'!$B:$B,0))),0)</f>
        <v>0</v>
      </c>
      <c r="S53" s="100">
        <f>IFERROR(IF($A53=FALSE,0,INDEX('RPS by State'!AD:AD,MATCH($C53,'RPS by State'!$B:$B,0))),0)</f>
        <v>0</v>
      </c>
      <c r="T53" s="100">
        <f>IFERROR(IF($A53=FALSE,0,INDEX('RPS by State'!AE:AE,MATCH($C53,'RPS by State'!$B:$B,0))),0)</f>
        <v>0</v>
      </c>
      <c r="U53" s="100">
        <f>IFERROR(IF($A53=FALSE,0,INDEX('RPS by State'!AF:AF,MATCH($C53,'RPS by State'!$B:$B,0))),0)</f>
        <v>0</v>
      </c>
      <c r="V53" s="100">
        <f>IFERROR(IF($A53=FALSE,0,INDEX('RPS by State'!AG:AG,MATCH($C53,'RPS by State'!$B:$B,0))),0)</f>
        <v>0</v>
      </c>
      <c r="W53" s="100">
        <f>IFERROR(IF($A53=FALSE,0,INDEX('RPS by State'!AH:AH,MATCH($C53,'RPS by State'!$B:$B,0))),0)</f>
        <v>0</v>
      </c>
      <c r="X53" s="100">
        <f>IFERROR(IF($A53=FALSE,0,INDEX('RPS by State'!AI:AI,MATCH($C53,'RPS by State'!$B:$B,0))),0)</f>
        <v>0</v>
      </c>
      <c r="Y53" s="100">
        <f>IFERROR(IF($A53=FALSE,0,INDEX('RPS by State'!AJ:AJ,MATCH($C53,'RPS by State'!$B:$B,0))),0)</f>
        <v>0</v>
      </c>
      <c r="Z53" s="100">
        <f>IFERROR(IF($A53=FALSE,0,INDEX('RPS by State'!AK:AK,MATCH($C53,'RPS by State'!$B:$B,0))),0)</f>
        <v>0</v>
      </c>
      <c r="AA53" s="100">
        <f>IFERROR(IF($A53=FALSE,0,INDEX('RPS by State'!AL:AL,MATCH($C53,'RPS by State'!$B:$B,0))),0)</f>
        <v>0</v>
      </c>
      <c r="AB53" s="100">
        <f>IFERROR(IF($A53=FALSE,0,INDEX('RPS by State'!AM:AM,MATCH($C53,'RPS by State'!$B:$B,0))),0)</f>
        <v>0</v>
      </c>
      <c r="AC53" s="100">
        <f>IFERROR(IF($A53=FALSE,0,INDEX('RPS by State'!AN:AN,MATCH($C53,'RPS by State'!$B:$B,0))),0)</f>
        <v>0</v>
      </c>
      <c r="AD53" s="100">
        <f>IFERROR(IF($A53=FALSE,0,INDEX('RPS by State'!AO:AO,MATCH($C53,'RPS by State'!$B:$B,0))),0)</f>
        <v>0</v>
      </c>
      <c r="AE53" s="100">
        <f>IFERROR(IF($A53=FALSE,0,INDEX('RPS by State'!AP:AP,MATCH($C53,'RPS by State'!$B:$B,0))),0)</f>
        <v>0</v>
      </c>
      <c r="AF53" s="100">
        <f>IFERROR(IF($A53=FALSE,0,INDEX('RPS by State'!AQ:AQ,MATCH($C53,'RPS by State'!$B:$B,0))),0)</f>
        <v>0</v>
      </c>
      <c r="AG53" s="100">
        <f>IFERROR(IF($A53=FALSE,0,INDEX('RPS by State'!AR:AR,MATCH($C53,'RPS by State'!$B:$B,0))),0)</f>
        <v>0</v>
      </c>
      <c r="AH53" s="100">
        <f>IFERROR(IF($A53=FALSE,0,INDEX('RPS by State'!AS:AS,MATCH($C53,'RPS by State'!$B:$B,0))),0)</f>
        <v>0</v>
      </c>
      <c r="AI53" s="100">
        <f>IFERROR(IF($A53=FALSE,0,INDEX('RPS by State'!AT:AT,MATCH($C53,'RPS by State'!$B:$B,0))),0)</f>
        <v>0</v>
      </c>
      <c r="AJ53" s="100">
        <f>IFERROR(IF($A53=FALSE,0,INDEX('RPS by State'!AU:AU,MATCH($C53,'RPS by State'!$B:$B,0))),0)</f>
        <v>0</v>
      </c>
      <c r="AK53" s="100">
        <f>IFERROR(IF($A53=FALSE,0,INDEX('RPS by State'!AV:AV,MATCH($C53,'RPS by State'!$B:$B,0))),0)</f>
        <v>0</v>
      </c>
      <c r="AL53" s="100">
        <f>IFERROR(IF($A53=FALSE,0,INDEX('RPS by State'!AW:AW,MATCH($C53,'RPS by State'!$B:$B,0))),0)</f>
        <v>0</v>
      </c>
      <c r="AM53" s="100">
        <f>IFERROR(IF($A53=FALSE,0,INDEX('RPS by State'!AX:AX,MATCH($C53,'RPS by State'!$B:$B,0))),0)</f>
        <v>0</v>
      </c>
      <c r="AN53" s="100">
        <f>IFERROR(IF($A53=FALSE,0,INDEX('RPS by State'!AY:AY,MATCH($C53,'RPS by State'!$B:$B,0))),0)</f>
        <v>0</v>
      </c>
      <c r="AO53" s="100">
        <f>IFERROR(IF($A53=FALSE,0,INDEX('RPS by State'!AZ:AZ,MATCH($C53,'RPS by State'!$B:$B,0))),0)</f>
        <v>0</v>
      </c>
      <c r="AP53" s="100">
        <f>IFERROR(IF($A53=FALSE,0,INDEX('RPS by State'!BA:BA,MATCH($C53,'RPS by State'!$B:$B,0))),0)</f>
        <v>0</v>
      </c>
      <c r="AQ53" s="100">
        <f>IFERROR(IF($A53=FALSE,0,INDEX('RPS by State'!BB:BB,MATCH($C53,'RPS by State'!$B:$B,0))),0)</f>
        <v>0</v>
      </c>
      <c r="AR53" s="100">
        <f>IFERROR(IF($A53=FALSE,0,INDEX('RPS by State'!BC:BC,MATCH($C53,'RPS by State'!$B:$B,0))),0)</f>
        <v>0</v>
      </c>
      <c r="AS53" s="100">
        <f>IFERROR(IF($A53=FALSE,0,INDEX('RPS by State'!BD:BD,MATCH($C53,'RPS by State'!$B:$B,0))),0)</f>
        <v>0</v>
      </c>
      <c r="AT53" s="100">
        <f>IFERROR(IF($A53=FALSE,0,INDEX('RPS by State'!BE:BE,MATCH($C53,'RPS by State'!$B:$B,0))),0)</f>
        <v>0</v>
      </c>
      <c r="AU53" s="100">
        <f>IFERROR(IF($A53=FALSE,0,INDEX('RPS by State'!BF:BF,MATCH($C53,'RPS by State'!$B:$B,0))),0)</f>
        <v>0</v>
      </c>
      <c r="AV53" s="100">
        <f>IFERROR(IF($A53=FALSE,0,INDEX('RPS by State'!BG:BG,MATCH($C53,'RPS by State'!$B:$B,0))),0)</f>
        <v>0</v>
      </c>
      <c r="AW53" s="100">
        <f>IFERROR(IF($A53=FALSE,0,INDEX('RPS by State'!BH:BH,MATCH($C53,'RPS by State'!$B:$B,0))),0)</f>
        <v>0</v>
      </c>
      <c r="AX53" s="100">
        <f>IFERROR(IF($A53=FALSE,0,INDEX('RPS by State'!BI:BI,MATCH($C53,'RPS by State'!$B:$B,0))),0)</f>
        <v>0</v>
      </c>
      <c r="AY53" s="100">
        <f>IFERROR(IF($A53=FALSE,0,INDEX('RPS by State'!BJ:BJ,MATCH($C53,'RPS by State'!$B:$B,0))),0)</f>
        <v>0</v>
      </c>
      <c r="AZ53" s="100">
        <f>IFERROR(IF($A53=FALSE,0,INDEX('RPS by State'!BK:BK,MATCH($C53,'RPS by State'!$B:$B,0))),0)</f>
        <v>0</v>
      </c>
      <c r="BA53" s="100">
        <f>IFERROR(IF($A53=FALSE,0,INDEX('RPS by State'!BL:BL,MATCH($C53,'RPS by State'!$B:$B,0))),0)</f>
        <v>0</v>
      </c>
      <c r="BB53" s="100">
        <f>IFERROR(IF($A53=FALSE,0,INDEX('RPS by State'!BM:BM,MATCH($C53,'RPS by State'!$B:$B,0))),0)</f>
        <v>0</v>
      </c>
      <c r="BC53" s="100">
        <f>IFERROR(IF($A53=FALSE,0,INDEX('RPS by State'!BN:BN,MATCH($C53,'RPS by State'!$B:$B,0))),0)</f>
        <v>0</v>
      </c>
      <c r="BD53" s="100">
        <f>IFERROR(IF($A53=FALSE,0,INDEX('RPS by State'!BO:BO,MATCH($C53,'RPS by State'!$B:$B,0))),0)</f>
        <v>0</v>
      </c>
      <c r="BE53" s="100">
        <f>IFERROR(IF($A53=FALSE,0,INDEX('RPS by State'!BP:BP,MATCH($C53,'RPS by State'!$B:$B,0))),0)</f>
        <v>0</v>
      </c>
      <c r="BF53" s="100">
        <f>IFERROR(IF($A53=FALSE,0,INDEX('RPS by State'!BQ:BQ,MATCH($C53,'RPS by State'!$B:$B,0))),0)</f>
        <v>0</v>
      </c>
      <c r="BG53" s="100">
        <f>IFERROR(IF($A53=FALSE,0,INDEX('RPS by State'!BR:BR,MATCH($C53,'RPS by State'!$B:$B,0))),0)</f>
        <v>0</v>
      </c>
      <c r="BH53" s="100">
        <f>IFERROR(IF($A53=FALSE,0,INDEX('RPS by State'!BS:BS,MATCH($C53,'RPS by State'!$B:$B,0))),0)</f>
        <v>0</v>
      </c>
      <c r="BI53" s="100">
        <f>IFERROR(IF($A53=FALSE,0,INDEX('RPS by State'!BT:BT,MATCH($C53,'RPS by State'!$B:$B,0))),0)</f>
        <v>0</v>
      </c>
      <c r="BJ53" s="100">
        <f>IFERROR(IF($A53=FALSE,0,INDEX('RPS by State'!BU:BU,MATCH($C53,'RPS by State'!$B:$B,0))),0)</f>
        <v>0</v>
      </c>
      <c r="BK53" s="100">
        <f>IFERROR(IF($A53=FALSE,0,INDEX('RPS by State'!BV:BV,MATCH($C53,'RPS by State'!$B:$B,0))),0)</f>
        <v>0</v>
      </c>
      <c r="BL53" s="100">
        <f>IFERROR(IF($A53=FALSE,0,INDEX('RPS by State'!BW:BW,MATCH($C53,'RPS by State'!$B:$B,0))),0)</f>
        <v>0</v>
      </c>
      <c r="BM53" s="100">
        <f>IFERROR(IF($A53=FALSE,0,INDEX('RPS by State'!BX:BX,MATCH($C53,'RPS by State'!$B:$B,0))),0)</f>
        <v>0</v>
      </c>
      <c r="BN53" s="100">
        <f>IFERROR(IF($A53=FALSE,0,INDEX('RPS by State'!BY:BY,MATCH($C53,'RPS by State'!$B:$B,0))),0)</f>
        <v>0</v>
      </c>
      <c r="BO53" s="100">
        <f>IFERROR(IF($A53=FALSE,0,INDEX('RPS by State'!BZ:BZ,MATCH($C53,'RPS by State'!$B:$B,0))),0)</f>
        <v>0</v>
      </c>
      <c r="BP53" s="100">
        <f>IFERROR(IF($A53=FALSE,0,INDEX('RPS by State'!CA:CA,MATCH($C53,'RPS by State'!$B:$B,0))),0)</f>
        <v>0</v>
      </c>
      <c r="BQ53" s="100">
        <f>IFERROR(IF($A53=FALSE,0,INDEX('RPS by State'!CB:CB,MATCH($C53,'RPS by State'!$B:$B,0))),0)</f>
        <v>0</v>
      </c>
      <c r="BR53" s="100">
        <f>IFERROR(IF($A53=FALSE,0,INDEX('RPS by State'!CC:CC,MATCH($C53,'RPS by State'!$B:$B,0))),0)</f>
        <v>0</v>
      </c>
      <c r="BS53" s="100">
        <f>IFERROR(IF($A53=FALSE,0,INDEX('RPS by State'!CD:CD,MATCH($C53,'RPS by State'!$B:$B,0))),0)</f>
        <v>0</v>
      </c>
      <c r="BT53" s="100">
        <f>IFERROR(IF($A53=FALSE,0,INDEX('RPS by State'!CE:CE,MATCH($C53,'RPS by State'!$B:$B,0))),0)</f>
        <v>0</v>
      </c>
      <c r="BU53" s="100">
        <f>IFERROR(IF($A53=FALSE,0,INDEX('RPS by State'!CF:CF,MATCH($C53,'RPS by State'!$B:$B,0))),0)</f>
        <v>0</v>
      </c>
      <c r="BV53" s="100">
        <f>IFERROR(IF($A53=FALSE,0,INDEX('RPS by State'!CG:CG,MATCH($C53,'RPS by State'!$B:$B,0))),0)</f>
        <v>0</v>
      </c>
      <c r="BW53" s="100">
        <f>IFERROR(IF($A53=FALSE,0,INDEX('RPS by State'!CH:CH,MATCH($C53,'RPS by State'!$B:$B,0))),0)</f>
        <v>0</v>
      </c>
      <c r="BX53" s="100">
        <f>IFERROR(IF($A53=FALSE,0,INDEX('RPS by State'!CI:CI,MATCH($C53,'RPS by State'!$B:$B,0))),0)</f>
        <v>0</v>
      </c>
      <c r="BY53" s="100">
        <f>IFERROR(IF($A53=FALSE,0,INDEX('RPS by State'!CJ:CJ,MATCH($C53,'RPS by State'!$B:$B,0))),0)</f>
        <v>0</v>
      </c>
      <c r="BZ53" s="100">
        <f>IFERROR(IF($A53=FALSE,0,INDEX('RPS by State'!CK:CK,MATCH($C53,'RPS by State'!$B:$B,0))),0)</f>
        <v>0</v>
      </c>
      <c r="CA53" s="100">
        <f>IFERROR(IF($A53=FALSE,0,INDEX('RPS by State'!CL:CL,MATCH($C53,'RPS by State'!$B:$B,0))),0)</f>
        <v>0</v>
      </c>
      <c r="CB53" s="100">
        <f>IFERROR(IF($A53=FALSE,0,INDEX('RPS by State'!CM:CM,MATCH($C53,'RPS by State'!$B:$B,0))),0)</f>
        <v>0</v>
      </c>
      <c r="CC53" s="100">
        <f>IFERROR(IF($A53=FALSE,0,INDEX('RPS by State'!CN:CN,MATCH($C53,'RPS by State'!$B:$B,0))),0)</f>
        <v>0</v>
      </c>
      <c r="CD53" s="100">
        <f>IFERROR(IF($A53=FALSE,0,INDEX('RPS by State'!CO:CO,MATCH($C53,'RPS by State'!$B:$B,0))),0)</f>
        <v>0</v>
      </c>
      <c r="CE53" s="100">
        <f>IFERROR(IF($A53=FALSE,0,INDEX('RPS by State'!CP:CP,MATCH($C53,'RPS by State'!$B:$B,0))),0)</f>
        <v>0</v>
      </c>
    </row>
    <row r="54" spans="1:83" x14ac:dyDescent="0.25">
      <c r="A54">
        <f>IFERROR(INDEX('RPS by State'!G:G,MATCH(B54,'RPS by State'!A:A,0)),0)</f>
        <v>0</v>
      </c>
      <c r="B54" s="120" t="s">
        <v>2298</v>
      </c>
      <c r="C54" s="120">
        <f>IFERROR(INDEX(About!L:L,MATCH(B54,About!K:K,0)),0)</f>
        <v>0</v>
      </c>
      <c r="D54" s="100">
        <f>IFERROR(IF($A54=FALSE,0,INDEX('RPS by State'!O:O,MATCH($C54,'RPS by State'!$B:$B,0))),0)</f>
        <v>0</v>
      </c>
      <c r="E54" s="100">
        <f>IFERROR(IF($A54=FALSE,0,INDEX('RPS by State'!P:P,MATCH($C54,'RPS by State'!$B:$B,0))),0)</f>
        <v>0</v>
      </c>
      <c r="F54" s="100">
        <f>IFERROR(IF($A54=FALSE,0,INDEX('RPS by State'!Q:Q,MATCH($C54,'RPS by State'!$B:$B,0))),0)</f>
        <v>0</v>
      </c>
      <c r="G54" s="100">
        <f>IFERROR(IF($A54=FALSE,0,INDEX('RPS by State'!R:R,MATCH($C54,'RPS by State'!$B:$B,0))),0)</f>
        <v>0</v>
      </c>
      <c r="H54" s="100">
        <f>IFERROR(IF($A54=FALSE,0,INDEX('RPS by State'!S:S,MATCH($C54,'RPS by State'!$B:$B,0))),0)</f>
        <v>0</v>
      </c>
      <c r="I54" s="100">
        <f>IFERROR(IF($A54=FALSE,0,INDEX('RPS by State'!T:T,MATCH($C54,'RPS by State'!$B:$B,0))),0)</f>
        <v>0</v>
      </c>
      <c r="J54" s="100">
        <f>IFERROR(IF($A54=FALSE,0,INDEX('RPS by State'!U:U,MATCH($C54,'RPS by State'!$B:$B,0))),0)</f>
        <v>0</v>
      </c>
      <c r="K54" s="100">
        <f>IFERROR(IF($A54=FALSE,0,INDEX('RPS by State'!V:V,MATCH($C54,'RPS by State'!$B:$B,0))),0)</f>
        <v>0</v>
      </c>
      <c r="L54" s="100">
        <f>IFERROR(IF($A54=FALSE,0,INDEX('RPS by State'!W:W,MATCH($C54,'RPS by State'!$B:$B,0))),0)</f>
        <v>0</v>
      </c>
      <c r="M54" s="100">
        <f>IFERROR(IF($A54=FALSE,0,INDEX('RPS by State'!X:X,MATCH($C54,'RPS by State'!$B:$B,0))),0)</f>
        <v>0</v>
      </c>
      <c r="N54" s="100">
        <f>IFERROR(IF($A54=FALSE,0,INDEX('RPS by State'!Y:Y,MATCH($C54,'RPS by State'!$B:$B,0))),0)</f>
        <v>0</v>
      </c>
      <c r="O54" s="100">
        <f>IFERROR(IF($A54=FALSE,0,INDEX('RPS by State'!Z:Z,MATCH($C54,'RPS by State'!$B:$B,0))),0)</f>
        <v>0</v>
      </c>
      <c r="P54" s="100">
        <f>IFERROR(IF($A54=FALSE,0,INDEX('RPS by State'!AA:AA,MATCH($C54,'RPS by State'!$B:$B,0))),0)</f>
        <v>0</v>
      </c>
      <c r="Q54" s="100">
        <f>IFERROR(IF($A54=FALSE,0,INDEX('RPS by State'!AB:AB,MATCH($C54,'RPS by State'!$B:$B,0))),0)</f>
        <v>0</v>
      </c>
      <c r="R54" s="100">
        <f>IFERROR(IF($A54=FALSE,0,INDEX('RPS by State'!AC:AC,MATCH($C54,'RPS by State'!$B:$B,0))),0)</f>
        <v>0</v>
      </c>
      <c r="S54" s="100">
        <f>IFERROR(IF($A54=FALSE,0,INDEX('RPS by State'!AD:AD,MATCH($C54,'RPS by State'!$B:$B,0))),0)</f>
        <v>0</v>
      </c>
      <c r="T54" s="100">
        <f>IFERROR(IF($A54=FALSE,0,INDEX('RPS by State'!AE:AE,MATCH($C54,'RPS by State'!$B:$B,0))),0)</f>
        <v>0</v>
      </c>
      <c r="U54" s="100">
        <f>IFERROR(IF($A54=FALSE,0,INDEX('RPS by State'!AF:AF,MATCH($C54,'RPS by State'!$B:$B,0))),0)</f>
        <v>0</v>
      </c>
      <c r="V54" s="100">
        <f>IFERROR(IF($A54=FALSE,0,INDEX('RPS by State'!AG:AG,MATCH($C54,'RPS by State'!$B:$B,0))),0)</f>
        <v>0</v>
      </c>
      <c r="W54" s="100">
        <f>IFERROR(IF($A54=FALSE,0,INDEX('RPS by State'!AH:AH,MATCH($C54,'RPS by State'!$B:$B,0))),0)</f>
        <v>0</v>
      </c>
      <c r="X54" s="100">
        <f>IFERROR(IF($A54=FALSE,0,INDEX('RPS by State'!AI:AI,MATCH($C54,'RPS by State'!$B:$B,0))),0)</f>
        <v>0</v>
      </c>
      <c r="Y54" s="100">
        <f>IFERROR(IF($A54=FALSE,0,INDEX('RPS by State'!AJ:AJ,MATCH($C54,'RPS by State'!$B:$B,0))),0)</f>
        <v>0</v>
      </c>
      <c r="Z54" s="100">
        <f>IFERROR(IF($A54=FALSE,0,INDEX('RPS by State'!AK:AK,MATCH($C54,'RPS by State'!$B:$B,0))),0)</f>
        <v>0</v>
      </c>
      <c r="AA54" s="100">
        <f>IFERROR(IF($A54=FALSE,0,INDEX('RPS by State'!AL:AL,MATCH($C54,'RPS by State'!$B:$B,0))),0)</f>
        <v>0</v>
      </c>
      <c r="AB54" s="100">
        <f>IFERROR(IF($A54=FALSE,0,INDEX('RPS by State'!AM:AM,MATCH($C54,'RPS by State'!$B:$B,0))),0)</f>
        <v>0</v>
      </c>
      <c r="AC54" s="100">
        <f>IFERROR(IF($A54=FALSE,0,INDEX('RPS by State'!AN:AN,MATCH($C54,'RPS by State'!$B:$B,0))),0)</f>
        <v>0</v>
      </c>
      <c r="AD54" s="100">
        <f>IFERROR(IF($A54=FALSE,0,INDEX('RPS by State'!AO:AO,MATCH($C54,'RPS by State'!$B:$B,0))),0)</f>
        <v>0</v>
      </c>
      <c r="AE54" s="100">
        <f>IFERROR(IF($A54=FALSE,0,INDEX('RPS by State'!AP:AP,MATCH($C54,'RPS by State'!$B:$B,0))),0)</f>
        <v>0</v>
      </c>
      <c r="AF54" s="100">
        <f>IFERROR(IF($A54=FALSE,0,INDEX('RPS by State'!AQ:AQ,MATCH($C54,'RPS by State'!$B:$B,0))),0)</f>
        <v>0</v>
      </c>
      <c r="AG54" s="100">
        <f>IFERROR(IF($A54=FALSE,0,INDEX('RPS by State'!AR:AR,MATCH($C54,'RPS by State'!$B:$B,0))),0)</f>
        <v>0</v>
      </c>
      <c r="AH54" s="100">
        <f>IFERROR(IF($A54=FALSE,0,INDEX('RPS by State'!AS:AS,MATCH($C54,'RPS by State'!$B:$B,0))),0)</f>
        <v>0</v>
      </c>
      <c r="AI54" s="100">
        <f>IFERROR(IF($A54=FALSE,0,INDEX('RPS by State'!AT:AT,MATCH($C54,'RPS by State'!$B:$B,0))),0)</f>
        <v>0</v>
      </c>
      <c r="AJ54" s="100">
        <f>IFERROR(IF($A54=FALSE,0,INDEX('RPS by State'!AU:AU,MATCH($C54,'RPS by State'!$B:$B,0))),0)</f>
        <v>0</v>
      </c>
      <c r="AK54" s="100">
        <f>IFERROR(IF($A54=FALSE,0,INDEX('RPS by State'!AV:AV,MATCH($C54,'RPS by State'!$B:$B,0))),0)</f>
        <v>0</v>
      </c>
      <c r="AL54" s="100">
        <f>IFERROR(IF($A54=FALSE,0,INDEX('RPS by State'!AW:AW,MATCH($C54,'RPS by State'!$B:$B,0))),0)</f>
        <v>0</v>
      </c>
      <c r="AM54" s="100">
        <f>IFERROR(IF($A54=FALSE,0,INDEX('RPS by State'!AX:AX,MATCH($C54,'RPS by State'!$B:$B,0))),0)</f>
        <v>0</v>
      </c>
      <c r="AN54" s="100">
        <f>IFERROR(IF($A54=FALSE,0,INDEX('RPS by State'!AY:AY,MATCH($C54,'RPS by State'!$B:$B,0))),0)</f>
        <v>0</v>
      </c>
      <c r="AO54" s="100">
        <f>IFERROR(IF($A54=FALSE,0,INDEX('RPS by State'!AZ:AZ,MATCH($C54,'RPS by State'!$B:$B,0))),0)</f>
        <v>0</v>
      </c>
      <c r="AP54" s="100">
        <f>IFERROR(IF($A54=FALSE,0,INDEX('RPS by State'!BA:BA,MATCH($C54,'RPS by State'!$B:$B,0))),0)</f>
        <v>0</v>
      </c>
      <c r="AQ54" s="100">
        <f>IFERROR(IF($A54=FALSE,0,INDEX('RPS by State'!BB:BB,MATCH($C54,'RPS by State'!$B:$B,0))),0)</f>
        <v>0</v>
      </c>
      <c r="AR54" s="100">
        <f>IFERROR(IF($A54=FALSE,0,INDEX('RPS by State'!BC:BC,MATCH($C54,'RPS by State'!$B:$B,0))),0)</f>
        <v>0</v>
      </c>
      <c r="AS54" s="100">
        <f>IFERROR(IF($A54=FALSE,0,INDEX('RPS by State'!BD:BD,MATCH($C54,'RPS by State'!$B:$B,0))),0)</f>
        <v>0</v>
      </c>
      <c r="AT54" s="100">
        <f>IFERROR(IF($A54=FALSE,0,INDEX('RPS by State'!BE:BE,MATCH($C54,'RPS by State'!$B:$B,0))),0)</f>
        <v>0</v>
      </c>
      <c r="AU54" s="100">
        <f>IFERROR(IF($A54=FALSE,0,INDEX('RPS by State'!BF:BF,MATCH($C54,'RPS by State'!$B:$B,0))),0)</f>
        <v>0</v>
      </c>
      <c r="AV54" s="100">
        <f>IFERROR(IF($A54=FALSE,0,INDEX('RPS by State'!BG:BG,MATCH($C54,'RPS by State'!$B:$B,0))),0)</f>
        <v>0</v>
      </c>
      <c r="AW54" s="100">
        <f>IFERROR(IF($A54=FALSE,0,INDEX('RPS by State'!BH:BH,MATCH($C54,'RPS by State'!$B:$B,0))),0)</f>
        <v>0</v>
      </c>
      <c r="AX54" s="100">
        <f>IFERROR(IF($A54=FALSE,0,INDEX('RPS by State'!BI:BI,MATCH($C54,'RPS by State'!$B:$B,0))),0)</f>
        <v>0</v>
      </c>
      <c r="AY54" s="100">
        <f>IFERROR(IF($A54=FALSE,0,INDEX('RPS by State'!BJ:BJ,MATCH($C54,'RPS by State'!$B:$B,0))),0)</f>
        <v>0</v>
      </c>
      <c r="AZ54" s="100">
        <f>IFERROR(IF($A54=FALSE,0,INDEX('RPS by State'!BK:BK,MATCH($C54,'RPS by State'!$B:$B,0))),0)</f>
        <v>0</v>
      </c>
      <c r="BA54" s="100">
        <f>IFERROR(IF($A54=FALSE,0,INDEX('RPS by State'!BL:BL,MATCH($C54,'RPS by State'!$B:$B,0))),0)</f>
        <v>0</v>
      </c>
      <c r="BB54" s="100">
        <f>IFERROR(IF($A54=FALSE,0,INDEX('RPS by State'!BM:BM,MATCH($C54,'RPS by State'!$B:$B,0))),0)</f>
        <v>0</v>
      </c>
      <c r="BC54" s="100">
        <f>IFERROR(IF($A54=FALSE,0,INDEX('RPS by State'!BN:BN,MATCH($C54,'RPS by State'!$B:$B,0))),0)</f>
        <v>0</v>
      </c>
      <c r="BD54" s="100">
        <f>IFERROR(IF($A54=FALSE,0,INDEX('RPS by State'!BO:BO,MATCH($C54,'RPS by State'!$B:$B,0))),0)</f>
        <v>0</v>
      </c>
      <c r="BE54" s="100">
        <f>IFERROR(IF($A54=FALSE,0,INDEX('RPS by State'!BP:BP,MATCH($C54,'RPS by State'!$B:$B,0))),0)</f>
        <v>0</v>
      </c>
      <c r="BF54" s="100">
        <f>IFERROR(IF($A54=FALSE,0,INDEX('RPS by State'!BQ:BQ,MATCH($C54,'RPS by State'!$B:$B,0))),0)</f>
        <v>0</v>
      </c>
      <c r="BG54" s="100">
        <f>IFERROR(IF($A54=FALSE,0,INDEX('RPS by State'!BR:BR,MATCH($C54,'RPS by State'!$B:$B,0))),0)</f>
        <v>0</v>
      </c>
      <c r="BH54" s="100">
        <f>IFERROR(IF($A54=FALSE,0,INDEX('RPS by State'!BS:BS,MATCH($C54,'RPS by State'!$B:$B,0))),0)</f>
        <v>0</v>
      </c>
      <c r="BI54" s="100">
        <f>IFERROR(IF($A54=FALSE,0,INDEX('RPS by State'!BT:BT,MATCH($C54,'RPS by State'!$B:$B,0))),0)</f>
        <v>0</v>
      </c>
      <c r="BJ54" s="100">
        <f>IFERROR(IF($A54=FALSE,0,INDEX('RPS by State'!BU:BU,MATCH($C54,'RPS by State'!$B:$B,0))),0)</f>
        <v>0</v>
      </c>
      <c r="BK54" s="100">
        <f>IFERROR(IF($A54=FALSE,0,INDEX('RPS by State'!BV:BV,MATCH($C54,'RPS by State'!$B:$B,0))),0)</f>
        <v>0</v>
      </c>
      <c r="BL54" s="100">
        <f>IFERROR(IF($A54=FALSE,0,INDEX('RPS by State'!BW:BW,MATCH($C54,'RPS by State'!$B:$B,0))),0)</f>
        <v>0</v>
      </c>
      <c r="BM54" s="100">
        <f>IFERROR(IF($A54=FALSE,0,INDEX('RPS by State'!BX:BX,MATCH($C54,'RPS by State'!$B:$B,0))),0)</f>
        <v>0</v>
      </c>
      <c r="BN54" s="100">
        <f>IFERROR(IF($A54=FALSE,0,INDEX('RPS by State'!BY:BY,MATCH($C54,'RPS by State'!$B:$B,0))),0)</f>
        <v>0</v>
      </c>
      <c r="BO54" s="100">
        <f>IFERROR(IF($A54=FALSE,0,INDEX('RPS by State'!BZ:BZ,MATCH($C54,'RPS by State'!$B:$B,0))),0)</f>
        <v>0</v>
      </c>
      <c r="BP54" s="100">
        <f>IFERROR(IF($A54=FALSE,0,INDEX('RPS by State'!CA:CA,MATCH($C54,'RPS by State'!$B:$B,0))),0)</f>
        <v>0</v>
      </c>
      <c r="BQ54" s="100">
        <f>IFERROR(IF($A54=FALSE,0,INDEX('RPS by State'!CB:CB,MATCH($C54,'RPS by State'!$B:$B,0))),0)</f>
        <v>0</v>
      </c>
      <c r="BR54" s="100">
        <f>IFERROR(IF($A54=FALSE,0,INDEX('RPS by State'!CC:CC,MATCH($C54,'RPS by State'!$B:$B,0))),0)</f>
        <v>0</v>
      </c>
      <c r="BS54" s="100">
        <f>IFERROR(IF($A54=FALSE,0,INDEX('RPS by State'!CD:CD,MATCH($C54,'RPS by State'!$B:$B,0))),0)</f>
        <v>0</v>
      </c>
      <c r="BT54" s="100">
        <f>IFERROR(IF($A54=FALSE,0,INDEX('RPS by State'!CE:CE,MATCH($C54,'RPS by State'!$B:$B,0))),0)</f>
        <v>0</v>
      </c>
      <c r="BU54" s="100">
        <f>IFERROR(IF($A54=FALSE,0,INDEX('RPS by State'!CF:CF,MATCH($C54,'RPS by State'!$B:$B,0))),0)</f>
        <v>0</v>
      </c>
      <c r="BV54" s="100">
        <f>IFERROR(IF($A54=FALSE,0,INDEX('RPS by State'!CG:CG,MATCH($C54,'RPS by State'!$B:$B,0))),0)</f>
        <v>0</v>
      </c>
      <c r="BW54" s="100">
        <f>IFERROR(IF($A54=FALSE,0,INDEX('RPS by State'!CH:CH,MATCH($C54,'RPS by State'!$B:$B,0))),0)</f>
        <v>0</v>
      </c>
      <c r="BX54" s="100">
        <f>IFERROR(IF($A54=FALSE,0,INDEX('RPS by State'!CI:CI,MATCH($C54,'RPS by State'!$B:$B,0))),0)</f>
        <v>0</v>
      </c>
      <c r="BY54" s="100">
        <f>IFERROR(IF($A54=FALSE,0,INDEX('RPS by State'!CJ:CJ,MATCH($C54,'RPS by State'!$B:$B,0))),0)</f>
        <v>0</v>
      </c>
      <c r="BZ54" s="100">
        <f>IFERROR(IF($A54=FALSE,0,INDEX('RPS by State'!CK:CK,MATCH($C54,'RPS by State'!$B:$B,0))),0)</f>
        <v>0</v>
      </c>
      <c r="CA54" s="100">
        <f>IFERROR(IF($A54=FALSE,0,INDEX('RPS by State'!CL:CL,MATCH($C54,'RPS by State'!$B:$B,0))),0)</f>
        <v>0</v>
      </c>
      <c r="CB54" s="100">
        <f>IFERROR(IF($A54=FALSE,0,INDEX('RPS by State'!CM:CM,MATCH($C54,'RPS by State'!$B:$B,0))),0)</f>
        <v>0</v>
      </c>
      <c r="CC54" s="100">
        <f>IFERROR(IF($A54=FALSE,0,INDEX('RPS by State'!CN:CN,MATCH($C54,'RPS by State'!$B:$B,0))),0)</f>
        <v>0</v>
      </c>
      <c r="CD54" s="100">
        <f>IFERROR(IF($A54=FALSE,0,INDEX('RPS by State'!CO:CO,MATCH($C54,'RPS by State'!$B:$B,0))),0)</f>
        <v>0</v>
      </c>
      <c r="CE54" s="100">
        <f>IFERROR(IF($A54=FALSE,0,INDEX('RPS by State'!CP:CP,MATCH($C54,'RPS by State'!$B:$B,0))),0)</f>
        <v>0</v>
      </c>
    </row>
    <row r="55" spans="1:83" x14ac:dyDescent="0.25">
      <c r="A55">
        <f>IFERROR(INDEX('RPS by State'!G:G,MATCH(B55,'RPS by State'!A:A,0)),0)</f>
        <v>0</v>
      </c>
      <c r="B55" s="120" t="s">
        <v>2299</v>
      </c>
      <c r="C55" s="120">
        <f>IFERROR(INDEX(About!L:L,MATCH(B55,About!K:K,0)),0)</f>
        <v>0</v>
      </c>
      <c r="D55" s="100">
        <f>IFERROR(IF($A55=FALSE,0,INDEX('RPS by State'!O:O,MATCH($C55,'RPS by State'!$B:$B,0))),0)</f>
        <v>0</v>
      </c>
      <c r="E55" s="100">
        <f>IFERROR(IF($A55=FALSE,0,INDEX('RPS by State'!P:P,MATCH($C55,'RPS by State'!$B:$B,0))),0)</f>
        <v>0</v>
      </c>
      <c r="F55" s="100">
        <f>IFERROR(IF($A55=FALSE,0,INDEX('RPS by State'!Q:Q,MATCH($C55,'RPS by State'!$B:$B,0))),0)</f>
        <v>0</v>
      </c>
      <c r="G55" s="100">
        <f>IFERROR(IF($A55=FALSE,0,INDEX('RPS by State'!R:R,MATCH($C55,'RPS by State'!$B:$B,0))),0)</f>
        <v>0</v>
      </c>
      <c r="H55" s="100">
        <f>IFERROR(IF($A55=FALSE,0,INDEX('RPS by State'!S:S,MATCH($C55,'RPS by State'!$B:$B,0))),0)</f>
        <v>0</v>
      </c>
      <c r="I55" s="100">
        <f>IFERROR(IF($A55=FALSE,0,INDEX('RPS by State'!T:T,MATCH($C55,'RPS by State'!$B:$B,0))),0)</f>
        <v>0</v>
      </c>
      <c r="J55" s="100">
        <f>IFERROR(IF($A55=FALSE,0,INDEX('RPS by State'!U:U,MATCH($C55,'RPS by State'!$B:$B,0))),0)</f>
        <v>0</v>
      </c>
      <c r="K55" s="100">
        <f>IFERROR(IF($A55=FALSE,0,INDEX('RPS by State'!V:V,MATCH($C55,'RPS by State'!$B:$B,0))),0)</f>
        <v>0</v>
      </c>
      <c r="L55" s="100">
        <f>IFERROR(IF($A55=FALSE,0,INDEX('RPS by State'!W:W,MATCH($C55,'RPS by State'!$B:$B,0))),0)</f>
        <v>0</v>
      </c>
      <c r="M55" s="100">
        <f>IFERROR(IF($A55=FALSE,0,INDEX('RPS by State'!X:X,MATCH($C55,'RPS by State'!$B:$B,0))),0)</f>
        <v>0</v>
      </c>
      <c r="N55" s="100">
        <f>IFERROR(IF($A55=FALSE,0,INDEX('RPS by State'!Y:Y,MATCH($C55,'RPS by State'!$B:$B,0))),0)</f>
        <v>0</v>
      </c>
      <c r="O55" s="100">
        <f>IFERROR(IF($A55=FALSE,0,INDEX('RPS by State'!Z:Z,MATCH($C55,'RPS by State'!$B:$B,0))),0)</f>
        <v>0</v>
      </c>
      <c r="P55" s="100">
        <f>IFERROR(IF($A55=FALSE,0,INDEX('RPS by State'!AA:AA,MATCH($C55,'RPS by State'!$B:$B,0))),0)</f>
        <v>0</v>
      </c>
      <c r="Q55" s="100">
        <f>IFERROR(IF($A55=FALSE,0,INDEX('RPS by State'!AB:AB,MATCH($C55,'RPS by State'!$B:$B,0))),0)</f>
        <v>0</v>
      </c>
      <c r="R55" s="100">
        <f>IFERROR(IF($A55=FALSE,0,INDEX('RPS by State'!AC:AC,MATCH($C55,'RPS by State'!$B:$B,0))),0)</f>
        <v>0</v>
      </c>
      <c r="S55" s="100">
        <f>IFERROR(IF($A55=FALSE,0,INDEX('RPS by State'!AD:AD,MATCH($C55,'RPS by State'!$B:$B,0))),0)</f>
        <v>0</v>
      </c>
      <c r="T55" s="100">
        <f>IFERROR(IF($A55=FALSE,0,INDEX('RPS by State'!AE:AE,MATCH($C55,'RPS by State'!$B:$B,0))),0)</f>
        <v>0</v>
      </c>
      <c r="U55" s="100">
        <f>IFERROR(IF($A55=FALSE,0,INDEX('RPS by State'!AF:AF,MATCH($C55,'RPS by State'!$B:$B,0))),0)</f>
        <v>0</v>
      </c>
      <c r="V55" s="100">
        <f>IFERROR(IF($A55=FALSE,0,INDEX('RPS by State'!AG:AG,MATCH($C55,'RPS by State'!$B:$B,0))),0)</f>
        <v>0</v>
      </c>
      <c r="W55" s="100">
        <f>IFERROR(IF($A55=FALSE,0,INDEX('RPS by State'!AH:AH,MATCH($C55,'RPS by State'!$B:$B,0))),0)</f>
        <v>0</v>
      </c>
      <c r="X55" s="100">
        <f>IFERROR(IF($A55=FALSE,0,INDEX('RPS by State'!AI:AI,MATCH($C55,'RPS by State'!$B:$B,0))),0)</f>
        <v>0</v>
      </c>
      <c r="Y55" s="100">
        <f>IFERROR(IF($A55=FALSE,0,INDEX('RPS by State'!AJ:AJ,MATCH($C55,'RPS by State'!$B:$B,0))),0)</f>
        <v>0</v>
      </c>
      <c r="Z55" s="100">
        <f>IFERROR(IF($A55=FALSE,0,INDEX('RPS by State'!AK:AK,MATCH($C55,'RPS by State'!$B:$B,0))),0)</f>
        <v>0</v>
      </c>
      <c r="AA55" s="100">
        <f>IFERROR(IF($A55=FALSE,0,INDEX('RPS by State'!AL:AL,MATCH($C55,'RPS by State'!$B:$B,0))),0)</f>
        <v>0</v>
      </c>
      <c r="AB55" s="100">
        <f>IFERROR(IF($A55=FALSE,0,INDEX('RPS by State'!AM:AM,MATCH($C55,'RPS by State'!$B:$B,0))),0)</f>
        <v>0</v>
      </c>
      <c r="AC55" s="100">
        <f>IFERROR(IF($A55=FALSE,0,INDEX('RPS by State'!AN:AN,MATCH($C55,'RPS by State'!$B:$B,0))),0)</f>
        <v>0</v>
      </c>
      <c r="AD55" s="100">
        <f>IFERROR(IF($A55=FALSE,0,INDEX('RPS by State'!AO:AO,MATCH($C55,'RPS by State'!$B:$B,0))),0)</f>
        <v>0</v>
      </c>
      <c r="AE55" s="100">
        <f>IFERROR(IF($A55=FALSE,0,INDEX('RPS by State'!AP:AP,MATCH($C55,'RPS by State'!$B:$B,0))),0)</f>
        <v>0</v>
      </c>
      <c r="AF55" s="100">
        <f>IFERROR(IF($A55=FALSE,0,INDEX('RPS by State'!AQ:AQ,MATCH($C55,'RPS by State'!$B:$B,0))),0)</f>
        <v>0</v>
      </c>
      <c r="AG55" s="100">
        <f>IFERROR(IF($A55=FALSE,0,INDEX('RPS by State'!AR:AR,MATCH($C55,'RPS by State'!$B:$B,0))),0)</f>
        <v>0</v>
      </c>
      <c r="AH55" s="100">
        <f>IFERROR(IF($A55=FALSE,0,INDEX('RPS by State'!AS:AS,MATCH($C55,'RPS by State'!$B:$B,0))),0)</f>
        <v>0</v>
      </c>
      <c r="AI55" s="100">
        <f>IFERROR(IF($A55=FALSE,0,INDEX('RPS by State'!AT:AT,MATCH($C55,'RPS by State'!$B:$B,0))),0)</f>
        <v>0</v>
      </c>
      <c r="AJ55" s="100">
        <f>IFERROR(IF($A55=FALSE,0,INDEX('RPS by State'!AU:AU,MATCH($C55,'RPS by State'!$B:$B,0))),0)</f>
        <v>0</v>
      </c>
      <c r="AK55" s="100">
        <f>IFERROR(IF($A55=FALSE,0,INDEX('RPS by State'!AV:AV,MATCH($C55,'RPS by State'!$B:$B,0))),0)</f>
        <v>0</v>
      </c>
      <c r="AL55" s="100">
        <f>IFERROR(IF($A55=FALSE,0,INDEX('RPS by State'!AW:AW,MATCH($C55,'RPS by State'!$B:$B,0))),0)</f>
        <v>0</v>
      </c>
      <c r="AM55" s="100">
        <f>IFERROR(IF($A55=FALSE,0,INDEX('RPS by State'!AX:AX,MATCH($C55,'RPS by State'!$B:$B,0))),0)</f>
        <v>0</v>
      </c>
      <c r="AN55" s="100">
        <f>IFERROR(IF($A55=FALSE,0,INDEX('RPS by State'!AY:AY,MATCH($C55,'RPS by State'!$B:$B,0))),0)</f>
        <v>0</v>
      </c>
      <c r="AO55" s="100">
        <f>IFERROR(IF($A55=FALSE,0,INDEX('RPS by State'!AZ:AZ,MATCH($C55,'RPS by State'!$B:$B,0))),0)</f>
        <v>0</v>
      </c>
      <c r="AP55" s="100">
        <f>IFERROR(IF($A55=FALSE,0,INDEX('RPS by State'!BA:BA,MATCH($C55,'RPS by State'!$B:$B,0))),0)</f>
        <v>0</v>
      </c>
      <c r="AQ55" s="100">
        <f>IFERROR(IF($A55=FALSE,0,INDEX('RPS by State'!BB:BB,MATCH($C55,'RPS by State'!$B:$B,0))),0)</f>
        <v>0</v>
      </c>
      <c r="AR55" s="100">
        <f>IFERROR(IF($A55=FALSE,0,INDEX('RPS by State'!BC:BC,MATCH($C55,'RPS by State'!$B:$B,0))),0)</f>
        <v>0</v>
      </c>
      <c r="AS55" s="100">
        <f>IFERROR(IF($A55=FALSE,0,INDEX('RPS by State'!BD:BD,MATCH($C55,'RPS by State'!$B:$B,0))),0)</f>
        <v>0</v>
      </c>
      <c r="AT55" s="100">
        <f>IFERROR(IF($A55=FALSE,0,INDEX('RPS by State'!BE:BE,MATCH($C55,'RPS by State'!$B:$B,0))),0)</f>
        <v>0</v>
      </c>
      <c r="AU55" s="100">
        <f>IFERROR(IF($A55=FALSE,0,INDEX('RPS by State'!BF:BF,MATCH($C55,'RPS by State'!$B:$B,0))),0)</f>
        <v>0</v>
      </c>
      <c r="AV55" s="100">
        <f>IFERROR(IF($A55=FALSE,0,INDEX('RPS by State'!BG:BG,MATCH($C55,'RPS by State'!$B:$B,0))),0)</f>
        <v>0</v>
      </c>
      <c r="AW55" s="100">
        <f>IFERROR(IF($A55=FALSE,0,INDEX('RPS by State'!BH:BH,MATCH($C55,'RPS by State'!$B:$B,0))),0)</f>
        <v>0</v>
      </c>
      <c r="AX55" s="100">
        <f>IFERROR(IF($A55=FALSE,0,INDEX('RPS by State'!BI:BI,MATCH($C55,'RPS by State'!$B:$B,0))),0)</f>
        <v>0</v>
      </c>
      <c r="AY55" s="100">
        <f>IFERROR(IF($A55=FALSE,0,INDEX('RPS by State'!BJ:BJ,MATCH($C55,'RPS by State'!$B:$B,0))),0)</f>
        <v>0</v>
      </c>
      <c r="AZ55" s="100">
        <f>IFERROR(IF($A55=FALSE,0,INDEX('RPS by State'!BK:BK,MATCH($C55,'RPS by State'!$B:$B,0))),0)</f>
        <v>0</v>
      </c>
      <c r="BA55" s="100">
        <f>IFERROR(IF($A55=FALSE,0,INDEX('RPS by State'!BL:BL,MATCH($C55,'RPS by State'!$B:$B,0))),0)</f>
        <v>0</v>
      </c>
      <c r="BB55" s="100">
        <f>IFERROR(IF($A55=FALSE,0,INDEX('RPS by State'!BM:BM,MATCH($C55,'RPS by State'!$B:$B,0))),0)</f>
        <v>0</v>
      </c>
      <c r="BC55" s="100">
        <f>IFERROR(IF($A55=FALSE,0,INDEX('RPS by State'!BN:BN,MATCH($C55,'RPS by State'!$B:$B,0))),0)</f>
        <v>0</v>
      </c>
      <c r="BD55" s="100">
        <f>IFERROR(IF($A55=FALSE,0,INDEX('RPS by State'!BO:BO,MATCH($C55,'RPS by State'!$B:$B,0))),0)</f>
        <v>0</v>
      </c>
      <c r="BE55" s="100">
        <f>IFERROR(IF($A55=FALSE,0,INDEX('RPS by State'!BP:BP,MATCH($C55,'RPS by State'!$B:$B,0))),0)</f>
        <v>0</v>
      </c>
      <c r="BF55" s="100">
        <f>IFERROR(IF($A55=FALSE,0,INDEX('RPS by State'!BQ:BQ,MATCH($C55,'RPS by State'!$B:$B,0))),0)</f>
        <v>0</v>
      </c>
      <c r="BG55" s="100">
        <f>IFERROR(IF($A55=FALSE,0,INDEX('RPS by State'!BR:BR,MATCH($C55,'RPS by State'!$B:$B,0))),0)</f>
        <v>0</v>
      </c>
      <c r="BH55" s="100">
        <f>IFERROR(IF($A55=FALSE,0,INDEX('RPS by State'!BS:BS,MATCH($C55,'RPS by State'!$B:$B,0))),0)</f>
        <v>0</v>
      </c>
      <c r="BI55" s="100">
        <f>IFERROR(IF($A55=FALSE,0,INDEX('RPS by State'!BT:BT,MATCH($C55,'RPS by State'!$B:$B,0))),0)</f>
        <v>0</v>
      </c>
      <c r="BJ55" s="100">
        <f>IFERROR(IF($A55=FALSE,0,INDEX('RPS by State'!BU:BU,MATCH($C55,'RPS by State'!$B:$B,0))),0)</f>
        <v>0</v>
      </c>
      <c r="BK55" s="100">
        <f>IFERROR(IF($A55=FALSE,0,INDEX('RPS by State'!BV:BV,MATCH($C55,'RPS by State'!$B:$B,0))),0)</f>
        <v>0</v>
      </c>
      <c r="BL55" s="100">
        <f>IFERROR(IF($A55=FALSE,0,INDEX('RPS by State'!BW:BW,MATCH($C55,'RPS by State'!$B:$B,0))),0)</f>
        <v>0</v>
      </c>
      <c r="BM55" s="100">
        <f>IFERROR(IF($A55=FALSE,0,INDEX('RPS by State'!BX:BX,MATCH($C55,'RPS by State'!$B:$B,0))),0)</f>
        <v>0</v>
      </c>
      <c r="BN55" s="100">
        <f>IFERROR(IF($A55=FALSE,0,INDEX('RPS by State'!BY:BY,MATCH($C55,'RPS by State'!$B:$B,0))),0)</f>
        <v>0</v>
      </c>
      <c r="BO55" s="100">
        <f>IFERROR(IF($A55=FALSE,0,INDEX('RPS by State'!BZ:BZ,MATCH($C55,'RPS by State'!$B:$B,0))),0)</f>
        <v>0</v>
      </c>
      <c r="BP55" s="100">
        <f>IFERROR(IF($A55=FALSE,0,INDEX('RPS by State'!CA:CA,MATCH($C55,'RPS by State'!$B:$B,0))),0)</f>
        <v>0</v>
      </c>
      <c r="BQ55" s="100">
        <f>IFERROR(IF($A55=FALSE,0,INDEX('RPS by State'!CB:CB,MATCH($C55,'RPS by State'!$B:$B,0))),0)</f>
        <v>0</v>
      </c>
      <c r="BR55" s="100">
        <f>IFERROR(IF($A55=FALSE,0,INDEX('RPS by State'!CC:CC,MATCH($C55,'RPS by State'!$B:$B,0))),0)</f>
        <v>0</v>
      </c>
      <c r="BS55" s="100">
        <f>IFERROR(IF($A55=FALSE,0,INDEX('RPS by State'!CD:CD,MATCH($C55,'RPS by State'!$B:$B,0))),0)</f>
        <v>0</v>
      </c>
      <c r="BT55" s="100">
        <f>IFERROR(IF($A55=FALSE,0,INDEX('RPS by State'!CE:CE,MATCH($C55,'RPS by State'!$B:$B,0))),0)</f>
        <v>0</v>
      </c>
      <c r="BU55" s="100">
        <f>IFERROR(IF($A55=FALSE,0,INDEX('RPS by State'!CF:CF,MATCH($C55,'RPS by State'!$B:$B,0))),0)</f>
        <v>0</v>
      </c>
      <c r="BV55" s="100">
        <f>IFERROR(IF($A55=FALSE,0,INDEX('RPS by State'!CG:CG,MATCH($C55,'RPS by State'!$B:$B,0))),0)</f>
        <v>0</v>
      </c>
      <c r="BW55" s="100">
        <f>IFERROR(IF($A55=FALSE,0,INDEX('RPS by State'!CH:CH,MATCH($C55,'RPS by State'!$B:$B,0))),0)</f>
        <v>0</v>
      </c>
      <c r="BX55" s="100">
        <f>IFERROR(IF($A55=FALSE,0,INDEX('RPS by State'!CI:CI,MATCH($C55,'RPS by State'!$B:$B,0))),0)</f>
        <v>0</v>
      </c>
      <c r="BY55" s="100">
        <f>IFERROR(IF($A55=FALSE,0,INDEX('RPS by State'!CJ:CJ,MATCH($C55,'RPS by State'!$B:$B,0))),0)</f>
        <v>0</v>
      </c>
      <c r="BZ55" s="100">
        <f>IFERROR(IF($A55=FALSE,0,INDEX('RPS by State'!CK:CK,MATCH($C55,'RPS by State'!$B:$B,0))),0)</f>
        <v>0</v>
      </c>
      <c r="CA55" s="100">
        <f>IFERROR(IF($A55=FALSE,0,INDEX('RPS by State'!CL:CL,MATCH($C55,'RPS by State'!$B:$B,0))),0)</f>
        <v>0</v>
      </c>
      <c r="CB55" s="100">
        <f>IFERROR(IF($A55=FALSE,0,INDEX('RPS by State'!CM:CM,MATCH($C55,'RPS by State'!$B:$B,0))),0)</f>
        <v>0</v>
      </c>
      <c r="CC55" s="100">
        <f>IFERROR(IF($A55=FALSE,0,INDEX('RPS by State'!CN:CN,MATCH($C55,'RPS by State'!$B:$B,0))),0)</f>
        <v>0</v>
      </c>
      <c r="CD55" s="100">
        <f>IFERROR(IF($A55=FALSE,0,INDEX('RPS by State'!CO:CO,MATCH($C55,'RPS by State'!$B:$B,0))),0)</f>
        <v>0</v>
      </c>
      <c r="CE55" s="100">
        <f>IFERROR(IF($A55=FALSE,0,INDEX('RPS by State'!CP:CP,MATCH($C55,'RPS by State'!$B:$B,0))),0)</f>
        <v>0</v>
      </c>
    </row>
    <row r="56" spans="1:83" x14ac:dyDescent="0.25">
      <c r="A56">
        <f>IFERROR(INDEX('RPS by State'!G:G,MATCH(B56,'RPS by State'!A:A,0)),0)</f>
        <v>0</v>
      </c>
      <c r="B56" s="120" t="s">
        <v>2300</v>
      </c>
      <c r="C56" s="120">
        <f>IFERROR(INDEX(About!L:L,MATCH(B56,About!K:K,0)),0)</f>
        <v>0</v>
      </c>
      <c r="D56" s="100">
        <f>IFERROR(IF($A56=FALSE,0,INDEX('RPS by State'!O:O,MATCH($C56,'RPS by State'!$B:$B,0))),0)</f>
        <v>0</v>
      </c>
      <c r="E56" s="100">
        <f>IFERROR(IF($A56=FALSE,0,INDEX('RPS by State'!P:P,MATCH($C56,'RPS by State'!$B:$B,0))),0)</f>
        <v>0</v>
      </c>
      <c r="F56" s="100">
        <f>IFERROR(IF($A56=FALSE,0,INDEX('RPS by State'!Q:Q,MATCH($C56,'RPS by State'!$B:$B,0))),0)</f>
        <v>0</v>
      </c>
      <c r="G56" s="100">
        <f>IFERROR(IF($A56=FALSE,0,INDEX('RPS by State'!R:R,MATCH($C56,'RPS by State'!$B:$B,0))),0)</f>
        <v>0</v>
      </c>
      <c r="H56" s="100">
        <f>IFERROR(IF($A56=FALSE,0,INDEX('RPS by State'!S:S,MATCH($C56,'RPS by State'!$B:$B,0))),0)</f>
        <v>0</v>
      </c>
      <c r="I56" s="100">
        <f>IFERROR(IF($A56=FALSE,0,INDEX('RPS by State'!T:T,MATCH($C56,'RPS by State'!$B:$B,0))),0)</f>
        <v>0</v>
      </c>
      <c r="J56" s="100">
        <f>IFERROR(IF($A56=FALSE,0,INDEX('RPS by State'!U:U,MATCH($C56,'RPS by State'!$B:$B,0))),0)</f>
        <v>0</v>
      </c>
      <c r="K56" s="100">
        <f>IFERROR(IF($A56=FALSE,0,INDEX('RPS by State'!V:V,MATCH($C56,'RPS by State'!$B:$B,0))),0)</f>
        <v>0</v>
      </c>
      <c r="L56" s="100">
        <f>IFERROR(IF($A56=FALSE,0,INDEX('RPS by State'!W:W,MATCH($C56,'RPS by State'!$B:$B,0))),0)</f>
        <v>0</v>
      </c>
      <c r="M56" s="100">
        <f>IFERROR(IF($A56=FALSE,0,INDEX('RPS by State'!X:X,MATCH($C56,'RPS by State'!$B:$B,0))),0)</f>
        <v>0</v>
      </c>
      <c r="N56" s="100">
        <f>IFERROR(IF($A56=FALSE,0,INDEX('RPS by State'!Y:Y,MATCH($C56,'RPS by State'!$B:$B,0))),0)</f>
        <v>0</v>
      </c>
      <c r="O56" s="100">
        <f>IFERROR(IF($A56=FALSE,0,INDEX('RPS by State'!Z:Z,MATCH($C56,'RPS by State'!$B:$B,0))),0)</f>
        <v>0</v>
      </c>
      <c r="P56" s="100">
        <f>IFERROR(IF($A56=FALSE,0,INDEX('RPS by State'!AA:AA,MATCH($C56,'RPS by State'!$B:$B,0))),0)</f>
        <v>0</v>
      </c>
      <c r="Q56" s="100">
        <f>IFERROR(IF($A56=FALSE,0,INDEX('RPS by State'!AB:AB,MATCH($C56,'RPS by State'!$B:$B,0))),0)</f>
        <v>0</v>
      </c>
      <c r="R56" s="100">
        <f>IFERROR(IF($A56=FALSE,0,INDEX('RPS by State'!AC:AC,MATCH($C56,'RPS by State'!$B:$B,0))),0)</f>
        <v>0</v>
      </c>
      <c r="S56" s="100">
        <f>IFERROR(IF($A56=FALSE,0,INDEX('RPS by State'!AD:AD,MATCH($C56,'RPS by State'!$B:$B,0))),0)</f>
        <v>0</v>
      </c>
      <c r="T56" s="100">
        <f>IFERROR(IF($A56=FALSE,0,INDEX('RPS by State'!AE:AE,MATCH($C56,'RPS by State'!$B:$B,0))),0)</f>
        <v>0</v>
      </c>
      <c r="U56" s="100">
        <f>IFERROR(IF($A56=FALSE,0,INDEX('RPS by State'!AF:AF,MATCH($C56,'RPS by State'!$B:$B,0))),0)</f>
        <v>0</v>
      </c>
      <c r="V56" s="100">
        <f>IFERROR(IF($A56=FALSE,0,INDEX('RPS by State'!AG:AG,MATCH($C56,'RPS by State'!$B:$B,0))),0)</f>
        <v>0</v>
      </c>
      <c r="W56" s="100">
        <f>IFERROR(IF($A56=FALSE,0,INDEX('RPS by State'!AH:AH,MATCH($C56,'RPS by State'!$B:$B,0))),0)</f>
        <v>0</v>
      </c>
      <c r="X56" s="100">
        <f>IFERROR(IF($A56=FALSE,0,INDEX('RPS by State'!AI:AI,MATCH($C56,'RPS by State'!$B:$B,0))),0)</f>
        <v>0</v>
      </c>
      <c r="Y56" s="100">
        <f>IFERROR(IF($A56=FALSE,0,INDEX('RPS by State'!AJ:AJ,MATCH($C56,'RPS by State'!$B:$B,0))),0)</f>
        <v>0</v>
      </c>
      <c r="Z56" s="100">
        <f>IFERROR(IF($A56=FALSE,0,INDEX('RPS by State'!AK:AK,MATCH($C56,'RPS by State'!$B:$B,0))),0)</f>
        <v>0</v>
      </c>
      <c r="AA56" s="100">
        <f>IFERROR(IF($A56=FALSE,0,INDEX('RPS by State'!AL:AL,MATCH($C56,'RPS by State'!$B:$B,0))),0)</f>
        <v>0</v>
      </c>
      <c r="AB56" s="100">
        <f>IFERROR(IF($A56=FALSE,0,INDEX('RPS by State'!AM:AM,MATCH($C56,'RPS by State'!$B:$B,0))),0)</f>
        <v>0</v>
      </c>
      <c r="AC56" s="100">
        <f>IFERROR(IF($A56=FALSE,0,INDEX('RPS by State'!AN:AN,MATCH($C56,'RPS by State'!$B:$B,0))),0)</f>
        <v>0</v>
      </c>
      <c r="AD56" s="100">
        <f>IFERROR(IF($A56=FALSE,0,INDEX('RPS by State'!AO:AO,MATCH($C56,'RPS by State'!$B:$B,0))),0)</f>
        <v>0</v>
      </c>
      <c r="AE56" s="100">
        <f>IFERROR(IF($A56=FALSE,0,INDEX('RPS by State'!AP:AP,MATCH($C56,'RPS by State'!$B:$B,0))),0)</f>
        <v>0</v>
      </c>
      <c r="AF56" s="100">
        <f>IFERROR(IF($A56=FALSE,0,INDEX('RPS by State'!AQ:AQ,MATCH($C56,'RPS by State'!$B:$B,0))),0)</f>
        <v>0</v>
      </c>
      <c r="AG56" s="100">
        <f>IFERROR(IF($A56=FALSE,0,INDEX('RPS by State'!AR:AR,MATCH($C56,'RPS by State'!$B:$B,0))),0)</f>
        <v>0</v>
      </c>
      <c r="AH56" s="100">
        <f>IFERROR(IF($A56=FALSE,0,INDEX('RPS by State'!AS:AS,MATCH($C56,'RPS by State'!$B:$B,0))),0)</f>
        <v>0</v>
      </c>
      <c r="AI56" s="100">
        <f>IFERROR(IF($A56=FALSE,0,INDEX('RPS by State'!AT:AT,MATCH($C56,'RPS by State'!$B:$B,0))),0)</f>
        <v>0</v>
      </c>
      <c r="AJ56" s="100">
        <f>IFERROR(IF($A56=FALSE,0,INDEX('RPS by State'!AU:AU,MATCH($C56,'RPS by State'!$B:$B,0))),0)</f>
        <v>0</v>
      </c>
      <c r="AK56" s="100">
        <f>IFERROR(IF($A56=FALSE,0,INDEX('RPS by State'!AV:AV,MATCH($C56,'RPS by State'!$B:$B,0))),0)</f>
        <v>0</v>
      </c>
      <c r="AL56" s="100">
        <f>IFERROR(IF($A56=FALSE,0,INDEX('RPS by State'!AW:AW,MATCH($C56,'RPS by State'!$B:$B,0))),0)</f>
        <v>0</v>
      </c>
      <c r="AM56" s="100">
        <f>IFERROR(IF($A56=FALSE,0,INDEX('RPS by State'!AX:AX,MATCH($C56,'RPS by State'!$B:$B,0))),0)</f>
        <v>0</v>
      </c>
      <c r="AN56" s="100">
        <f>IFERROR(IF($A56=FALSE,0,INDEX('RPS by State'!AY:AY,MATCH($C56,'RPS by State'!$B:$B,0))),0)</f>
        <v>0</v>
      </c>
      <c r="AO56" s="100">
        <f>IFERROR(IF($A56=FALSE,0,INDEX('RPS by State'!AZ:AZ,MATCH($C56,'RPS by State'!$B:$B,0))),0)</f>
        <v>0</v>
      </c>
      <c r="AP56" s="100">
        <f>IFERROR(IF($A56=FALSE,0,INDEX('RPS by State'!BA:BA,MATCH($C56,'RPS by State'!$B:$B,0))),0)</f>
        <v>0</v>
      </c>
      <c r="AQ56" s="100">
        <f>IFERROR(IF($A56=FALSE,0,INDEX('RPS by State'!BB:BB,MATCH($C56,'RPS by State'!$B:$B,0))),0)</f>
        <v>0</v>
      </c>
      <c r="AR56" s="100">
        <f>IFERROR(IF($A56=FALSE,0,INDEX('RPS by State'!BC:BC,MATCH($C56,'RPS by State'!$B:$B,0))),0)</f>
        <v>0</v>
      </c>
      <c r="AS56" s="100">
        <f>IFERROR(IF($A56=FALSE,0,INDEX('RPS by State'!BD:BD,MATCH($C56,'RPS by State'!$B:$B,0))),0)</f>
        <v>0</v>
      </c>
      <c r="AT56" s="100">
        <f>IFERROR(IF($A56=FALSE,0,INDEX('RPS by State'!BE:BE,MATCH($C56,'RPS by State'!$B:$B,0))),0)</f>
        <v>0</v>
      </c>
      <c r="AU56" s="100">
        <f>IFERROR(IF($A56=FALSE,0,INDEX('RPS by State'!BF:BF,MATCH($C56,'RPS by State'!$B:$B,0))),0)</f>
        <v>0</v>
      </c>
      <c r="AV56" s="100">
        <f>IFERROR(IF($A56=FALSE,0,INDEX('RPS by State'!BG:BG,MATCH($C56,'RPS by State'!$B:$B,0))),0)</f>
        <v>0</v>
      </c>
      <c r="AW56" s="100">
        <f>IFERROR(IF($A56=FALSE,0,INDEX('RPS by State'!BH:BH,MATCH($C56,'RPS by State'!$B:$B,0))),0)</f>
        <v>0</v>
      </c>
      <c r="AX56" s="100">
        <f>IFERROR(IF($A56=FALSE,0,INDEX('RPS by State'!BI:BI,MATCH($C56,'RPS by State'!$B:$B,0))),0)</f>
        <v>0</v>
      </c>
      <c r="AY56" s="100">
        <f>IFERROR(IF($A56=FALSE,0,INDEX('RPS by State'!BJ:BJ,MATCH($C56,'RPS by State'!$B:$B,0))),0)</f>
        <v>0</v>
      </c>
      <c r="AZ56" s="100">
        <f>IFERROR(IF($A56=FALSE,0,INDEX('RPS by State'!BK:BK,MATCH($C56,'RPS by State'!$B:$B,0))),0)</f>
        <v>0</v>
      </c>
      <c r="BA56" s="100">
        <f>IFERROR(IF($A56=FALSE,0,INDEX('RPS by State'!BL:BL,MATCH($C56,'RPS by State'!$B:$B,0))),0)</f>
        <v>0</v>
      </c>
      <c r="BB56" s="100">
        <f>IFERROR(IF($A56=FALSE,0,INDEX('RPS by State'!BM:BM,MATCH($C56,'RPS by State'!$B:$B,0))),0)</f>
        <v>0</v>
      </c>
      <c r="BC56" s="100">
        <f>IFERROR(IF($A56=FALSE,0,INDEX('RPS by State'!BN:BN,MATCH($C56,'RPS by State'!$B:$B,0))),0)</f>
        <v>0</v>
      </c>
      <c r="BD56" s="100">
        <f>IFERROR(IF($A56=FALSE,0,INDEX('RPS by State'!BO:BO,MATCH($C56,'RPS by State'!$B:$B,0))),0)</f>
        <v>0</v>
      </c>
      <c r="BE56" s="100">
        <f>IFERROR(IF($A56=FALSE,0,INDEX('RPS by State'!BP:BP,MATCH($C56,'RPS by State'!$B:$B,0))),0)</f>
        <v>0</v>
      </c>
      <c r="BF56" s="100">
        <f>IFERROR(IF($A56=FALSE,0,INDEX('RPS by State'!BQ:BQ,MATCH($C56,'RPS by State'!$B:$B,0))),0)</f>
        <v>0</v>
      </c>
      <c r="BG56" s="100">
        <f>IFERROR(IF($A56=FALSE,0,INDEX('RPS by State'!BR:BR,MATCH($C56,'RPS by State'!$B:$B,0))),0)</f>
        <v>0</v>
      </c>
      <c r="BH56" s="100">
        <f>IFERROR(IF($A56=FALSE,0,INDEX('RPS by State'!BS:BS,MATCH($C56,'RPS by State'!$B:$B,0))),0)</f>
        <v>0</v>
      </c>
      <c r="BI56" s="100">
        <f>IFERROR(IF($A56=FALSE,0,INDEX('RPS by State'!BT:BT,MATCH($C56,'RPS by State'!$B:$B,0))),0)</f>
        <v>0</v>
      </c>
      <c r="BJ56" s="100">
        <f>IFERROR(IF($A56=FALSE,0,INDEX('RPS by State'!BU:BU,MATCH($C56,'RPS by State'!$B:$B,0))),0)</f>
        <v>0</v>
      </c>
      <c r="BK56" s="100">
        <f>IFERROR(IF($A56=FALSE,0,INDEX('RPS by State'!BV:BV,MATCH($C56,'RPS by State'!$B:$B,0))),0)</f>
        <v>0</v>
      </c>
      <c r="BL56" s="100">
        <f>IFERROR(IF($A56=FALSE,0,INDEX('RPS by State'!BW:BW,MATCH($C56,'RPS by State'!$B:$B,0))),0)</f>
        <v>0</v>
      </c>
      <c r="BM56" s="100">
        <f>IFERROR(IF($A56=FALSE,0,INDEX('RPS by State'!BX:BX,MATCH($C56,'RPS by State'!$B:$B,0))),0)</f>
        <v>0</v>
      </c>
      <c r="BN56" s="100">
        <f>IFERROR(IF($A56=FALSE,0,INDEX('RPS by State'!BY:BY,MATCH($C56,'RPS by State'!$B:$B,0))),0)</f>
        <v>0</v>
      </c>
      <c r="BO56" s="100">
        <f>IFERROR(IF($A56=FALSE,0,INDEX('RPS by State'!BZ:BZ,MATCH($C56,'RPS by State'!$B:$B,0))),0)</f>
        <v>0</v>
      </c>
      <c r="BP56" s="100">
        <f>IFERROR(IF($A56=FALSE,0,INDEX('RPS by State'!CA:CA,MATCH($C56,'RPS by State'!$B:$B,0))),0)</f>
        <v>0</v>
      </c>
      <c r="BQ56" s="100">
        <f>IFERROR(IF($A56=FALSE,0,INDEX('RPS by State'!CB:CB,MATCH($C56,'RPS by State'!$B:$B,0))),0)</f>
        <v>0</v>
      </c>
      <c r="BR56" s="100">
        <f>IFERROR(IF($A56=FALSE,0,INDEX('RPS by State'!CC:CC,MATCH($C56,'RPS by State'!$B:$B,0))),0)</f>
        <v>0</v>
      </c>
      <c r="BS56" s="100">
        <f>IFERROR(IF($A56=FALSE,0,INDEX('RPS by State'!CD:CD,MATCH($C56,'RPS by State'!$B:$B,0))),0)</f>
        <v>0</v>
      </c>
      <c r="BT56" s="100">
        <f>IFERROR(IF($A56=FALSE,0,INDEX('RPS by State'!CE:CE,MATCH($C56,'RPS by State'!$B:$B,0))),0)</f>
        <v>0</v>
      </c>
      <c r="BU56" s="100">
        <f>IFERROR(IF($A56=FALSE,0,INDEX('RPS by State'!CF:CF,MATCH($C56,'RPS by State'!$B:$B,0))),0)</f>
        <v>0</v>
      </c>
      <c r="BV56" s="100">
        <f>IFERROR(IF($A56=FALSE,0,INDEX('RPS by State'!CG:CG,MATCH($C56,'RPS by State'!$B:$B,0))),0)</f>
        <v>0</v>
      </c>
      <c r="BW56" s="100">
        <f>IFERROR(IF($A56=FALSE,0,INDEX('RPS by State'!CH:CH,MATCH($C56,'RPS by State'!$B:$B,0))),0)</f>
        <v>0</v>
      </c>
      <c r="BX56" s="100">
        <f>IFERROR(IF($A56=FALSE,0,INDEX('RPS by State'!CI:CI,MATCH($C56,'RPS by State'!$B:$B,0))),0)</f>
        <v>0</v>
      </c>
      <c r="BY56" s="100">
        <f>IFERROR(IF($A56=FALSE,0,INDEX('RPS by State'!CJ:CJ,MATCH($C56,'RPS by State'!$B:$B,0))),0)</f>
        <v>0</v>
      </c>
      <c r="BZ56" s="100">
        <f>IFERROR(IF($A56=FALSE,0,INDEX('RPS by State'!CK:CK,MATCH($C56,'RPS by State'!$B:$B,0))),0)</f>
        <v>0</v>
      </c>
      <c r="CA56" s="100">
        <f>IFERROR(IF($A56=FALSE,0,INDEX('RPS by State'!CL:CL,MATCH($C56,'RPS by State'!$B:$B,0))),0)</f>
        <v>0</v>
      </c>
      <c r="CB56" s="100">
        <f>IFERROR(IF($A56=FALSE,0,INDEX('RPS by State'!CM:CM,MATCH($C56,'RPS by State'!$B:$B,0))),0)</f>
        <v>0</v>
      </c>
      <c r="CC56" s="100">
        <f>IFERROR(IF($A56=FALSE,0,INDEX('RPS by State'!CN:CN,MATCH($C56,'RPS by State'!$B:$B,0))),0)</f>
        <v>0</v>
      </c>
      <c r="CD56" s="100">
        <f>IFERROR(IF($A56=FALSE,0,INDEX('RPS by State'!CO:CO,MATCH($C56,'RPS by State'!$B:$B,0))),0)</f>
        <v>0</v>
      </c>
      <c r="CE56" s="100">
        <f>IFERROR(IF($A56=FALSE,0,INDEX('RPS by State'!CP:CP,MATCH($C56,'RPS by State'!$B:$B,0))),0)</f>
        <v>0</v>
      </c>
    </row>
    <row r="57" spans="1:83" x14ac:dyDescent="0.25">
      <c r="A57">
        <f>IFERROR(INDEX('RPS by State'!G:G,MATCH(B57,'RPS by State'!A:A,0)),0)</f>
        <v>0</v>
      </c>
      <c r="B57" s="120" t="s">
        <v>2301</v>
      </c>
      <c r="C57" s="120">
        <f>IFERROR(INDEX(About!L:L,MATCH(B57,About!K:K,0)),0)</f>
        <v>0</v>
      </c>
      <c r="D57" s="100">
        <f>IFERROR(IF($A57=FALSE,0,INDEX('RPS by State'!O:O,MATCH($C57,'RPS by State'!$B:$B,0))),0)</f>
        <v>0</v>
      </c>
      <c r="E57" s="100">
        <f>IFERROR(IF($A57=FALSE,0,INDEX('RPS by State'!P:P,MATCH($C57,'RPS by State'!$B:$B,0))),0)</f>
        <v>0</v>
      </c>
      <c r="F57" s="100">
        <f>IFERROR(IF($A57=FALSE,0,INDEX('RPS by State'!Q:Q,MATCH($C57,'RPS by State'!$B:$B,0))),0)</f>
        <v>0</v>
      </c>
      <c r="G57" s="100">
        <f>IFERROR(IF($A57=FALSE,0,INDEX('RPS by State'!R:R,MATCH($C57,'RPS by State'!$B:$B,0))),0)</f>
        <v>0</v>
      </c>
      <c r="H57" s="100">
        <f>IFERROR(IF($A57=FALSE,0,INDEX('RPS by State'!S:S,MATCH($C57,'RPS by State'!$B:$B,0))),0)</f>
        <v>0</v>
      </c>
      <c r="I57" s="100">
        <f>IFERROR(IF($A57=FALSE,0,INDEX('RPS by State'!T:T,MATCH($C57,'RPS by State'!$B:$B,0))),0)</f>
        <v>0</v>
      </c>
      <c r="J57" s="100">
        <f>IFERROR(IF($A57=FALSE,0,INDEX('RPS by State'!U:U,MATCH($C57,'RPS by State'!$B:$B,0))),0)</f>
        <v>0</v>
      </c>
      <c r="K57" s="100">
        <f>IFERROR(IF($A57=FALSE,0,INDEX('RPS by State'!V:V,MATCH($C57,'RPS by State'!$B:$B,0))),0)</f>
        <v>0</v>
      </c>
      <c r="L57" s="100">
        <f>IFERROR(IF($A57=FALSE,0,INDEX('RPS by State'!W:W,MATCH($C57,'RPS by State'!$B:$B,0))),0)</f>
        <v>0</v>
      </c>
      <c r="M57" s="100">
        <f>IFERROR(IF($A57=FALSE,0,INDEX('RPS by State'!X:X,MATCH($C57,'RPS by State'!$B:$B,0))),0)</f>
        <v>0</v>
      </c>
      <c r="N57" s="100">
        <f>IFERROR(IF($A57=FALSE,0,INDEX('RPS by State'!Y:Y,MATCH($C57,'RPS by State'!$B:$B,0))),0)</f>
        <v>0</v>
      </c>
      <c r="O57" s="100">
        <f>IFERROR(IF($A57=FALSE,0,INDEX('RPS by State'!Z:Z,MATCH($C57,'RPS by State'!$B:$B,0))),0)</f>
        <v>0</v>
      </c>
      <c r="P57" s="100">
        <f>IFERROR(IF($A57=FALSE,0,INDEX('RPS by State'!AA:AA,MATCH($C57,'RPS by State'!$B:$B,0))),0)</f>
        <v>0</v>
      </c>
      <c r="Q57" s="100">
        <f>IFERROR(IF($A57=FALSE,0,INDEX('RPS by State'!AB:AB,MATCH($C57,'RPS by State'!$B:$B,0))),0)</f>
        <v>0</v>
      </c>
      <c r="R57" s="100">
        <f>IFERROR(IF($A57=FALSE,0,INDEX('RPS by State'!AC:AC,MATCH($C57,'RPS by State'!$B:$B,0))),0)</f>
        <v>0</v>
      </c>
      <c r="S57" s="100">
        <f>IFERROR(IF($A57=FALSE,0,INDEX('RPS by State'!AD:AD,MATCH($C57,'RPS by State'!$B:$B,0))),0)</f>
        <v>0</v>
      </c>
      <c r="T57" s="100">
        <f>IFERROR(IF($A57=FALSE,0,INDEX('RPS by State'!AE:AE,MATCH($C57,'RPS by State'!$B:$B,0))),0)</f>
        <v>0</v>
      </c>
      <c r="U57" s="100">
        <f>IFERROR(IF($A57=FALSE,0,INDEX('RPS by State'!AF:AF,MATCH($C57,'RPS by State'!$B:$B,0))),0)</f>
        <v>0</v>
      </c>
      <c r="V57" s="100">
        <f>IFERROR(IF($A57=FALSE,0,INDEX('RPS by State'!AG:AG,MATCH($C57,'RPS by State'!$B:$B,0))),0)</f>
        <v>0</v>
      </c>
      <c r="W57" s="100">
        <f>IFERROR(IF($A57=FALSE,0,INDEX('RPS by State'!AH:AH,MATCH($C57,'RPS by State'!$B:$B,0))),0)</f>
        <v>0</v>
      </c>
      <c r="X57" s="100">
        <f>IFERROR(IF($A57=FALSE,0,INDEX('RPS by State'!AI:AI,MATCH($C57,'RPS by State'!$B:$B,0))),0)</f>
        <v>0</v>
      </c>
      <c r="Y57" s="100">
        <f>IFERROR(IF($A57=FALSE,0,INDEX('RPS by State'!AJ:AJ,MATCH($C57,'RPS by State'!$B:$B,0))),0)</f>
        <v>0</v>
      </c>
      <c r="Z57" s="100">
        <f>IFERROR(IF($A57=FALSE,0,INDEX('RPS by State'!AK:AK,MATCH($C57,'RPS by State'!$B:$B,0))),0)</f>
        <v>0</v>
      </c>
      <c r="AA57" s="100">
        <f>IFERROR(IF($A57=FALSE,0,INDEX('RPS by State'!AL:AL,MATCH($C57,'RPS by State'!$B:$B,0))),0)</f>
        <v>0</v>
      </c>
      <c r="AB57" s="100">
        <f>IFERROR(IF($A57=FALSE,0,INDEX('RPS by State'!AM:AM,MATCH($C57,'RPS by State'!$B:$B,0))),0)</f>
        <v>0</v>
      </c>
      <c r="AC57" s="100">
        <f>IFERROR(IF($A57=FALSE,0,INDEX('RPS by State'!AN:AN,MATCH($C57,'RPS by State'!$B:$B,0))),0)</f>
        <v>0</v>
      </c>
      <c r="AD57" s="100">
        <f>IFERROR(IF($A57=FALSE,0,INDEX('RPS by State'!AO:AO,MATCH($C57,'RPS by State'!$B:$B,0))),0)</f>
        <v>0</v>
      </c>
      <c r="AE57" s="100">
        <f>IFERROR(IF($A57=FALSE,0,INDEX('RPS by State'!AP:AP,MATCH($C57,'RPS by State'!$B:$B,0))),0)</f>
        <v>0</v>
      </c>
      <c r="AF57" s="100">
        <f>IFERROR(IF($A57=FALSE,0,INDEX('RPS by State'!AQ:AQ,MATCH($C57,'RPS by State'!$B:$B,0))),0)</f>
        <v>0</v>
      </c>
      <c r="AG57" s="100">
        <f>IFERROR(IF($A57=FALSE,0,INDEX('RPS by State'!AR:AR,MATCH($C57,'RPS by State'!$B:$B,0))),0)</f>
        <v>0</v>
      </c>
      <c r="AH57" s="100">
        <f>IFERROR(IF($A57=FALSE,0,INDEX('RPS by State'!AS:AS,MATCH($C57,'RPS by State'!$B:$B,0))),0)</f>
        <v>0</v>
      </c>
      <c r="AI57" s="100">
        <f>IFERROR(IF($A57=FALSE,0,INDEX('RPS by State'!AT:AT,MATCH($C57,'RPS by State'!$B:$B,0))),0)</f>
        <v>0</v>
      </c>
      <c r="AJ57" s="100">
        <f>IFERROR(IF($A57=FALSE,0,INDEX('RPS by State'!AU:AU,MATCH($C57,'RPS by State'!$B:$B,0))),0)</f>
        <v>0</v>
      </c>
      <c r="AK57" s="100">
        <f>IFERROR(IF($A57=FALSE,0,INDEX('RPS by State'!AV:AV,MATCH($C57,'RPS by State'!$B:$B,0))),0)</f>
        <v>0</v>
      </c>
      <c r="AL57" s="100">
        <f>IFERROR(IF($A57=FALSE,0,INDEX('RPS by State'!AW:AW,MATCH($C57,'RPS by State'!$B:$B,0))),0)</f>
        <v>0</v>
      </c>
      <c r="AM57" s="100">
        <f>IFERROR(IF($A57=FALSE,0,INDEX('RPS by State'!AX:AX,MATCH($C57,'RPS by State'!$B:$B,0))),0)</f>
        <v>0</v>
      </c>
      <c r="AN57" s="100">
        <f>IFERROR(IF($A57=FALSE,0,INDEX('RPS by State'!AY:AY,MATCH($C57,'RPS by State'!$B:$B,0))),0)</f>
        <v>0</v>
      </c>
      <c r="AO57" s="100">
        <f>IFERROR(IF($A57=FALSE,0,INDEX('RPS by State'!AZ:AZ,MATCH($C57,'RPS by State'!$B:$B,0))),0)</f>
        <v>0</v>
      </c>
      <c r="AP57" s="100">
        <f>IFERROR(IF($A57=FALSE,0,INDEX('RPS by State'!BA:BA,MATCH($C57,'RPS by State'!$B:$B,0))),0)</f>
        <v>0</v>
      </c>
      <c r="AQ57" s="100">
        <f>IFERROR(IF($A57=FALSE,0,INDEX('RPS by State'!BB:BB,MATCH($C57,'RPS by State'!$B:$B,0))),0)</f>
        <v>0</v>
      </c>
      <c r="AR57" s="100">
        <f>IFERROR(IF($A57=FALSE,0,INDEX('RPS by State'!BC:BC,MATCH($C57,'RPS by State'!$B:$B,0))),0)</f>
        <v>0</v>
      </c>
      <c r="AS57" s="100">
        <f>IFERROR(IF($A57=FALSE,0,INDEX('RPS by State'!BD:BD,MATCH($C57,'RPS by State'!$B:$B,0))),0)</f>
        <v>0</v>
      </c>
      <c r="AT57" s="100">
        <f>IFERROR(IF($A57=FALSE,0,INDEX('RPS by State'!BE:BE,MATCH($C57,'RPS by State'!$B:$B,0))),0)</f>
        <v>0</v>
      </c>
      <c r="AU57" s="100">
        <f>IFERROR(IF($A57=FALSE,0,INDEX('RPS by State'!BF:BF,MATCH($C57,'RPS by State'!$B:$B,0))),0)</f>
        <v>0</v>
      </c>
      <c r="AV57" s="100">
        <f>IFERROR(IF($A57=FALSE,0,INDEX('RPS by State'!BG:BG,MATCH($C57,'RPS by State'!$B:$B,0))),0)</f>
        <v>0</v>
      </c>
      <c r="AW57" s="100">
        <f>IFERROR(IF($A57=FALSE,0,INDEX('RPS by State'!BH:BH,MATCH($C57,'RPS by State'!$B:$B,0))),0)</f>
        <v>0</v>
      </c>
      <c r="AX57" s="100">
        <f>IFERROR(IF($A57=FALSE,0,INDEX('RPS by State'!BI:BI,MATCH($C57,'RPS by State'!$B:$B,0))),0)</f>
        <v>0</v>
      </c>
      <c r="AY57" s="100">
        <f>IFERROR(IF($A57=FALSE,0,INDEX('RPS by State'!BJ:BJ,MATCH($C57,'RPS by State'!$B:$B,0))),0)</f>
        <v>0</v>
      </c>
      <c r="AZ57" s="100">
        <f>IFERROR(IF($A57=FALSE,0,INDEX('RPS by State'!BK:BK,MATCH($C57,'RPS by State'!$B:$B,0))),0)</f>
        <v>0</v>
      </c>
      <c r="BA57" s="100">
        <f>IFERROR(IF($A57=FALSE,0,INDEX('RPS by State'!BL:BL,MATCH($C57,'RPS by State'!$B:$B,0))),0)</f>
        <v>0</v>
      </c>
      <c r="BB57" s="100">
        <f>IFERROR(IF($A57=FALSE,0,INDEX('RPS by State'!BM:BM,MATCH($C57,'RPS by State'!$B:$B,0))),0)</f>
        <v>0</v>
      </c>
      <c r="BC57" s="100">
        <f>IFERROR(IF($A57=FALSE,0,INDEX('RPS by State'!BN:BN,MATCH($C57,'RPS by State'!$B:$B,0))),0)</f>
        <v>0</v>
      </c>
      <c r="BD57" s="100">
        <f>IFERROR(IF($A57=FALSE,0,INDEX('RPS by State'!BO:BO,MATCH($C57,'RPS by State'!$B:$B,0))),0)</f>
        <v>0</v>
      </c>
      <c r="BE57" s="100">
        <f>IFERROR(IF($A57=FALSE,0,INDEX('RPS by State'!BP:BP,MATCH($C57,'RPS by State'!$B:$B,0))),0)</f>
        <v>0</v>
      </c>
      <c r="BF57" s="100">
        <f>IFERROR(IF($A57=FALSE,0,INDEX('RPS by State'!BQ:BQ,MATCH($C57,'RPS by State'!$B:$B,0))),0)</f>
        <v>0</v>
      </c>
      <c r="BG57" s="100">
        <f>IFERROR(IF($A57=FALSE,0,INDEX('RPS by State'!BR:BR,MATCH($C57,'RPS by State'!$B:$B,0))),0)</f>
        <v>0</v>
      </c>
      <c r="BH57" s="100">
        <f>IFERROR(IF($A57=FALSE,0,INDEX('RPS by State'!BS:BS,MATCH($C57,'RPS by State'!$B:$B,0))),0)</f>
        <v>0</v>
      </c>
      <c r="BI57" s="100">
        <f>IFERROR(IF($A57=FALSE,0,INDEX('RPS by State'!BT:BT,MATCH($C57,'RPS by State'!$B:$B,0))),0)</f>
        <v>0</v>
      </c>
      <c r="BJ57" s="100">
        <f>IFERROR(IF($A57=FALSE,0,INDEX('RPS by State'!BU:BU,MATCH($C57,'RPS by State'!$B:$B,0))),0)</f>
        <v>0</v>
      </c>
      <c r="BK57" s="100">
        <f>IFERROR(IF($A57=FALSE,0,INDEX('RPS by State'!BV:BV,MATCH($C57,'RPS by State'!$B:$B,0))),0)</f>
        <v>0</v>
      </c>
      <c r="BL57" s="100">
        <f>IFERROR(IF($A57=FALSE,0,INDEX('RPS by State'!BW:BW,MATCH($C57,'RPS by State'!$B:$B,0))),0)</f>
        <v>0</v>
      </c>
      <c r="BM57" s="100">
        <f>IFERROR(IF($A57=FALSE,0,INDEX('RPS by State'!BX:BX,MATCH($C57,'RPS by State'!$B:$B,0))),0)</f>
        <v>0</v>
      </c>
      <c r="BN57" s="100">
        <f>IFERROR(IF($A57=FALSE,0,INDEX('RPS by State'!BY:BY,MATCH($C57,'RPS by State'!$B:$B,0))),0)</f>
        <v>0</v>
      </c>
      <c r="BO57" s="100">
        <f>IFERROR(IF($A57=FALSE,0,INDEX('RPS by State'!BZ:BZ,MATCH($C57,'RPS by State'!$B:$B,0))),0)</f>
        <v>0</v>
      </c>
      <c r="BP57" s="100">
        <f>IFERROR(IF($A57=FALSE,0,INDEX('RPS by State'!CA:CA,MATCH($C57,'RPS by State'!$B:$B,0))),0)</f>
        <v>0</v>
      </c>
      <c r="BQ57" s="100">
        <f>IFERROR(IF($A57=FALSE,0,INDEX('RPS by State'!CB:CB,MATCH($C57,'RPS by State'!$B:$B,0))),0)</f>
        <v>0</v>
      </c>
      <c r="BR57" s="100">
        <f>IFERROR(IF($A57=FALSE,0,INDEX('RPS by State'!CC:CC,MATCH($C57,'RPS by State'!$B:$B,0))),0)</f>
        <v>0</v>
      </c>
      <c r="BS57" s="100">
        <f>IFERROR(IF($A57=FALSE,0,INDEX('RPS by State'!CD:CD,MATCH($C57,'RPS by State'!$B:$B,0))),0)</f>
        <v>0</v>
      </c>
      <c r="BT57" s="100">
        <f>IFERROR(IF($A57=FALSE,0,INDEX('RPS by State'!CE:CE,MATCH($C57,'RPS by State'!$B:$B,0))),0)</f>
        <v>0</v>
      </c>
      <c r="BU57" s="100">
        <f>IFERROR(IF($A57=FALSE,0,INDEX('RPS by State'!CF:CF,MATCH($C57,'RPS by State'!$B:$B,0))),0)</f>
        <v>0</v>
      </c>
      <c r="BV57" s="100">
        <f>IFERROR(IF($A57=FALSE,0,INDEX('RPS by State'!CG:CG,MATCH($C57,'RPS by State'!$B:$B,0))),0)</f>
        <v>0</v>
      </c>
      <c r="BW57" s="100">
        <f>IFERROR(IF($A57=FALSE,0,INDEX('RPS by State'!CH:CH,MATCH($C57,'RPS by State'!$B:$B,0))),0)</f>
        <v>0</v>
      </c>
      <c r="BX57" s="100">
        <f>IFERROR(IF($A57=FALSE,0,INDEX('RPS by State'!CI:CI,MATCH($C57,'RPS by State'!$B:$B,0))),0)</f>
        <v>0</v>
      </c>
      <c r="BY57" s="100">
        <f>IFERROR(IF($A57=FALSE,0,INDEX('RPS by State'!CJ:CJ,MATCH($C57,'RPS by State'!$B:$B,0))),0)</f>
        <v>0</v>
      </c>
      <c r="BZ57" s="100">
        <f>IFERROR(IF($A57=FALSE,0,INDEX('RPS by State'!CK:CK,MATCH($C57,'RPS by State'!$B:$B,0))),0)</f>
        <v>0</v>
      </c>
      <c r="CA57" s="100">
        <f>IFERROR(IF($A57=FALSE,0,INDEX('RPS by State'!CL:CL,MATCH($C57,'RPS by State'!$B:$B,0))),0)</f>
        <v>0</v>
      </c>
      <c r="CB57" s="100">
        <f>IFERROR(IF($A57=FALSE,0,INDEX('RPS by State'!CM:CM,MATCH($C57,'RPS by State'!$B:$B,0))),0)</f>
        <v>0</v>
      </c>
      <c r="CC57" s="100">
        <f>IFERROR(IF($A57=FALSE,0,INDEX('RPS by State'!CN:CN,MATCH($C57,'RPS by State'!$B:$B,0))),0)</f>
        <v>0</v>
      </c>
      <c r="CD57" s="100">
        <f>IFERROR(IF($A57=FALSE,0,INDEX('RPS by State'!CO:CO,MATCH($C57,'RPS by State'!$B:$B,0))),0)</f>
        <v>0</v>
      </c>
      <c r="CE57" s="100">
        <f>IFERROR(IF($A57=FALSE,0,INDEX('RPS by State'!CP:CP,MATCH($C57,'RPS by State'!$B:$B,0))),0)</f>
        <v>0</v>
      </c>
    </row>
    <row r="58" spans="1:83" x14ac:dyDescent="0.25">
      <c r="A58">
        <f>IFERROR(INDEX('RPS by State'!G:G,MATCH(B58,'RPS by State'!A:A,0)),0)</f>
        <v>0</v>
      </c>
      <c r="B58" s="120" t="s">
        <v>2302</v>
      </c>
      <c r="C58" s="120">
        <f>IFERROR(INDEX(About!L:L,MATCH(B58,About!K:K,0)),0)</f>
        <v>0</v>
      </c>
      <c r="D58" s="100">
        <f>IFERROR(IF($A58=FALSE,0,INDEX('RPS by State'!O:O,MATCH($C58,'RPS by State'!$B:$B,0))),0)</f>
        <v>0</v>
      </c>
      <c r="E58" s="100">
        <f>IFERROR(IF($A58=FALSE,0,INDEX('RPS by State'!P:P,MATCH($C58,'RPS by State'!$B:$B,0))),0)</f>
        <v>0</v>
      </c>
      <c r="F58" s="100">
        <f>IFERROR(IF($A58=FALSE,0,INDEX('RPS by State'!Q:Q,MATCH($C58,'RPS by State'!$B:$B,0))),0)</f>
        <v>0</v>
      </c>
      <c r="G58" s="100">
        <f>IFERROR(IF($A58=FALSE,0,INDEX('RPS by State'!R:R,MATCH($C58,'RPS by State'!$B:$B,0))),0)</f>
        <v>0</v>
      </c>
      <c r="H58" s="100">
        <f>IFERROR(IF($A58=FALSE,0,INDEX('RPS by State'!S:S,MATCH($C58,'RPS by State'!$B:$B,0))),0)</f>
        <v>0</v>
      </c>
      <c r="I58" s="100">
        <f>IFERROR(IF($A58=FALSE,0,INDEX('RPS by State'!T:T,MATCH($C58,'RPS by State'!$B:$B,0))),0)</f>
        <v>0</v>
      </c>
      <c r="J58" s="100">
        <f>IFERROR(IF($A58=FALSE,0,INDEX('RPS by State'!U:U,MATCH($C58,'RPS by State'!$B:$B,0))),0)</f>
        <v>0</v>
      </c>
      <c r="K58" s="100">
        <f>IFERROR(IF($A58=FALSE,0,INDEX('RPS by State'!V:V,MATCH($C58,'RPS by State'!$B:$B,0))),0)</f>
        <v>0</v>
      </c>
      <c r="L58" s="100">
        <f>IFERROR(IF($A58=FALSE,0,INDEX('RPS by State'!W:W,MATCH($C58,'RPS by State'!$B:$B,0))),0)</f>
        <v>0</v>
      </c>
      <c r="M58" s="100">
        <f>IFERROR(IF($A58=FALSE,0,INDEX('RPS by State'!X:X,MATCH($C58,'RPS by State'!$B:$B,0))),0)</f>
        <v>0</v>
      </c>
      <c r="N58" s="100">
        <f>IFERROR(IF($A58=FALSE,0,INDEX('RPS by State'!Y:Y,MATCH($C58,'RPS by State'!$B:$B,0))),0)</f>
        <v>0</v>
      </c>
      <c r="O58" s="100">
        <f>IFERROR(IF($A58=FALSE,0,INDEX('RPS by State'!Z:Z,MATCH($C58,'RPS by State'!$B:$B,0))),0)</f>
        <v>0</v>
      </c>
      <c r="P58" s="100">
        <f>IFERROR(IF($A58=FALSE,0,INDEX('RPS by State'!AA:AA,MATCH($C58,'RPS by State'!$B:$B,0))),0)</f>
        <v>0</v>
      </c>
      <c r="Q58" s="100">
        <f>IFERROR(IF($A58=FALSE,0,INDEX('RPS by State'!AB:AB,MATCH($C58,'RPS by State'!$B:$B,0))),0)</f>
        <v>0</v>
      </c>
      <c r="R58" s="100">
        <f>IFERROR(IF($A58=FALSE,0,INDEX('RPS by State'!AC:AC,MATCH($C58,'RPS by State'!$B:$B,0))),0)</f>
        <v>0</v>
      </c>
      <c r="S58" s="100">
        <f>IFERROR(IF($A58=FALSE,0,INDEX('RPS by State'!AD:AD,MATCH($C58,'RPS by State'!$B:$B,0))),0)</f>
        <v>0</v>
      </c>
      <c r="T58" s="100">
        <f>IFERROR(IF($A58=FALSE,0,INDEX('RPS by State'!AE:AE,MATCH($C58,'RPS by State'!$B:$B,0))),0)</f>
        <v>0</v>
      </c>
      <c r="U58" s="100">
        <f>IFERROR(IF($A58=FALSE,0,INDEX('RPS by State'!AF:AF,MATCH($C58,'RPS by State'!$B:$B,0))),0)</f>
        <v>0</v>
      </c>
      <c r="V58" s="100">
        <f>IFERROR(IF($A58=FALSE,0,INDEX('RPS by State'!AG:AG,MATCH($C58,'RPS by State'!$B:$B,0))),0)</f>
        <v>0</v>
      </c>
      <c r="W58" s="100">
        <f>IFERROR(IF($A58=FALSE,0,INDEX('RPS by State'!AH:AH,MATCH($C58,'RPS by State'!$B:$B,0))),0)</f>
        <v>0</v>
      </c>
      <c r="X58" s="100">
        <f>IFERROR(IF($A58=FALSE,0,INDEX('RPS by State'!AI:AI,MATCH($C58,'RPS by State'!$B:$B,0))),0)</f>
        <v>0</v>
      </c>
      <c r="Y58" s="100">
        <f>IFERROR(IF($A58=FALSE,0,INDEX('RPS by State'!AJ:AJ,MATCH($C58,'RPS by State'!$B:$B,0))),0)</f>
        <v>0</v>
      </c>
      <c r="Z58" s="100">
        <f>IFERROR(IF($A58=FALSE,0,INDEX('RPS by State'!AK:AK,MATCH($C58,'RPS by State'!$B:$B,0))),0)</f>
        <v>0</v>
      </c>
      <c r="AA58" s="100">
        <f>IFERROR(IF($A58=FALSE,0,INDEX('RPS by State'!AL:AL,MATCH($C58,'RPS by State'!$B:$B,0))),0)</f>
        <v>0</v>
      </c>
      <c r="AB58" s="100">
        <f>IFERROR(IF($A58=FALSE,0,INDEX('RPS by State'!AM:AM,MATCH($C58,'RPS by State'!$B:$B,0))),0)</f>
        <v>0</v>
      </c>
      <c r="AC58" s="100">
        <f>IFERROR(IF($A58=FALSE,0,INDEX('RPS by State'!AN:AN,MATCH($C58,'RPS by State'!$B:$B,0))),0)</f>
        <v>0</v>
      </c>
      <c r="AD58" s="100">
        <f>IFERROR(IF($A58=FALSE,0,INDEX('RPS by State'!AO:AO,MATCH($C58,'RPS by State'!$B:$B,0))),0)</f>
        <v>0</v>
      </c>
      <c r="AE58" s="100">
        <f>IFERROR(IF($A58=FALSE,0,INDEX('RPS by State'!AP:AP,MATCH($C58,'RPS by State'!$B:$B,0))),0)</f>
        <v>0</v>
      </c>
      <c r="AF58" s="100">
        <f>IFERROR(IF($A58=FALSE,0,INDEX('RPS by State'!AQ:AQ,MATCH($C58,'RPS by State'!$B:$B,0))),0)</f>
        <v>0</v>
      </c>
      <c r="AG58" s="100">
        <f>IFERROR(IF($A58=FALSE,0,INDEX('RPS by State'!AR:AR,MATCH($C58,'RPS by State'!$B:$B,0))),0)</f>
        <v>0</v>
      </c>
      <c r="AH58" s="100">
        <f>IFERROR(IF($A58=FALSE,0,INDEX('RPS by State'!AS:AS,MATCH($C58,'RPS by State'!$B:$B,0))),0)</f>
        <v>0</v>
      </c>
      <c r="AI58" s="100">
        <f>IFERROR(IF($A58=FALSE,0,INDEX('RPS by State'!AT:AT,MATCH($C58,'RPS by State'!$B:$B,0))),0)</f>
        <v>0</v>
      </c>
      <c r="AJ58" s="100">
        <f>IFERROR(IF($A58=FALSE,0,INDEX('RPS by State'!AU:AU,MATCH($C58,'RPS by State'!$B:$B,0))),0)</f>
        <v>0</v>
      </c>
      <c r="AK58" s="100">
        <f>IFERROR(IF($A58=FALSE,0,INDEX('RPS by State'!AV:AV,MATCH($C58,'RPS by State'!$B:$B,0))),0)</f>
        <v>0</v>
      </c>
      <c r="AL58" s="100">
        <f>IFERROR(IF($A58=FALSE,0,INDEX('RPS by State'!AW:AW,MATCH($C58,'RPS by State'!$B:$B,0))),0)</f>
        <v>0</v>
      </c>
      <c r="AM58" s="100">
        <f>IFERROR(IF($A58=FALSE,0,INDEX('RPS by State'!AX:AX,MATCH($C58,'RPS by State'!$B:$B,0))),0)</f>
        <v>0</v>
      </c>
      <c r="AN58" s="100">
        <f>IFERROR(IF($A58=FALSE,0,INDEX('RPS by State'!AY:AY,MATCH($C58,'RPS by State'!$B:$B,0))),0)</f>
        <v>0</v>
      </c>
      <c r="AO58" s="100">
        <f>IFERROR(IF($A58=FALSE,0,INDEX('RPS by State'!AZ:AZ,MATCH($C58,'RPS by State'!$B:$B,0))),0)</f>
        <v>0</v>
      </c>
      <c r="AP58" s="100">
        <f>IFERROR(IF($A58=FALSE,0,INDEX('RPS by State'!BA:BA,MATCH($C58,'RPS by State'!$B:$B,0))),0)</f>
        <v>0</v>
      </c>
      <c r="AQ58" s="100">
        <f>IFERROR(IF($A58=FALSE,0,INDEX('RPS by State'!BB:BB,MATCH($C58,'RPS by State'!$B:$B,0))),0)</f>
        <v>0</v>
      </c>
      <c r="AR58" s="100">
        <f>IFERROR(IF($A58=FALSE,0,INDEX('RPS by State'!BC:BC,MATCH($C58,'RPS by State'!$B:$B,0))),0)</f>
        <v>0</v>
      </c>
      <c r="AS58" s="100">
        <f>IFERROR(IF($A58=FALSE,0,INDEX('RPS by State'!BD:BD,MATCH($C58,'RPS by State'!$B:$B,0))),0)</f>
        <v>0</v>
      </c>
      <c r="AT58" s="100">
        <f>IFERROR(IF($A58=FALSE,0,INDEX('RPS by State'!BE:BE,MATCH($C58,'RPS by State'!$B:$B,0))),0)</f>
        <v>0</v>
      </c>
      <c r="AU58" s="100">
        <f>IFERROR(IF($A58=FALSE,0,INDEX('RPS by State'!BF:BF,MATCH($C58,'RPS by State'!$B:$B,0))),0)</f>
        <v>0</v>
      </c>
      <c r="AV58" s="100">
        <f>IFERROR(IF($A58=FALSE,0,INDEX('RPS by State'!BG:BG,MATCH($C58,'RPS by State'!$B:$B,0))),0)</f>
        <v>0</v>
      </c>
      <c r="AW58" s="100">
        <f>IFERROR(IF($A58=FALSE,0,INDEX('RPS by State'!BH:BH,MATCH($C58,'RPS by State'!$B:$B,0))),0)</f>
        <v>0</v>
      </c>
      <c r="AX58" s="100">
        <f>IFERROR(IF($A58=FALSE,0,INDEX('RPS by State'!BI:BI,MATCH($C58,'RPS by State'!$B:$B,0))),0)</f>
        <v>0</v>
      </c>
      <c r="AY58" s="100">
        <f>IFERROR(IF($A58=FALSE,0,INDEX('RPS by State'!BJ:BJ,MATCH($C58,'RPS by State'!$B:$B,0))),0)</f>
        <v>0</v>
      </c>
      <c r="AZ58" s="100">
        <f>IFERROR(IF($A58=FALSE,0,INDEX('RPS by State'!BK:BK,MATCH($C58,'RPS by State'!$B:$B,0))),0)</f>
        <v>0</v>
      </c>
      <c r="BA58" s="100">
        <f>IFERROR(IF($A58=FALSE,0,INDEX('RPS by State'!BL:BL,MATCH($C58,'RPS by State'!$B:$B,0))),0)</f>
        <v>0</v>
      </c>
      <c r="BB58" s="100">
        <f>IFERROR(IF($A58=FALSE,0,INDEX('RPS by State'!BM:BM,MATCH($C58,'RPS by State'!$B:$B,0))),0)</f>
        <v>0</v>
      </c>
      <c r="BC58" s="100">
        <f>IFERROR(IF($A58=FALSE,0,INDEX('RPS by State'!BN:BN,MATCH($C58,'RPS by State'!$B:$B,0))),0)</f>
        <v>0</v>
      </c>
      <c r="BD58" s="100">
        <f>IFERROR(IF($A58=FALSE,0,INDEX('RPS by State'!BO:BO,MATCH($C58,'RPS by State'!$B:$B,0))),0)</f>
        <v>0</v>
      </c>
      <c r="BE58" s="100">
        <f>IFERROR(IF($A58=FALSE,0,INDEX('RPS by State'!BP:BP,MATCH($C58,'RPS by State'!$B:$B,0))),0)</f>
        <v>0</v>
      </c>
      <c r="BF58" s="100">
        <f>IFERROR(IF($A58=FALSE,0,INDEX('RPS by State'!BQ:BQ,MATCH($C58,'RPS by State'!$B:$B,0))),0)</f>
        <v>0</v>
      </c>
      <c r="BG58" s="100">
        <f>IFERROR(IF($A58=FALSE,0,INDEX('RPS by State'!BR:BR,MATCH($C58,'RPS by State'!$B:$B,0))),0)</f>
        <v>0</v>
      </c>
      <c r="BH58" s="100">
        <f>IFERROR(IF($A58=FALSE,0,INDEX('RPS by State'!BS:BS,MATCH($C58,'RPS by State'!$B:$B,0))),0)</f>
        <v>0</v>
      </c>
      <c r="BI58" s="100">
        <f>IFERROR(IF($A58=FALSE,0,INDEX('RPS by State'!BT:BT,MATCH($C58,'RPS by State'!$B:$B,0))),0)</f>
        <v>0</v>
      </c>
      <c r="BJ58" s="100">
        <f>IFERROR(IF($A58=FALSE,0,INDEX('RPS by State'!BU:BU,MATCH($C58,'RPS by State'!$B:$B,0))),0)</f>
        <v>0</v>
      </c>
      <c r="BK58" s="100">
        <f>IFERROR(IF($A58=FALSE,0,INDEX('RPS by State'!BV:BV,MATCH($C58,'RPS by State'!$B:$B,0))),0)</f>
        <v>0</v>
      </c>
      <c r="BL58" s="100">
        <f>IFERROR(IF($A58=FALSE,0,INDEX('RPS by State'!BW:BW,MATCH($C58,'RPS by State'!$B:$B,0))),0)</f>
        <v>0</v>
      </c>
      <c r="BM58" s="100">
        <f>IFERROR(IF($A58=FALSE,0,INDEX('RPS by State'!BX:BX,MATCH($C58,'RPS by State'!$B:$B,0))),0)</f>
        <v>0</v>
      </c>
      <c r="BN58" s="100">
        <f>IFERROR(IF($A58=FALSE,0,INDEX('RPS by State'!BY:BY,MATCH($C58,'RPS by State'!$B:$B,0))),0)</f>
        <v>0</v>
      </c>
      <c r="BO58" s="100">
        <f>IFERROR(IF($A58=FALSE,0,INDEX('RPS by State'!BZ:BZ,MATCH($C58,'RPS by State'!$B:$B,0))),0)</f>
        <v>0</v>
      </c>
      <c r="BP58" s="100">
        <f>IFERROR(IF($A58=FALSE,0,INDEX('RPS by State'!CA:CA,MATCH($C58,'RPS by State'!$B:$B,0))),0)</f>
        <v>0</v>
      </c>
      <c r="BQ58" s="100">
        <f>IFERROR(IF($A58=FALSE,0,INDEX('RPS by State'!CB:CB,MATCH($C58,'RPS by State'!$B:$B,0))),0)</f>
        <v>0</v>
      </c>
      <c r="BR58" s="100">
        <f>IFERROR(IF($A58=FALSE,0,INDEX('RPS by State'!CC:CC,MATCH($C58,'RPS by State'!$B:$B,0))),0)</f>
        <v>0</v>
      </c>
      <c r="BS58" s="100">
        <f>IFERROR(IF($A58=FALSE,0,INDEX('RPS by State'!CD:CD,MATCH($C58,'RPS by State'!$B:$B,0))),0)</f>
        <v>0</v>
      </c>
      <c r="BT58" s="100">
        <f>IFERROR(IF($A58=FALSE,0,INDEX('RPS by State'!CE:CE,MATCH($C58,'RPS by State'!$B:$B,0))),0)</f>
        <v>0</v>
      </c>
      <c r="BU58" s="100">
        <f>IFERROR(IF($A58=FALSE,0,INDEX('RPS by State'!CF:CF,MATCH($C58,'RPS by State'!$B:$B,0))),0)</f>
        <v>0</v>
      </c>
      <c r="BV58" s="100">
        <f>IFERROR(IF($A58=FALSE,0,INDEX('RPS by State'!CG:CG,MATCH($C58,'RPS by State'!$B:$B,0))),0)</f>
        <v>0</v>
      </c>
      <c r="BW58" s="100">
        <f>IFERROR(IF($A58=FALSE,0,INDEX('RPS by State'!CH:CH,MATCH($C58,'RPS by State'!$B:$B,0))),0)</f>
        <v>0</v>
      </c>
      <c r="BX58" s="100">
        <f>IFERROR(IF($A58=FALSE,0,INDEX('RPS by State'!CI:CI,MATCH($C58,'RPS by State'!$B:$B,0))),0)</f>
        <v>0</v>
      </c>
      <c r="BY58" s="100">
        <f>IFERROR(IF($A58=FALSE,0,INDEX('RPS by State'!CJ:CJ,MATCH($C58,'RPS by State'!$B:$B,0))),0)</f>
        <v>0</v>
      </c>
      <c r="BZ58" s="100">
        <f>IFERROR(IF($A58=FALSE,0,INDEX('RPS by State'!CK:CK,MATCH($C58,'RPS by State'!$B:$B,0))),0)</f>
        <v>0</v>
      </c>
      <c r="CA58" s="100">
        <f>IFERROR(IF($A58=FALSE,0,INDEX('RPS by State'!CL:CL,MATCH($C58,'RPS by State'!$B:$B,0))),0)</f>
        <v>0</v>
      </c>
      <c r="CB58" s="100">
        <f>IFERROR(IF($A58=FALSE,0,INDEX('RPS by State'!CM:CM,MATCH($C58,'RPS by State'!$B:$B,0))),0)</f>
        <v>0</v>
      </c>
      <c r="CC58" s="100">
        <f>IFERROR(IF($A58=FALSE,0,INDEX('RPS by State'!CN:CN,MATCH($C58,'RPS by State'!$B:$B,0))),0)</f>
        <v>0</v>
      </c>
      <c r="CD58" s="100">
        <f>IFERROR(IF($A58=FALSE,0,INDEX('RPS by State'!CO:CO,MATCH($C58,'RPS by State'!$B:$B,0))),0)</f>
        <v>0</v>
      </c>
      <c r="CE58" s="100">
        <f>IFERROR(IF($A58=FALSE,0,INDEX('RPS by State'!CP:CP,MATCH($C58,'RPS by State'!$B:$B,0))),0)</f>
        <v>0</v>
      </c>
    </row>
    <row r="59" spans="1:83" x14ac:dyDescent="0.25">
      <c r="A59">
        <f>IFERROR(INDEX('RPS by State'!G:G,MATCH(B59,'RPS by State'!A:A,0)),0)</f>
        <v>0</v>
      </c>
      <c r="B59" s="120" t="s">
        <v>2303</v>
      </c>
      <c r="C59" s="120">
        <f>IFERROR(INDEX(About!L:L,MATCH(B59,About!K:K,0)),0)</f>
        <v>0</v>
      </c>
      <c r="D59" s="100">
        <f>IFERROR(IF($A59=FALSE,0,INDEX('RPS by State'!O:O,MATCH($C59,'RPS by State'!$B:$B,0))),0)</f>
        <v>0</v>
      </c>
      <c r="E59" s="100">
        <f>IFERROR(IF($A59=FALSE,0,INDEX('RPS by State'!P:P,MATCH($C59,'RPS by State'!$B:$B,0))),0)</f>
        <v>0</v>
      </c>
      <c r="F59" s="100">
        <f>IFERROR(IF($A59=FALSE,0,INDEX('RPS by State'!Q:Q,MATCH($C59,'RPS by State'!$B:$B,0))),0)</f>
        <v>0</v>
      </c>
      <c r="G59" s="100">
        <f>IFERROR(IF($A59=FALSE,0,INDEX('RPS by State'!R:R,MATCH($C59,'RPS by State'!$B:$B,0))),0)</f>
        <v>0</v>
      </c>
      <c r="H59" s="100">
        <f>IFERROR(IF($A59=FALSE,0,INDEX('RPS by State'!S:S,MATCH($C59,'RPS by State'!$B:$B,0))),0)</f>
        <v>0</v>
      </c>
      <c r="I59" s="100">
        <f>IFERROR(IF($A59=FALSE,0,INDEX('RPS by State'!T:T,MATCH($C59,'RPS by State'!$B:$B,0))),0)</f>
        <v>0</v>
      </c>
      <c r="J59" s="100">
        <f>IFERROR(IF($A59=FALSE,0,INDEX('RPS by State'!U:U,MATCH($C59,'RPS by State'!$B:$B,0))),0)</f>
        <v>0</v>
      </c>
      <c r="K59" s="100">
        <f>IFERROR(IF($A59=FALSE,0,INDEX('RPS by State'!V:V,MATCH($C59,'RPS by State'!$B:$B,0))),0)</f>
        <v>0</v>
      </c>
      <c r="L59" s="100">
        <f>IFERROR(IF($A59=FALSE,0,INDEX('RPS by State'!W:W,MATCH($C59,'RPS by State'!$B:$B,0))),0)</f>
        <v>0</v>
      </c>
      <c r="M59" s="100">
        <f>IFERROR(IF($A59=FALSE,0,INDEX('RPS by State'!X:X,MATCH($C59,'RPS by State'!$B:$B,0))),0)</f>
        <v>0</v>
      </c>
      <c r="N59" s="100">
        <f>IFERROR(IF($A59=FALSE,0,INDEX('RPS by State'!Y:Y,MATCH($C59,'RPS by State'!$B:$B,0))),0)</f>
        <v>0</v>
      </c>
      <c r="O59" s="100">
        <f>IFERROR(IF($A59=FALSE,0,INDEX('RPS by State'!Z:Z,MATCH($C59,'RPS by State'!$B:$B,0))),0)</f>
        <v>0</v>
      </c>
      <c r="P59" s="100">
        <f>IFERROR(IF($A59=FALSE,0,INDEX('RPS by State'!AA:AA,MATCH($C59,'RPS by State'!$B:$B,0))),0)</f>
        <v>0</v>
      </c>
      <c r="Q59" s="100">
        <f>IFERROR(IF($A59=FALSE,0,INDEX('RPS by State'!AB:AB,MATCH($C59,'RPS by State'!$B:$B,0))),0)</f>
        <v>0</v>
      </c>
      <c r="R59" s="100">
        <f>IFERROR(IF($A59=FALSE,0,INDEX('RPS by State'!AC:AC,MATCH($C59,'RPS by State'!$B:$B,0))),0)</f>
        <v>0</v>
      </c>
      <c r="S59" s="100">
        <f>IFERROR(IF($A59=FALSE,0,INDEX('RPS by State'!AD:AD,MATCH($C59,'RPS by State'!$B:$B,0))),0)</f>
        <v>0</v>
      </c>
      <c r="T59" s="100">
        <f>IFERROR(IF($A59=FALSE,0,INDEX('RPS by State'!AE:AE,MATCH($C59,'RPS by State'!$B:$B,0))),0)</f>
        <v>0</v>
      </c>
      <c r="U59" s="100">
        <f>IFERROR(IF($A59=FALSE,0,INDEX('RPS by State'!AF:AF,MATCH($C59,'RPS by State'!$B:$B,0))),0)</f>
        <v>0</v>
      </c>
      <c r="V59" s="100">
        <f>IFERROR(IF($A59=FALSE,0,INDEX('RPS by State'!AG:AG,MATCH($C59,'RPS by State'!$B:$B,0))),0)</f>
        <v>0</v>
      </c>
      <c r="W59" s="100">
        <f>IFERROR(IF($A59=FALSE,0,INDEX('RPS by State'!AH:AH,MATCH($C59,'RPS by State'!$B:$B,0))),0)</f>
        <v>0</v>
      </c>
      <c r="X59" s="100">
        <f>IFERROR(IF($A59=FALSE,0,INDEX('RPS by State'!AI:AI,MATCH($C59,'RPS by State'!$B:$B,0))),0)</f>
        <v>0</v>
      </c>
      <c r="Y59" s="100">
        <f>IFERROR(IF($A59=FALSE,0,INDEX('RPS by State'!AJ:AJ,MATCH($C59,'RPS by State'!$B:$B,0))),0)</f>
        <v>0</v>
      </c>
      <c r="Z59" s="100">
        <f>IFERROR(IF($A59=FALSE,0,INDEX('RPS by State'!AK:AK,MATCH($C59,'RPS by State'!$B:$B,0))),0)</f>
        <v>0</v>
      </c>
      <c r="AA59" s="100">
        <f>IFERROR(IF($A59=FALSE,0,INDEX('RPS by State'!AL:AL,MATCH($C59,'RPS by State'!$B:$B,0))),0)</f>
        <v>0</v>
      </c>
      <c r="AB59" s="100">
        <f>IFERROR(IF($A59=FALSE,0,INDEX('RPS by State'!AM:AM,MATCH($C59,'RPS by State'!$B:$B,0))),0)</f>
        <v>0</v>
      </c>
      <c r="AC59" s="100">
        <f>IFERROR(IF($A59=FALSE,0,INDEX('RPS by State'!AN:AN,MATCH($C59,'RPS by State'!$B:$B,0))),0)</f>
        <v>0</v>
      </c>
      <c r="AD59" s="100">
        <f>IFERROR(IF($A59=FALSE,0,INDEX('RPS by State'!AO:AO,MATCH($C59,'RPS by State'!$B:$B,0))),0)</f>
        <v>0</v>
      </c>
      <c r="AE59" s="100">
        <f>IFERROR(IF($A59=FALSE,0,INDEX('RPS by State'!AP:AP,MATCH($C59,'RPS by State'!$B:$B,0))),0)</f>
        <v>0</v>
      </c>
      <c r="AF59" s="100">
        <f>IFERROR(IF($A59=FALSE,0,INDEX('RPS by State'!AQ:AQ,MATCH($C59,'RPS by State'!$B:$B,0))),0)</f>
        <v>0</v>
      </c>
      <c r="AG59" s="100">
        <f>IFERROR(IF($A59=FALSE,0,INDEX('RPS by State'!AR:AR,MATCH($C59,'RPS by State'!$B:$B,0))),0)</f>
        <v>0</v>
      </c>
      <c r="AH59" s="100">
        <f>IFERROR(IF($A59=FALSE,0,INDEX('RPS by State'!AS:AS,MATCH($C59,'RPS by State'!$B:$B,0))),0)</f>
        <v>0</v>
      </c>
      <c r="AI59" s="100">
        <f>IFERROR(IF($A59=FALSE,0,INDEX('RPS by State'!AT:AT,MATCH($C59,'RPS by State'!$B:$B,0))),0)</f>
        <v>0</v>
      </c>
      <c r="AJ59" s="100">
        <f>IFERROR(IF($A59=FALSE,0,INDEX('RPS by State'!AU:AU,MATCH($C59,'RPS by State'!$B:$B,0))),0)</f>
        <v>0</v>
      </c>
      <c r="AK59" s="100">
        <f>IFERROR(IF($A59=FALSE,0,INDEX('RPS by State'!AV:AV,MATCH($C59,'RPS by State'!$B:$B,0))),0)</f>
        <v>0</v>
      </c>
      <c r="AL59" s="100">
        <f>IFERROR(IF($A59=FALSE,0,INDEX('RPS by State'!AW:AW,MATCH($C59,'RPS by State'!$B:$B,0))),0)</f>
        <v>0</v>
      </c>
      <c r="AM59" s="100">
        <f>IFERROR(IF($A59=FALSE,0,INDEX('RPS by State'!AX:AX,MATCH($C59,'RPS by State'!$B:$B,0))),0)</f>
        <v>0</v>
      </c>
      <c r="AN59" s="100">
        <f>IFERROR(IF($A59=FALSE,0,INDEX('RPS by State'!AY:AY,MATCH($C59,'RPS by State'!$B:$B,0))),0)</f>
        <v>0</v>
      </c>
      <c r="AO59" s="100">
        <f>IFERROR(IF($A59=FALSE,0,INDEX('RPS by State'!AZ:AZ,MATCH($C59,'RPS by State'!$B:$B,0))),0)</f>
        <v>0</v>
      </c>
      <c r="AP59" s="100">
        <f>IFERROR(IF($A59=FALSE,0,INDEX('RPS by State'!BA:BA,MATCH($C59,'RPS by State'!$B:$B,0))),0)</f>
        <v>0</v>
      </c>
      <c r="AQ59" s="100">
        <f>IFERROR(IF($A59=FALSE,0,INDEX('RPS by State'!BB:BB,MATCH($C59,'RPS by State'!$B:$B,0))),0)</f>
        <v>0</v>
      </c>
      <c r="AR59" s="100">
        <f>IFERROR(IF($A59=FALSE,0,INDEX('RPS by State'!BC:BC,MATCH($C59,'RPS by State'!$B:$B,0))),0)</f>
        <v>0</v>
      </c>
      <c r="AS59" s="100">
        <f>IFERROR(IF($A59=FALSE,0,INDEX('RPS by State'!BD:BD,MATCH($C59,'RPS by State'!$B:$B,0))),0)</f>
        <v>0</v>
      </c>
      <c r="AT59" s="100">
        <f>IFERROR(IF($A59=FALSE,0,INDEX('RPS by State'!BE:BE,MATCH($C59,'RPS by State'!$B:$B,0))),0)</f>
        <v>0</v>
      </c>
      <c r="AU59" s="100">
        <f>IFERROR(IF($A59=FALSE,0,INDEX('RPS by State'!BF:BF,MATCH($C59,'RPS by State'!$B:$B,0))),0)</f>
        <v>0</v>
      </c>
      <c r="AV59" s="100">
        <f>IFERROR(IF($A59=FALSE,0,INDEX('RPS by State'!BG:BG,MATCH($C59,'RPS by State'!$B:$B,0))),0)</f>
        <v>0</v>
      </c>
      <c r="AW59" s="100">
        <f>IFERROR(IF($A59=FALSE,0,INDEX('RPS by State'!BH:BH,MATCH($C59,'RPS by State'!$B:$B,0))),0)</f>
        <v>0</v>
      </c>
      <c r="AX59" s="100">
        <f>IFERROR(IF($A59=FALSE,0,INDEX('RPS by State'!BI:BI,MATCH($C59,'RPS by State'!$B:$B,0))),0)</f>
        <v>0</v>
      </c>
      <c r="AY59" s="100">
        <f>IFERROR(IF($A59=FALSE,0,INDEX('RPS by State'!BJ:BJ,MATCH($C59,'RPS by State'!$B:$B,0))),0)</f>
        <v>0</v>
      </c>
      <c r="AZ59" s="100">
        <f>IFERROR(IF($A59=FALSE,0,INDEX('RPS by State'!BK:BK,MATCH($C59,'RPS by State'!$B:$B,0))),0)</f>
        <v>0</v>
      </c>
      <c r="BA59" s="100">
        <f>IFERROR(IF($A59=FALSE,0,INDEX('RPS by State'!BL:BL,MATCH($C59,'RPS by State'!$B:$B,0))),0)</f>
        <v>0</v>
      </c>
      <c r="BB59" s="100">
        <f>IFERROR(IF($A59=FALSE,0,INDEX('RPS by State'!BM:BM,MATCH($C59,'RPS by State'!$B:$B,0))),0)</f>
        <v>0</v>
      </c>
      <c r="BC59" s="100">
        <f>IFERROR(IF($A59=FALSE,0,INDEX('RPS by State'!BN:BN,MATCH($C59,'RPS by State'!$B:$B,0))),0)</f>
        <v>0</v>
      </c>
      <c r="BD59" s="100">
        <f>IFERROR(IF($A59=FALSE,0,INDEX('RPS by State'!BO:BO,MATCH($C59,'RPS by State'!$B:$B,0))),0)</f>
        <v>0</v>
      </c>
      <c r="BE59" s="100">
        <f>IFERROR(IF($A59=FALSE,0,INDEX('RPS by State'!BP:BP,MATCH($C59,'RPS by State'!$B:$B,0))),0)</f>
        <v>0</v>
      </c>
      <c r="BF59" s="100">
        <f>IFERROR(IF($A59=FALSE,0,INDEX('RPS by State'!BQ:BQ,MATCH($C59,'RPS by State'!$B:$B,0))),0)</f>
        <v>0</v>
      </c>
      <c r="BG59" s="100">
        <f>IFERROR(IF($A59=FALSE,0,INDEX('RPS by State'!BR:BR,MATCH($C59,'RPS by State'!$B:$B,0))),0)</f>
        <v>0</v>
      </c>
      <c r="BH59" s="100">
        <f>IFERROR(IF($A59=FALSE,0,INDEX('RPS by State'!BS:BS,MATCH($C59,'RPS by State'!$B:$B,0))),0)</f>
        <v>0</v>
      </c>
      <c r="BI59" s="100">
        <f>IFERROR(IF($A59=FALSE,0,INDEX('RPS by State'!BT:BT,MATCH($C59,'RPS by State'!$B:$B,0))),0)</f>
        <v>0</v>
      </c>
      <c r="BJ59" s="100">
        <f>IFERROR(IF($A59=FALSE,0,INDEX('RPS by State'!BU:BU,MATCH($C59,'RPS by State'!$B:$B,0))),0)</f>
        <v>0</v>
      </c>
      <c r="BK59" s="100">
        <f>IFERROR(IF($A59=FALSE,0,INDEX('RPS by State'!BV:BV,MATCH($C59,'RPS by State'!$B:$B,0))),0)</f>
        <v>0</v>
      </c>
      <c r="BL59" s="100">
        <f>IFERROR(IF($A59=FALSE,0,INDEX('RPS by State'!BW:BW,MATCH($C59,'RPS by State'!$B:$B,0))),0)</f>
        <v>0</v>
      </c>
      <c r="BM59" s="100">
        <f>IFERROR(IF($A59=FALSE,0,INDEX('RPS by State'!BX:BX,MATCH($C59,'RPS by State'!$B:$B,0))),0)</f>
        <v>0</v>
      </c>
      <c r="BN59" s="100">
        <f>IFERROR(IF($A59=FALSE,0,INDEX('RPS by State'!BY:BY,MATCH($C59,'RPS by State'!$B:$B,0))),0)</f>
        <v>0</v>
      </c>
      <c r="BO59" s="100">
        <f>IFERROR(IF($A59=FALSE,0,INDEX('RPS by State'!BZ:BZ,MATCH($C59,'RPS by State'!$B:$B,0))),0)</f>
        <v>0</v>
      </c>
      <c r="BP59" s="100">
        <f>IFERROR(IF($A59=FALSE,0,INDEX('RPS by State'!CA:CA,MATCH($C59,'RPS by State'!$B:$B,0))),0)</f>
        <v>0</v>
      </c>
      <c r="BQ59" s="100">
        <f>IFERROR(IF($A59=FALSE,0,INDEX('RPS by State'!CB:CB,MATCH($C59,'RPS by State'!$B:$B,0))),0)</f>
        <v>0</v>
      </c>
      <c r="BR59" s="100">
        <f>IFERROR(IF($A59=FALSE,0,INDEX('RPS by State'!CC:CC,MATCH($C59,'RPS by State'!$B:$B,0))),0)</f>
        <v>0</v>
      </c>
      <c r="BS59" s="100">
        <f>IFERROR(IF($A59=FALSE,0,INDEX('RPS by State'!CD:CD,MATCH($C59,'RPS by State'!$B:$B,0))),0)</f>
        <v>0</v>
      </c>
      <c r="BT59" s="100">
        <f>IFERROR(IF($A59=FALSE,0,INDEX('RPS by State'!CE:CE,MATCH($C59,'RPS by State'!$B:$B,0))),0)</f>
        <v>0</v>
      </c>
      <c r="BU59" s="100">
        <f>IFERROR(IF($A59=FALSE,0,INDEX('RPS by State'!CF:CF,MATCH($C59,'RPS by State'!$B:$B,0))),0)</f>
        <v>0</v>
      </c>
      <c r="BV59" s="100">
        <f>IFERROR(IF($A59=FALSE,0,INDEX('RPS by State'!CG:CG,MATCH($C59,'RPS by State'!$B:$B,0))),0)</f>
        <v>0</v>
      </c>
      <c r="BW59" s="100">
        <f>IFERROR(IF($A59=FALSE,0,INDEX('RPS by State'!CH:CH,MATCH($C59,'RPS by State'!$B:$B,0))),0)</f>
        <v>0</v>
      </c>
      <c r="BX59" s="100">
        <f>IFERROR(IF($A59=FALSE,0,INDEX('RPS by State'!CI:CI,MATCH($C59,'RPS by State'!$B:$B,0))),0)</f>
        <v>0</v>
      </c>
      <c r="BY59" s="100">
        <f>IFERROR(IF($A59=FALSE,0,INDEX('RPS by State'!CJ:CJ,MATCH($C59,'RPS by State'!$B:$B,0))),0)</f>
        <v>0</v>
      </c>
      <c r="BZ59" s="100">
        <f>IFERROR(IF($A59=FALSE,0,INDEX('RPS by State'!CK:CK,MATCH($C59,'RPS by State'!$B:$B,0))),0)</f>
        <v>0</v>
      </c>
      <c r="CA59" s="100">
        <f>IFERROR(IF($A59=FALSE,0,INDEX('RPS by State'!CL:CL,MATCH($C59,'RPS by State'!$B:$B,0))),0)</f>
        <v>0</v>
      </c>
      <c r="CB59" s="100">
        <f>IFERROR(IF($A59=FALSE,0,INDEX('RPS by State'!CM:CM,MATCH($C59,'RPS by State'!$B:$B,0))),0)</f>
        <v>0</v>
      </c>
      <c r="CC59" s="100">
        <f>IFERROR(IF($A59=FALSE,0,INDEX('RPS by State'!CN:CN,MATCH($C59,'RPS by State'!$B:$B,0))),0)</f>
        <v>0</v>
      </c>
      <c r="CD59" s="100">
        <f>IFERROR(IF($A59=FALSE,0,INDEX('RPS by State'!CO:CO,MATCH($C59,'RPS by State'!$B:$B,0))),0)</f>
        <v>0</v>
      </c>
      <c r="CE59" s="100">
        <f>IFERROR(IF($A59=FALSE,0,INDEX('RPS by State'!CP:CP,MATCH($C59,'RPS by State'!$B:$B,0))),0)</f>
        <v>0</v>
      </c>
    </row>
    <row r="60" spans="1:83" x14ac:dyDescent="0.25">
      <c r="A60">
        <f>IFERROR(INDEX('RPS by State'!G:G,MATCH(B60,'RPS by State'!A:A,0)),0)</f>
        <v>0</v>
      </c>
      <c r="B60" s="120" t="s">
        <v>2304</v>
      </c>
      <c r="C60" s="120">
        <f>IFERROR(INDEX(About!L:L,MATCH(B60,About!K:K,0)),0)</f>
        <v>0</v>
      </c>
      <c r="D60" s="100">
        <f>IFERROR(IF($A60=FALSE,0,INDEX('RPS by State'!O:O,MATCH($C60,'RPS by State'!$B:$B,0))),0)</f>
        <v>0</v>
      </c>
      <c r="E60" s="100">
        <f>IFERROR(IF($A60=FALSE,0,INDEX('RPS by State'!P:P,MATCH($C60,'RPS by State'!$B:$B,0))),0)</f>
        <v>0</v>
      </c>
      <c r="F60" s="100">
        <f>IFERROR(IF($A60=FALSE,0,INDEX('RPS by State'!Q:Q,MATCH($C60,'RPS by State'!$B:$B,0))),0)</f>
        <v>0</v>
      </c>
      <c r="G60" s="100">
        <f>IFERROR(IF($A60=FALSE,0,INDEX('RPS by State'!R:R,MATCH($C60,'RPS by State'!$B:$B,0))),0)</f>
        <v>0</v>
      </c>
      <c r="H60" s="100">
        <f>IFERROR(IF($A60=FALSE,0,INDEX('RPS by State'!S:S,MATCH($C60,'RPS by State'!$B:$B,0))),0)</f>
        <v>0</v>
      </c>
      <c r="I60" s="100">
        <f>IFERROR(IF($A60=FALSE,0,INDEX('RPS by State'!T:T,MATCH($C60,'RPS by State'!$B:$B,0))),0)</f>
        <v>0</v>
      </c>
      <c r="J60" s="100">
        <f>IFERROR(IF($A60=FALSE,0,INDEX('RPS by State'!U:U,MATCH($C60,'RPS by State'!$B:$B,0))),0)</f>
        <v>0</v>
      </c>
      <c r="K60" s="100">
        <f>IFERROR(IF($A60=FALSE,0,INDEX('RPS by State'!V:V,MATCH($C60,'RPS by State'!$B:$B,0))),0)</f>
        <v>0</v>
      </c>
      <c r="L60" s="100">
        <f>IFERROR(IF($A60=FALSE,0,INDEX('RPS by State'!W:W,MATCH($C60,'RPS by State'!$B:$B,0))),0)</f>
        <v>0</v>
      </c>
      <c r="M60" s="100">
        <f>IFERROR(IF($A60=FALSE,0,INDEX('RPS by State'!X:X,MATCH($C60,'RPS by State'!$B:$B,0))),0)</f>
        <v>0</v>
      </c>
      <c r="N60" s="100">
        <f>IFERROR(IF($A60=FALSE,0,INDEX('RPS by State'!Y:Y,MATCH($C60,'RPS by State'!$B:$B,0))),0)</f>
        <v>0</v>
      </c>
      <c r="O60" s="100">
        <f>IFERROR(IF($A60=FALSE,0,INDEX('RPS by State'!Z:Z,MATCH($C60,'RPS by State'!$B:$B,0))),0)</f>
        <v>0</v>
      </c>
      <c r="P60" s="100">
        <f>IFERROR(IF($A60=FALSE,0,INDEX('RPS by State'!AA:AA,MATCH($C60,'RPS by State'!$B:$B,0))),0)</f>
        <v>0</v>
      </c>
      <c r="Q60" s="100">
        <f>IFERROR(IF($A60=FALSE,0,INDEX('RPS by State'!AB:AB,MATCH($C60,'RPS by State'!$B:$B,0))),0)</f>
        <v>0</v>
      </c>
      <c r="R60" s="100">
        <f>IFERROR(IF($A60=FALSE,0,INDEX('RPS by State'!AC:AC,MATCH($C60,'RPS by State'!$B:$B,0))),0)</f>
        <v>0</v>
      </c>
      <c r="S60" s="100">
        <f>IFERROR(IF($A60=FALSE,0,INDEX('RPS by State'!AD:AD,MATCH($C60,'RPS by State'!$B:$B,0))),0)</f>
        <v>0</v>
      </c>
      <c r="T60" s="100">
        <f>IFERROR(IF($A60=FALSE,0,INDEX('RPS by State'!AE:AE,MATCH($C60,'RPS by State'!$B:$B,0))),0)</f>
        <v>0</v>
      </c>
      <c r="U60" s="100">
        <f>IFERROR(IF($A60=FALSE,0,INDEX('RPS by State'!AF:AF,MATCH($C60,'RPS by State'!$B:$B,0))),0)</f>
        <v>0</v>
      </c>
      <c r="V60" s="100">
        <f>IFERROR(IF($A60=FALSE,0,INDEX('RPS by State'!AG:AG,MATCH($C60,'RPS by State'!$B:$B,0))),0)</f>
        <v>0</v>
      </c>
      <c r="W60" s="100">
        <f>IFERROR(IF($A60=FALSE,0,INDEX('RPS by State'!AH:AH,MATCH($C60,'RPS by State'!$B:$B,0))),0)</f>
        <v>0</v>
      </c>
      <c r="X60" s="100">
        <f>IFERROR(IF($A60=FALSE,0,INDEX('RPS by State'!AI:AI,MATCH($C60,'RPS by State'!$B:$B,0))),0)</f>
        <v>0</v>
      </c>
      <c r="Y60" s="100">
        <f>IFERROR(IF($A60=FALSE,0,INDEX('RPS by State'!AJ:AJ,MATCH($C60,'RPS by State'!$B:$B,0))),0)</f>
        <v>0</v>
      </c>
      <c r="Z60" s="100">
        <f>IFERROR(IF($A60=FALSE,0,INDEX('RPS by State'!AK:AK,MATCH($C60,'RPS by State'!$B:$B,0))),0)</f>
        <v>0</v>
      </c>
      <c r="AA60" s="100">
        <f>IFERROR(IF($A60=FALSE,0,INDEX('RPS by State'!AL:AL,MATCH($C60,'RPS by State'!$B:$B,0))),0)</f>
        <v>0</v>
      </c>
      <c r="AB60" s="100">
        <f>IFERROR(IF($A60=FALSE,0,INDEX('RPS by State'!AM:AM,MATCH($C60,'RPS by State'!$B:$B,0))),0)</f>
        <v>0</v>
      </c>
      <c r="AC60" s="100">
        <f>IFERROR(IF($A60=FALSE,0,INDEX('RPS by State'!AN:AN,MATCH($C60,'RPS by State'!$B:$B,0))),0)</f>
        <v>0</v>
      </c>
      <c r="AD60" s="100">
        <f>IFERROR(IF($A60=FALSE,0,INDEX('RPS by State'!AO:AO,MATCH($C60,'RPS by State'!$B:$B,0))),0)</f>
        <v>0</v>
      </c>
      <c r="AE60" s="100">
        <f>IFERROR(IF($A60=FALSE,0,INDEX('RPS by State'!AP:AP,MATCH($C60,'RPS by State'!$B:$B,0))),0)</f>
        <v>0</v>
      </c>
      <c r="AF60" s="100">
        <f>IFERROR(IF($A60=FALSE,0,INDEX('RPS by State'!AQ:AQ,MATCH($C60,'RPS by State'!$B:$B,0))),0)</f>
        <v>0</v>
      </c>
      <c r="AG60" s="100">
        <f>IFERROR(IF($A60=FALSE,0,INDEX('RPS by State'!AR:AR,MATCH($C60,'RPS by State'!$B:$B,0))),0)</f>
        <v>0</v>
      </c>
      <c r="AH60" s="100">
        <f>IFERROR(IF($A60=FALSE,0,INDEX('RPS by State'!AS:AS,MATCH($C60,'RPS by State'!$B:$B,0))),0)</f>
        <v>0</v>
      </c>
      <c r="AI60" s="100">
        <f>IFERROR(IF($A60=FALSE,0,INDEX('RPS by State'!AT:AT,MATCH($C60,'RPS by State'!$B:$B,0))),0)</f>
        <v>0</v>
      </c>
      <c r="AJ60" s="100">
        <f>IFERROR(IF($A60=FALSE,0,INDEX('RPS by State'!AU:AU,MATCH($C60,'RPS by State'!$B:$B,0))),0)</f>
        <v>0</v>
      </c>
      <c r="AK60" s="100">
        <f>IFERROR(IF($A60=FALSE,0,INDEX('RPS by State'!AV:AV,MATCH($C60,'RPS by State'!$B:$B,0))),0)</f>
        <v>0</v>
      </c>
      <c r="AL60" s="100">
        <f>IFERROR(IF($A60=FALSE,0,INDEX('RPS by State'!AW:AW,MATCH($C60,'RPS by State'!$B:$B,0))),0)</f>
        <v>0</v>
      </c>
      <c r="AM60" s="100">
        <f>IFERROR(IF($A60=FALSE,0,INDEX('RPS by State'!AX:AX,MATCH($C60,'RPS by State'!$B:$B,0))),0)</f>
        <v>0</v>
      </c>
      <c r="AN60" s="100">
        <f>IFERROR(IF($A60=FALSE,0,INDEX('RPS by State'!AY:AY,MATCH($C60,'RPS by State'!$B:$B,0))),0)</f>
        <v>0</v>
      </c>
      <c r="AO60" s="100">
        <f>IFERROR(IF($A60=FALSE,0,INDEX('RPS by State'!AZ:AZ,MATCH($C60,'RPS by State'!$B:$B,0))),0)</f>
        <v>0</v>
      </c>
      <c r="AP60" s="100">
        <f>IFERROR(IF($A60=FALSE,0,INDEX('RPS by State'!BA:BA,MATCH($C60,'RPS by State'!$B:$B,0))),0)</f>
        <v>0</v>
      </c>
      <c r="AQ60" s="100">
        <f>IFERROR(IF($A60=FALSE,0,INDEX('RPS by State'!BB:BB,MATCH($C60,'RPS by State'!$B:$B,0))),0)</f>
        <v>0</v>
      </c>
      <c r="AR60" s="100">
        <f>IFERROR(IF($A60=FALSE,0,INDEX('RPS by State'!BC:BC,MATCH($C60,'RPS by State'!$B:$B,0))),0)</f>
        <v>0</v>
      </c>
      <c r="AS60" s="100">
        <f>IFERROR(IF($A60=FALSE,0,INDEX('RPS by State'!BD:BD,MATCH($C60,'RPS by State'!$B:$B,0))),0)</f>
        <v>0</v>
      </c>
      <c r="AT60" s="100">
        <f>IFERROR(IF($A60=FALSE,0,INDEX('RPS by State'!BE:BE,MATCH($C60,'RPS by State'!$B:$B,0))),0)</f>
        <v>0</v>
      </c>
      <c r="AU60" s="100">
        <f>IFERROR(IF($A60=FALSE,0,INDEX('RPS by State'!BF:BF,MATCH($C60,'RPS by State'!$B:$B,0))),0)</f>
        <v>0</v>
      </c>
      <c r="AV60" s="100">
        <f>IFERROR(IF($A60=FALSE,0,INDEX('RPS by State'!BG:BG,MATCH($C60,'RPS by State'!$B:$B,0))),0)</f>
        <v>0</v>
      </c>
      <c r="AW60" s="100">
        <f>IFERROR(IF($A60=FALSE,0,INDEX('RPS by State'!BH:BH,MATCH($C60,'RPS by State'!$B:$B,0))),0)</f>
        <v>0</v>
      </c>
      <c r="AX60" s="100">
        <f>IFERROR(IF($A60=FALSE,0,INDEX('RPS by State'!BI:BI,MATCH($C60,'RPS by State'!$B:$B,0))),0)</f>
        <v>0</v>
      </c>
      <c r="AY60" s="100">
        <f>IFERROR(IF($A60=FALSE,0,INDEX('RPS by State'!BJ:BJ,MATCH($C60,'RPS by State'!$B:$B,0))),0)</f>
        <v>0</v>
      </c>
      <c r="AZ60" s="100">
        <f>IFERROR(IF($A60=FALSE,0,INDEX('RPS by State'!BK:BK,MATCH($C60,'RPS by State'!$B:$B,0))),0)</f>
        <v>0</v>
      </c>
      <c r="BA60" s="100">
        <f>IFERROR(IF($A60=FALSE,0,INDEX('RPS by State'!BL:BL,MATCH($C60,'RPS by State'!$B:$B,0))),0)</f>
        <v>0</v>
      </c>
      <c r="BB60" s="100">
        <f>IFERROR(IF($A60=FALSE,0,INDEX('RPS by State'!BM:BM,MATCH($C60,'RPS by State'!$B:$B,0))),0)</f>
        <v>0</v>
      </c>
      <c r="BC60" s="100">
        <f>IFERROR(IF($A60=FALSE,0,INDEX('RPS by State'!BN:BN,MATCH($C60,'RPS by State'!$B:$B,0))),0)</f>
        <v>0</v>
      </c>
      <c r="BD60" s="100">
        <f>IFERROR(IF($A60=FALSE,0,INDEX('RPS by State'!BO:BO,MATCH($C60,'RPS by State'!$B:$B,0))),0)</f>
        <v>0</v>
      </c>
      <c r="BE60" s="100">
        <f>IFERROR(IF($A60=FALSE,0,INDEX('RPS by State'!BP:BP,MATCH($C60,'RPS by State'!$B:$B,0))),0)</f>
        <v>0</v>
      </c>
      <c r="BF60" s="100">
        <f>IFERROR(IF($A60=FALSE,0,INDEX('RPS by State'!BQ:BQ,MATCH($C60,'RPS by State'!$B:$B,0))),0)</f>
        <v>0</v>
      </c>
      <c r="BG60" s="100">
        <f>IFERROR(IF($A60=FALSE,0,INDEX('RPS by State'!BR:BR,MATCH($C60,'RPS by State'!$B:$B,0))),0)</f>
        <v>0</v>
      </c>
      <c r="BH60" s="100">
        <f>IFERROR(IF($A60=FALSE,0,INDEX('RPS by State'!BS:BS,MATCH($C60,'RPS by State'!$B:$B,0))),0)</f>
        <v>0</v>
      </c>
      <c r="BI60" s="100">
        <f>IFERROR(IF($A60=FALSE,0,INDEX('RPS by State'!BT:BT,MATCH($C60,'RPS by State'!$B:$B,0))),0)</f>
        <v>0</v>
      </c>
      <c r="BJ60" s="100">
        <f>IFERROR(IF($A60=FALSE,0,INDEX('RPS by State'!BU:BU,MATCH($C60,'RPS by State'!$B:$B,0))),0)</f>
        <v>0</v>
      </c>
      <c r="BK60" s="100">
        <f>IFERROR(IF($A60=FALSE,0,INDEX('RPS by State'!BV:BV,MATCH($C60,'RPS by State'!$B:$B,0))),0)</f>
        <v>0</v>
      </c>
      <c r="BL60" s="100">
        <f>IFERROR(IF($A60=FALSE,0,INDEX('RPS by State'!BW:BW,MATCH($C60,'RPS by State'!$B:$B,0))),0)</f>
        <v>0</v>
      </c>
      <c r="BM60" s="100">
        <f>IFERROR(IF($A60=FALSE,0,INDEX('RPS by State'!BX:BX,MATCH($C60,'RPS by State'!$B:$B,0))),0)</f>
        <v>0</v>
      </c>
      <c r="BN60" s="100">
        <f>IFERROR(IF($A60=FALSE,0,INDEX('RPS by State'!BY:BY,MATCH($C60,'RPS by State'!$B:$B,0))),0)</f>
        <v>0</v>
      </c>
      <c r="BO60" s="100">
        <f>IFERROR(IF($A60=FALSE,0,INDEX('RPS by State'!BZ:BZ,MATCH($C60,'RPS by State'!$B:$B,0))),0)</f>
        <v>0</v>
      </c>
      <c r="BP60" s="100">
        <f>IFERROR(IF($A60=FALSE,0,INDEX('RPS by State'!CA:CA,MATCH($C60,'RPS by State'!$B:$B,0))),0)</f>
        <v>0</v>
      </c>
      <c r="BQ60" s="100">
        <f>IFERROR(IF($A60=FALSE,0,INDEX('RPS by State'!CB:CB,MATCH($C60,'RPS by State'!$B:$B,0))),0)</f>
        <v>0</v>
      </c>
      <c r="BR60" s="100">
        <f>IFERROR(IF($A60=FALSE,0,INDEX('RPS by State'!CC:CC,MATCH($C60,'RPS by State'!$B:$B,0))),0)</f>
        <v>0</v>
      </c>
      <c r="BS60" s="100">
        <f>IFERROR(IF($A60=FALSE,0,INDEX('RPS by State'!CD:CD,MATCH($C60,'RPS by State'!$B:$B,0))),0)</f>
        <v>0</v>
      </c>
      <c r="BT60" s="100">
        <f>IFERROR(IF($A60=FALSE,0,INDEX('RPS by State'!CE:CE,MATCH($C60,'RPS by State'!$B:$B,0))),0)</f>
        <v>0</v>
      </c>
      <c r="BU60" s="100">
        <f>IFERROR(IF($A60=FALSE,0,INDEX('RPS by State'!CF:CF,MATCH($C60,'RPS by State'!$B:$B,0))),0)</f>
        <v>0</v>
      </c>
      <c r="BV60" s="100">
        <f>IFERROR(IF($A60=FALSE,0,INDEX('RPS by State'!CG:CG,MATCH($C60,'RPS by State'!$B:$B,0))),0)</f>
        <v>0</v>
      </c>
      <c r="BW60" s="100">
        <f>IFERROR(IF($A60=FALSE,0,INDEX('RPS by State'!CH:CH,MATCH($C60,'RPS by State'!$B:$B,0))),0)</f>
        <v>0</v>
      </c>
      <c r="BX60" s="100">
        <f>IFERROR(IF($A60=FALSE,0,INDEX('RPS by State'!CI:CI,MATCH($C60,'RPS by State'!$B:$B,0))),0)</f>
        <v>0</v>
      </c>
      <c r="BY60" s="100">
        <f>IFERROR(IF($A60=FALSE,0,INDEX('RPS by State'!CJ:CJ,MATCH($C60,'RPS by State'!$B:$B,0))),0)</f>
        <v>0</v>
      </c>
      <c r="BZ60" s="100">
        <f>IFERROR(IF($A60=FALSE,0,INDEX('RPS by State'!CK:CK,MATCH($C60,'RPS by State'!$B:$B,0))),0)</f>
        <v>0</v>
      </c>
      <c r="CA60" s="100">
        <f>IFERROR(IF($A60=FALSE,0,INDEX('RPS by State'!CL:CL,MATCH($C60,'RPS by State'!$B:$B,0))),0)</f>
        <v>0</v>
      </c>
      <c r="CB60" s="100">
        <f>IFERROR(IF($A60=FALSE,0,INDEX('RPS by State'!CM:CM,MATCH($C60,'RPS by State'!$B:$B,0))),0)</f>
        <v>0</v>
      </c>
      <c r="CC60" s="100">
        <f>IFERROR(IF($A60=FALSE,0,INDEX('RPS by State'!CN:CN,MATCH($C60,'RPS by State'!$B:$B,0))),0)</f>
        <v>0</v>
      </c>
      <c r="CD60" s="100">
        <f>IFERROR(IF($A60=FALSE,0,INDEX('RPS by State'!CO:CO,MATCH($C60,'RPS by State'!$B:$B,0))),0)</f>
        <v>0</v>
      </c>
      <c r="CE60" s="100">
        <f>IFERROR(IF($A60=FALSE,0,INDEX('RPS by State'!CP:CP,MATCH($C60,'RPS by State'!$B:$B,0))),0)</f>
        <v>0</v>
      </c>
    </row>
    <row r="61" spans="1:83" x14ac:dyDescent="0.25">
      <c r="A61">
        <f>IFERROR(INDEX('RPS by State'!G:G,MATCH(B61,'RPS by State'!A:A,0)),0)</f>
        <v>0</v>
      </c>
      <c r="B61" s="120" t="s">
        <v>2305</v>
      </c>
      <c r="C61" s="120">
        <f>IFERROR(INDEX(About!L:L,MATCH(B61,About!K:K,0)),0)</f>
        <v>0</v>
      </c>
      <c r="D61" s="100">
        <f>IFERROR(IF($A61=FALSE,0,INDEX('RPS by State'!O:O,MATCH($C61,'RPS by State'!$B:$B,0))),0)</f>
        <v>0</v>
      </c>
      <c r="E61" s="100">
        <f>IFERROR(IF($A61=FALSE,0,INDEX('RPS by State'!P:P,MATCH($C61,'RPS by State'!$B:$B,0))),0)</f>
        <v>0</v>
      </c>
      <c r="F61" s="100">
        <f>IFERROR(IF($A61=FALSE,0,INDEX('RPS by State'!Q:Q,MATCH($C61,'RPS by State'!$B:$B,0))),0)</f>
        <v>0</v>
      </c>
      <c r="G61" s="100">
        <f>IFERROR(IF($A61=FALSE,0,INDEX('RPS by State'!R:R,MATCH($C61,'RPS by State'!$B:$B,0))),0)</f>
        <v>0</v>
      </c>
      <c r="H61" s="100">
        <f>IFERROR(IF($A61=FALSE,0,INDEX('RPS by State'!S:S,MATCH($C61,'RPS by State'!$B:$B,0))),0)</f>
        <v>0</v>
      </c>
      <c r="I61" s="100">
        <f>IFERROR(IF($A61=FALSE,0,INDEX('RPS by State'!T:T,MATCH($C61,'RPS by State'!$B:$B,0))),0)</f>
        <v>0</v>
      </c>
      <c r="J61" s="100">
        <f>IFERROR(IF($A61=FALSE,0,INDEX('RPS by State'!U:U,MATCH($C61,'RPS by State'!$B:$B,0))),0)</f>
        <v>0</v>
      </c>
      <c r="K61" s="100">
        <f>IFERROR(IF($A61=FALSE,0,INDEX('RPS by State'!V:V,MATCH($C61,'RPS by State'!$B:$B,0))),0)</f>
        <v>0</v>
      </c>
      <c r="L61" s="100">
        <f>IFERROR(IF($A61=FALSE,0,INDEX('RPS by State'!W:W,MATCH($C61,'RPS by State'!$B:$B,0))),0)</f>
        <v>0</v>
      </c>
      <c r="M61" s="100">
        <f>IFERROR(IF($A61=FALSE,0,INDEX('RPS by State'!X:X,MATCH($C61,'RPS by State'!$B:$B,0))),0)</f>
        <v>0</v>
      </c>
      <c r="N61" s="100">
        <f>IFERROR(IF($A61=FALSE,0,INDEX('RPS by State'!Y:Y,MATCH($C61,'RPS by State'!$B:$B,0))),0)</f>
        <v>0</v>
      </c>
      <c r="O61" s="100">
        <f>IFERROR(IF($A61=FALSE,0,INDEX('RPS by State'!Z:Z,MATCH($C61,'RPS by State'!$B:$B,0))),0)</f>
        <v>0</v>
      </c>
      <c r="P61" s="100">
        <f>IFERROR(IF($A61=FALSE,0,INDEX('RPS by State'!AA:AA,MATCH($C61,'RPS by State'!$B:$B,0))),0)</f>
        <v>0</v>
      </c>
      <c r="Q61" s="100">
        <f>IFERROR(IF($A61=FALSE,0,INDEX('RPS by State'!AB:AB,MATCH($C61,'RPS by State'!$B:$B,0))),0)</f>
        <v>0</v>
      </c>
      <c r="R61" s="100">
        <f>IFERROR(IF($A61=FALSE,0,INDEX('RPS by State'!AC:AC,MATCH($C61,'RPS by State'!$B:$B,0))),0)</f>
        <v>0</v>
      </c>
      <c r="S61" s="100">
        <f>IFERROR(IF($A61=FALSE,0,INDEX('RPS by State'!AD:AD,MATCH($C61,'RPS by State'!$B:$B,0))),0)</f>
        <v>0</v>
      </c>
      <c r="T61" s="100">
        <f>IFERROR(IF($A61=FALSE,0,INDEX('RPS by State'!AE:AE,MATCH($C61,'RPS by State'!$B:$B,0))),0)</f>
        <v>0</v>
      </c>
      <c r="U61" s="100">
        <f>IFERROR(IF($A61=FALSE,0,INDEX('RPS by State'!AF:AF,MATCH($C61,'RPS by State'!$B:$B,0))),0)</f>
        <v>0</v>
      </c>
      <c r="V61" s="100">
        <f>IFERROR(IF($A61=FALSE,0,INDEX('RPS by State'!AG:AG,MATCH($C61,'RPS by State'!$B:$B,0))),0)</f>
        <v>0</v>
      </c>
      <c r="W61" s="100">
        <f>IFERROR(IF($A61=FALSE,0,INDEX('RPS by State'!AH:AH,MATCH($C61,'RPS by State'!$B:$B,0))),0)</f>
        <v>0</v>
      </c>
      <c r="X61" s="100">
        <f>IFERROR(IF($A61=FALSE,0,INDEX('RPS by State'!AI:AI,MATCH($C61,'RPS by State'!$B:$B,0))),0)</f>
        <v>0</v>
      </c>
      <c r="Y61" s="100">
        <f>IFERROR(IF($A61=FALSE,0,INDEX('RPS by State'!AJ:AJ,MATCH($C61,'RPS by State'!$B:$B,0))),0)</f>
        <v>0</v>
      </c>
      <c r="Z61" s="100">
        <f>IFERROR(IF($A61=FALSE,0,INDEX('RPS by State'!AK:AK,MATCH($C61,'RPS by State'!$B:$B,0))),0)</f>
        <v>0</v>
      </c>
      <c r="AA61" s="100">
        <f>IFERROR(IF($A61=FALSE,0,INDEX('RPS by State'!AL:AL,MATCH($C61,'RPS by State'!$B:$B,0))),0)</f>
        <v>0</v>
      </c>
      <c r="AB61" s="100">
        <f>IFERROR(IF($A61=FALSE,0,INDEX('RPS by State'!AM:AM,MATCH($C61,'RPS by State'!$B:$B,0))),0)</f>
        <v>0</v>
      </c>
      <c r="AC61" s="100">
        <f>IFERROR(IF($A61=FALSE,0,INDEX('RPS by State'!AN:AN,MATCH($C61,'RPS by State'!$B:$B,0))),0)</f>
        <v>0</v>
      </c>
      <c r="AD61" s="100">
        <f>IFERROR(IF($A61=FALSE,0,INDEX('RPS by State'!AO:AO,MATCH($C61,'RPS by State'!$B:$B,0))),0)</f>
        <v>0</v>
      </c>
      <c r="AE61" s="100">
        <f>IFERROR(IF($A61=FALSE,0,INDEX('RPS by State'!AP:AP,MATCH($C61,'RPS by State'!$B:$B,0))),0)</f>
        <v>0</v>
      </c>
      <c r="AF61" s="100">
        <f>IFERROR(IF($A61=FALSE,0,INDEX('RPS by State'!AQ:AQ,MATCH($C61,'RPS by State'!$B:$B,0))),0)</f>
        <v>0</v>
      </c>
      <c r="AG61" s="100">
        <f>IFERROR(IF($A61=FALSE,0,INDEX('RPS by State'!AR:AR,MATCH($C61,'RPS by State'!$B:$B,0))),0)</f>
        <v>0</v>
      </c>
      <c r="AH61" s="100">
        <f>IFERROR(IF($A61=FALSE,0,INDEX('RPS by State'!AS:AS,MATCH($C61,'RPS by State'!$B:$B,0))),0)</f>
        <v>0</v>
      </c>
      <c r="AI61" s="100">
        <f>IFERROR(IF($A61=FALSE,0,INDEX('RPS by State'!AT:AT,MATCH($C61,'RPS by State'!$B:$B,0))),0)</f>
        <v>0</v>
      </c>
      <c r="AJ61" s="100">
        <f>IFERROR(IF($A61=FALSE,0,INDEX('RPS by State'!AU:AU,MATCH($C61,'RPS by State'!$B:$B,0))),0)</f>
        <v>0</v>
      </c>
      <c r="AK61" s="100">
        <f>IFERROR(IF($A61=FALSE,0,INDEX('RPS by State'!AV:AV,MATCH($C61,'RPS by State'!$B:$B,0))),0)</f>
        <v>0</v>
      </c>
      <c r="AL61" s="100">
        <f>IFERROR(IF($A61=FALSE,0,INDEX('RPS by State'!AW:AW,MATCH($C61,'RPS by State'!$B:$B,0))),0)</f>
        <v>0</v>
      </c>
      <c r="AM61" s="100">
        <f>IFERROR(IF($A61=FALSE,0,INDEX('RPS by State'!AX:AX,MATCH($C61,'RPS by State'!$B:$B,0))),0)</f>
        <v>0</v>
      </c>
      <c r="AN61" s="100">
        <f>IFERROR(IF($A61=FALSE,0,INDEX('RPS by State'!AY:AY,MATCH($C61,'RPS by State'!$B:$B,0))),0)</f>
        <v>0</v>
      </c>
      <c r="AO61" s="100">
        <f>IFERROR(IF($A61=FALSE,0,INDEX('RPS by State'!AZ:AZ,MATCH($C61,'RPS by State'!$B:$B,0))),0)</f>
        <v>0</v>
      </c>
      <c r="AP61" s="100">
        <f>IFERROR(IF($A61=FALSE,0,INDEX('RPS by State'!BA:BA,MATCH($C61,'RPS by State'!$B:$B,0))),0)</f>
        <v>0</v>
      </c>
      <c r="AQ61" s="100">
        <f>IFERROR(IF($A61=FALSE,0,INDEX('RPS by State'!BB:BB,MATCH($C61,'RPS by State'!$B:$B,0))),0)</f>
        <v>0</v>
      </c>
      <c r="AR61" s="100">
        <f>IFERROR(IF($A61=FALSE,0,INDEX('RPS by State'!BC:BC,MATCH($C61,'RPS by State'!$B:$B,0))),0)</f>
        <v>0</v>
      </c>
      <c r="AS61" s="100">
        <f>IFERROR(IF($A61=FALSE,0,INDEX('RPS by State'!BD:BD,MATCH($C61,'RPS by State'!$B:$B,0))),0)</f>
        <v>0</v>
      </c>
      <c r="AT61" s="100">
        <f>IFERROR(IF($A61=FALSE,0,INDEX('RPS by State'!BE:BE,MATCH($C61,'RPS by State'!$B:$B,0))),0)</f>
        <v>0</v>
      </c>
      <c r="AU61" s="100">
        <f>IFERROR(IF($A61=FALSE,0,INDEX('RPS by State'!BF:BF,MATCH($C61,'RPS by State'!$B:$B,0))),0)</f>
        <v>0</v>
      </c>
      <c r="AV61" s="100">
        <f>IFERROR(IF($A61=FALSE,0,INDEX('RPS by State'!BG:BG,MATCH($C61,'RPS by State'!$B:$B,0))),0)</f>
        <v>0</v>
      </c>
      <c r="AW61" s="100">
        <f>IFERROR(IF($A61=FALSE,0,INDEX('RPS by State'!BH:BH,MATCH($C61,'RPS by State'!$B:$B,0))),0)</f>
        <v>0</v>
      </c>
      <c r="AX61" s="100">
        <f>IFERROR(IF($A61=FALSE,0,INDEX('RPS by State'!BI:BI,MATCH($C61,'RPS by State'!$B:$B,0))),0)</f>
        <v>0</v>
      </c>
      <c r="AY61" s="100">
        <f>IFERROR(IF($A61=FALSE,0,INDEX('RPS by State'!BJ:BJ,MATCH($C61,'RPS by State'!$B:$B,0))),0)</f>
        <v>0</v>
      </c>
      <c r="AZ61" s="100">
        <f>IFERROR(IF($A61=FALSE,0,INDEX('RPS by State'!BK:BK,MATCH($C61,'RPS by State'!$B:$B,0))),0)</f>
        <v>0</v>
      </c>
      <c r="BA61" s="100">
        <f>IFERROR(IF($A61=FALSE,0,INDEX('RPS by State'!BL:BL,MATCH($C61,'RPS by State'!$B:$B,0))),0)</f>
        <v>0</v>
      </c>
      <c r="BB61" s="100">
        <f>IFERROR(IF($A61=FALSE,0,INDEX('RPS by State'!BM:BM,MATCH($C61,'RPS by State'!$B:$B,0))),0)</f>
        <v>0</v>
      </c>
      <c r="BC61" s="100">
        <f>IFERROR(IF($A61=FALSE,0,INDEX('RPS by State'!BN:BN,MATCH($C61,'RPS by State'!$B:$B,0))),0)</f>
        <v>0</v>
      </c>
      <c r="BD61" s="100">
        <f>IFERROR(IF($A61=FALSE,0,INDEX('RPS by State'!BO:BO,MATCH($C61,'RPS by State'!$B:$B,0))),0)</f>
        <v>0</v>
      </c>
      <c r="BE61" s="100">
        <f>IFERROR(IF($A61=FALSE,0,INDEX('RPS by State'!BP:BP,MATCH($C61,'RPS by State'!$B:$B,0))),0)</f>
        <v>0</v>
      </c>
      <c r="BF61" s="100">
        <f>IFERROR(IF($A61=FALSE,0,INDEX('RPS by State'!BQ:BQ,MATCH($C61,'RPS by State'!$B:$B,0))),0)</f>
        <v>0</v>
      </c>
      <c r="BG61" s="100">
        <f>IFERROR(IF($A61=FALSE,0,INDEX('RPS by State'!BR:BR,MATCH($C61,'RPS by State'!$B:$B,0))),0)</f>
        <v>0</v>
      </c>
      <c r="BH61" s="100">
        <f>IFERROR(IF($A61=FALSE,0,INDEX('RPS by State'!BS:BS,MATCH($C61,'RPS by State'!$B:$B,0))),0)</f>
        <v>0</v>
      </c>
      <c r="BI61" s="100">
        <f>IFERROR(IF($A61=FALSE,0,INDEX('RPS by State'!BT:BT,MATCH($C61,'RPS by State'!$B:$B,0))),0)</f>
        <v>0</v>
      </c>
      <c r="BJ61" s="100">
        <f>IFERROR(IF($A61=FALSE,0,INDEX('RPS by State'!BU:BU,MATCH($C61,'RPS by State'!$B:$B,0))),0)</f>
        <v>0</v>
      </c>
      <c r="BK61" s="100">
        <f>IFERROR(IF($A61=FALSE,0,INDEX('RPS by State'!BV:BV,MATCH($C61,'RPS by State'!$B:$B,0))),0)</f>
        <v>0</v>
      </c>
      <c r="BL61" s="100">
        <f>IFERROR(IF($A61=FALSE,0,INDEX('RPS by State'!BW:BW,MATCH($C61,'RPS by State'!$B:$B,0))),0)</f>
        <v>0</v>
      </c>
      <c r="BM61" s="100">
        <f>IFERROR(IF($A61=FALSE,0,INDEX('RPS by State'!BX:BX,MATCH($C61,'RPS by State'!$B:$B,0))),0)</f>
        <v>0</v>
      </c>
      <c r="BN61" s="100">
        <f>IFERROR(IF($A61=FALSE,0,INDEX('RPS by State'!BY:BY,MATCH($C61,'RPS by State'!$B:$B,0))),0)</f>
        <v>0</v>
      </c>
      <c r="BO61" s="100">
        <f>IFERROR(IF($A61=FALSE,0,INDEX('RPS by State'!BZ:BZ,MATCH($C61,'RPS by State'!$B:$B,0))),0)</f>
        <v>0</v>
      </c>
      <c r="BP61" s="100">
        <f>IFERROR(IF($A61=FALSE,0,INDEX('RPS by State'!CA:CA,MATCH($C61,'RPS by State'!$B:$B,0))),0)</f>
        <v>0</v>
      </c>
      <c r="BQ61" s="100">
        <f>IFERROR(IF($A61=FALSE,0,INDEX('RPS by State'!CB:CB,MATCH($C61,'RPS by State'!$B:$B,0))),0)</f>
        <v>0</v>
      </c>
      <c r="BR61" s="100">
        <f>IFERROR(IF($A61=FALSE,0,INDEX('RPS by State'!CC:CC,MATCH($C61,'RPS by State'!$B:$B,0))),0)</f>
        <v>0</v>
      </c>
      <c r="BS61" s="100">
        <f>IFERROR(IF($A61=FALSE,0,INDEX('RPS by State'!CD:CD,MATCH($C61,'RPS by State'!$B:$B,0))),0)</f>
        <v>0</v>
      </c>
      <c r="BT61" s="100">
        <f>IFERROR(IF($A61=FALSE,0,INDEX('RPS by State'!CE:CE,MATCH($C61,'RPS by State'!$B:$B,0))),0)</f>
        <v>0</v>
      </c>
      <c r="BU61" s="100">
        <f>IFERROR(IF($A61=FALSE,0,INDEX('RPS by State'!CF:CF,MATCH($C61,'RPS by State'!$B:$B,0))),0)</f>
        <v>0</v>
      </c>
      <c r="BV61" s="100">
        <f>IFERROR(IF($A61=FALSE,0,INDEX('RPS by State'!CG:CG,MATCH($C61,'RPS by State'!$B:$B,0))),0)</f>
        <v>0</v>
      </c>
      <c r="BW61" s="100">
        <f>IFERROR(IF($A61=FALSE,0,INDEX('RPS by State'!CH:CH,MATCH($C61,'RPS by State'!$B:$B,0))),0)</f>
        <v>0</v>
      </c>
      <c r="BX61" s="100">
        <f>IFERROR(IF($A61=FALSE,0,INDEX('RPS by State'!CI:CI,MATCH($C61,'RPS by State'!$B:$B,0))),0)</f>
        <v>0</v>
      </c>
      <c r="BY61" s="100">
        <f>IFERROR(IF($A61=FALSE,0,INDEX('RPS by State'!CJ:CJ,MATCH($C61,'RPS by State'!$B:$B,0))),0)</f>
        <v>0</v>
      </c>
      <c r="BZ61" s="100">
        <f>IFERROR(IF($A61=FALSE,0,INDEX('RPS by State'!CK:CK,MATCH($C61,'RPS by State'!$B:$B,0))),0)</f>
        <v>0</v>
      </c>
      <c r="CA61" s="100">
        <f>IFERROR(IF($A61=FALSE,0,INDEX('RPS by State'!CL:CL,MATCH($C61,'RPS by State'!$B:$B,0))),0)</f>
        <v>0</v>
      </c>
      <c r="CB61" s="100">
        <f>IFERROR(IF($A61=FALSE,0,INDEX('RPS by State'!CM:CM,MATCH($C61,'RPS by State'!$B:$B,0))),0)</f>
        <v>0</v>
      </c>
      <c r="CC61" s="100">
        <f>IFERROR(IF($A61=FALSE,0,INDEX('RPS by State'!CN:CN,MATCH($C61,'RPS by State'!$B:$B,0))),0)</f>
        <v>0</v>
      </c>
      <c r="CD61" s="100">
        <f>IFERROR(IF($A61=FALSE,0,INDEX('RPS by State'!CO:CO,MATCH($C61,'RPS by State'!$B:$B,0))),0)</f>
        <v>0</v>
      </c>
      <c r="CE61" s="100">
        <f>IFERROR(IF($A61=FALSE,0,INDEX('RPS by State'!CP:CP,MATCH($C61,'RPS by State'!$B:$B,0))),0)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workbookViewId="0">
      <selection activeCell="B2" sqref="B2"/>
    </sheetView>
  </sheetViews>
  <sheetFormatPr defaultRowHeight="15" x14ac:dyDescent="0.25"/>
  <cols>
    <col min="1" max="1" width="20" customWidth="1"/>
    <col min="2" max="2" width="20.42578125" bestFit="1" customWidth="1"/>
  </cols>
  <sheetData>
    <row r="1" spans="1:81" x14ac:dyDescent="0.25">
      <c r="A1" s="101" t="s">
        <v>2191</v>
      </c>
      <c r="B1" s="45" t="s">
        <v>2192</v>
      </c>
      <c r="C1" s="45" t="s">
        <v>2193</v>
      </c>
      <c r="D1" s="45" t="s">
        <v>2194</v>
      </c>
      <c r="E1" s="45" t="s">
        <v>2195</v>
      </c>
      <c r="F1" s="45" t="s">
        <v>2196</v>
      </c>
      <c r="G1" s="45" t="s">
        <v>2197</v>
      </c>
      <c r="H1" s="45" t="s">
        <v>2198</v>
      </c>
      <c r="I1" s="45" t="s">
        <v>2199</v>
      </c>
      <c r="J1" s="45" t="s">
        <v>2200</v>
      </c>
      <c r="K1" s="45" t="s">
        <v>2201</v>
      </c>
      <c r="L1" s="45" t="s">
        <v>2202</v>
      </c>
      <c r="M1" s="45" t="s">
        <v>2203</v>
      </c>
      <c r="N1" s="45" t="s">
        <v>2204</v>
      </c>
      <c r="O1" s="45" t="s">
        <v>2205</v>
      </c>
      <c r="P1" s="45" t="s">
        <v>2206</v>
      </c>
      <c r="Q1" s="45" t="s">
        <v>2207</v>
      </c>
      <c r="R1" s="45" t="s">
        <v>2208</v>
      </c>
      <c r="S1" s="45" t="s">
        <v>2209</v>
      </c>
      <c r="T1" s="45" t="s">
        <v>2210</v>
      </c>
      <c r="U1" s="45" t="s">
        <v>2211</v>
      </c>
      <c r="V1" s="45" t="s">
        <v>2212</v>
      </c>
      <c r="W1" s="45" t="s">
        <v>2213</v>
      </c>
      <c r="X1" s="45" t="s">
        <v>2214</v>
      </c>
      <c r="Y1" s="45" t="s">
        <v>2215</v>
      </c>
      <c r="Z1" s="45" t="s">
        <v>2216</v>
      </c>
      <c r="AA1" s="45" t="s">
        <v>2217</v>
      </c>
      <c r="AB1" s="45" t="s">
        <v>2218</v>
      </c>
      <c r="AC1" s="45" t="s">
        <v>2219</v>
      </c>
      <c r="AD1" s="45" t="s">
        <v>2220</v>
      </c>
      <c r="AE1" s="45" t="s">
        <v>2221</v>
      </c>
      <c r="AF1" s="45" t="s">
        <v>2222</v>
      </c>
      <c r="AG1" s="45" t="s">
        <v>2223</v>
      </c>
      <c r="AH1" s="45" t="s">
        <v>2224</v>
      </c>
      <c r="AI1" s="45" t="s">
        <v>2225</v>
      </c>
      <c r="AJ1" s="45" t="s">
        <v>2226</v>
      </c>
      <c r="AK1" s="45" t="s">
        <v>2227</v>
      </c>
      <c r="AL1" s="45" t="s">
        <v>2228</v>
      </c>
      <c r="AM1" s="45" t="s">
        <v>2229</v>
      </c>
      <c r="AN1" s="45" t="s">
        <v>2230</v>
      </c>
      <c r="AO1" s="45" t="s">
        <v>2231</v>
      </c>
      <c r="AP1" s="45" t="s">
        <v>2232</v>
      </c>
      <c r="AQ1" s="45" t="s">
        <v>2233</v>
      </c>
      <c r="AR1" s="45" t="s">
        <v>2234</v>
      </c>
      <c r="AS1" s="45" t="s">
        <v>2235</v>
      </c>
      <c r="AT1" s="45" t="s">
        <v>2236</v>
      </c>
      <c r="AU1" s="45" t="s">
        <v>2237</v>
      </c>
      <c r="AV1" s="45" t="s">
        <v>2238</v>
      </c>
      <c r="AW1" s="45" t="s">
        <v>2239</v>
      </c>
      <c r="AX1" s="45" t="s">
        <v>2240</v>
      </c>
      <c r="AY1" s="45" t="s">
        <v>2241</v>
      </c>
      <c r="AZ1" s="45" t="s">
        <v>2242</v>
      </c>
      <c r="BA1" s="45" t="s">
        <v>2243</v>
      </c>
      <c r="BB1" s="45" t="s">
        <v>2244</v>
      </c>
      <c r="BC1" s="45" t="s">
        <v>2245</v>
      </c>
      <c r="BD1" s="45" t="s">
        <v>2246</v>
      </c>
      <c r="BE1" s="45" t="s">
        <v>2247</v>
      </c>
      <c r="BF1" s="45" t="s">
        <v>2248</v>
      </c>
      <c r="BG1" s="45" t="s">
        <v>2249</v>
      </c>
      <c r="BH1" s="45" t="s">
        <v>2250</v>
      </c>
      <c r="BI1" s="45" t="s">
        <v>2251</v>
      </c>
      <c r="BJ1" s="45" t="s">
        <v>2252</v>
      </c>
      <c r="BK1" s="45" t="s">
        <v>2253</v>
      </c>
      <c r="BL1" s="45" t="s">
        <v>2254</v>
      </c>
      <c r="BM1" s="45" t="s">
        <v>2255</v>
      </c>
      <c r="BN1" s="45" t="s">
        <v>2256</v>
      </c>
      <c r="BO1" s="45" t="s">
        <v>2257</v>
      </c>
      <c r="BP1" s="45" t="s">
        <v>2258</v>
      </c>
      <c r="BQ1" s="45" t="s">
        <v>2259</v>
      </c>
      <c r="BR1" s="45" t="s">
        <v>2260</v>
      </c>
      <c r="BS1" s="45" t="s">
        <v>2261</v>
      </c>
      <c r="BT1" s="45" t="s">
        <v>2262</v>
      </c>
      <c r="BU1" s="45" t="s">
        <v>2263</v>
      </c>
      <c r="BV1" s="45" t="s">
        <v>2264</v>
      </c>
      <c r="BW1" s="45" t="s">
        <v>2265</v>
      </c>
      <c r="BX1" s="45" t="s">
        <v>2266</v>
      </c>
      <c r="BY1" s="45" t="s">
        <v>2267</v>
      </c>
      <c r="BZ1" s="45" t="s">
        <v>2268</v>
      </c>
      <c r="CA1" s="45" t="s">
        <v>2269</v>
      </c>
      <c r="CB1" s="45" t="s">
        <v>2270</v>
      </c>
      <c r="CC1" s="45" t="s">
        <v>2271</v>
      </c>
    </row>
    <row r="2" spans="1:81" x14ac:dyDescent="0.25">
      <c r="A2" t="s">
        <v>2306</v>
      </c>
      <c r="B2" s="115">
        <f>INDEX('BRPSDbS-RPS-percentages-all'!$D$2:$CE$61,MATCH(About!$B$1,'BRPSDbS-RPS-percentages-all'!$B$2:$B$61,0),MATCH(B$1,'BRPSDbS-RPS-percentages-all'!$D$1:$CE$1,0))</f>
        <v>0.24459804811642005</v>
      </c>
      <c r="C2" s="115">
        <f>INDEX('BRPSDbS-RPS-percentages-all'!$D$2:$CE$61,MATCH(About!$B$1,'BRPSDbS-RPS-percentages-all'!$B$2:$B$61,0),MATCH(C$1,'BRPSDbS-RPS-percentages-all'!$D$1:$CE$1,0))</f>
        <v>0.25422319288938283</v>
      </c>
      <c r="D2" s="115">
        <f>INDEX('BRPSDbS-RPS-percentages-all'!$D$2:$CE$61,MATCH(About!$B$1,'BRPSDbS-RPS-percentages-all'!$B$2:$B$61,0),MATCH(D$1,'BRPSDbS-RPS-percentages-all'!$D$1:$CE$1,0))</f>
        <v>0.26384833766234561</v>
      </c>
      <c r="E2" s="115">
        <f>INDEX('BRPSDbS-RPS-percentages-all'!$D$2:$CE$61,MATCH(About!$B$1,'BRPSDbS-RPS-percentages-all'!$B$2:$B$61,0),MATCH(E$1,'BRPSDbS-RPS-percentages-all'!$D$1:$CE$1,0))</f>
        <v>0.27347348243530839</v>
      </c>
      <c r="F2" s="115">
        <f>INDEX('BRPSDbS-RPS-percentages-all'!$D$2:$CE$61,MATCH(About!$B$1,'BRPSDbS-RPS-percentages-all'!$B$2:$B$61,0),MATCH(F$1,'BRPSDbS-RPS-percentages-all'!$D$1:$CE$1,0))</f>
        <v>0.28309862720827117</v>
      </c>
      <c r="G2" s="115">
        <f>INDEX('BRPSDbS-RPS-percentages-all'!$D$2:$CE$61,MATCH(About!$B$1,'BRPSDbS-RPS-percentages-all'!$B$2:$B$61,0),MATCH(G$1,'BRPSDbS-RPS-percentages-all'!$D$1:$CE$1,0))</f>
        <v>0.29272377198123395</v>
      </c>
      <c r="H2" s="115">
        <f>INDEX('BRPSDbS-RPS-percentages-all'!$D$2:$CE$61,MATCH(About!$B$1,'BRPSDbS-RPS-percentages-all'!$B$2:$B$61,0),MATCH(H$1,'BRPSDbS-RPS-percentages-all'!$D$1:$CE$1,0))</f>
        <v>0.30234891675419673</v>
      </c>
      <c r="I2" s="115">
        <f>INDEX('BRPSDbS-RPS-percentages-all'!$D$2:$CE$61,MATCH(About!$B$1,'BRPSDbS-RPS-percentages-all'!$B$2:$B$61,0),MATCH(I$1,'BRPSDbS-RPS-percentages-all'!$D$1:$CE$1,0))</f>
        <v>0.31197406152715951</v>
      </c>
      <c r="J2" s="115">
        <f>INDEX('BRPSDbS-RPS-percentages-all'!$D$2:$CE$61,MATCH(About!$B$1,'BRPSDbS-RPS-percentages-all'!$B$2:$B$61,0),MATCH(J$1,'BRPSDbS-RPS-percentages-all'!$D$1:$CE$1,0))</f>
        <v>0.32159920630012229</v>
      </c>
      <c r="K2" s="115">
        <f>INDEX('BRPSDbS-RPS-percentages-all'!$D$2:$CE$61,MATCH(About!$B$1,'BRPSDbS-RPS-percentages-all'!$B$2:$B$61,0),MATCH(K$1,'BRPSDbS-RPS-percentages-all'!$D$1:$CE$1,0))</f>
        <v>0.33122435107308507</v>
      </c>
      <c r="L2" s="115">
        <f>INDEX('BRPSDbS-RPS-percentages-all'!$D$2:$CE$61,MATCH(About!$B$1,'BRPSDbS-RPS-percentages-all'!$B$2:$B$61,0),MATCH(L$1,'BRPSDbS-RPS-percentages-all'!$D$1:$CE$1,0))</f>
        <v>0.34084949584604785</v>
      </c>
      <c r="M2" s="115">
        <f>INDEX('BRPSDbS-RPS-percentages-all'!$D$2:$CE$61,MATCH(About!$B$1,'BRPSDbS-RPS-percentages-all'!$B$2:$B$61,0),MATCH(M$1,'BRPSDbS-RPS-percentages-all'!$D$1:$CE$1,0))</f>
        <v>0.35047464061901062</v>
      </c>
      <c r="N2" s="115">
        <f>INDEX('BRPSDbS-RPS-percentages-all'!$D$2:$CE$61,MATCH(About!$B$1,'BRPSDbS-RPS-percentages-all'!$B$2:$B$61,0),MATCH(N$1,'BRPSDbS-RPS-percentages-all'!$D$1:$CE$1,0))</f>
        <v>0.3600997853919734</v>
      </c>
      <c r="O2" s="115">
        <f>INDEX('BRPSDbS-RPS-percentages-all'!$D$2:$CE$61,MATCH(About!$B$1,'BRPSDbS-RPS-percentages-all'!$B$2:$B$61,0),MATCH(O$1,'BRPSDbS-RPS-percentages-all'!$D$1:$CE$1,0))</f>
        <v>0.36972493016493618</v>
      </c>
      <c r="P2" s="115">
        <f>INDEX('BRPSDbS-RPS-percentages-all'!$D$2:$CE$61,MATCH(About!$B$1,'BRPSDbS-RPS-percentages-all'!$B$2:$B$61,0),MATCH(P$1,'BRPSDbS-RPS-percentages-all'!$D$1:$CE$1,0))</f>
        <v>0.37935007493789896</v>
      </c>
      <c r="Q2" s="115">
        <f>INDEX('BRPSDbS-RPS-percentages-all'!$D$2:$CE$61,MATCH(About!$B$1,'BRPSDbS-RPS-percentages-all'!$B$2:$B$61,0),MATCH(Q$1,'BRPSDbS-RPS-percentages-all'!$D$1:$CE$1,0))</f>
        <v>0.38897521971086174</v>
      </c>
      <c r="R2" s="115">
        <f>INDEX('BRPSDbS-RPS-percentages-all'!$D$2:$CE$61,MATCH(About!$B$1,'BRPSDbS-RPS-percentages-all'!$B$2:$B$61,0),MATCH(R$1,'BRPSDbS-RPS-percentages-all'!$D$1:$CE$1,0))</f>
        <v>0.39860036448382452</v>
      </c>
      <c r="S2" s="115">
        <f>INDEX('BRPSDbS-RPS-percentages-all'!$D$2:$CE$61,MATCH(About!$B$1,'BRPSDbS-RPS-percentages-all'!$B$2:$B$61,0),MATCH(S$1,'BRPSDbS-RPS-percentages-all'!$D$1:$CE$1,0))</f>
        <v>0.4082255092567873</v>
      </c>
      <c r="T2" s="115">
        <f>INDEX('BRPSDbS-RPS-percentages-all'!$D$2:$CE$61,MATCH(About!$B$1,'BRPSDbS-RPS-percentages-all'!$B$2:$B$61,0),MATCH(T$1,'BRPSDbS-RPS-percentages-all'!$D$1:$CE$1,0))</f>
        <v>0.41785065402975008</v>
      </c>
      <c r="U2" s="115">
        <f>INDEX('BRPSDbS-RPS-percentages-all'!$D$2:$CE$61,MATCH(About!$B$1,'BRPSDbS-RPS-percentages-all'!$B$2:$B$61,0),MATCH(U$1,'BRPSDbS-RPS-percentages-all'!$D$1:$CE$1,0))</f>
        <v>0.42747579880271286</v>
      </c>
      <c r="V2" s="115">
        <f>INDEX('BRPSDbS-RPS-percentages-all'!$D$2:$CE$61,MATCH(About!$B$1,'BRPSDbS-RPS-percentages-all'!$B$2:$B$61,0),MATCH(V$1,'BRPSDbS-RPS-percentages-all'!$D$1:$CE$1,0))</f>
        <v>0.43710094357567564</v>
      </c>
      <c r="W2" s="115">
        <f>INDEX('BRPSDbS-RPS-percentages-all'!$D$2:$CE$61,MATCH(About!$B$1,'BRPSDbS-RPS-percentages-all'!$B$2:$B$61,0),MATCH(W$1,'BRPSDbS-RPS-percentages-all'!$D$1:$CE$1,0))</f>
        <v>0.44672608834863842</v>
      </c>
      <c r="X2" s="115">
        <f>INDEX('BRPSDbS-RPS-percentages-all'!$D$2:$CE$61,MATCH(About!$B$1,'BRPSDbS-RPS-percentages-all'!$B$2:$B$61,0),MATCH(X$1,'BRPSDbS-RPS-percentages-all'!$D$1:$CE$1,0))</f>
        <v>0.4563512331216012</v>
      </c>
      <c r="Y2" s="115">
        <f>INDEX('BRPSDbS-RPS-percentages-all'!$D$2:$CE$61,MATCH(About!$B$1,'BRPSDbS-RPS-percentages-all'!$B$2:$B$61,0),MATCH(Y$1,'BRPSDbS-RPS-percentages-all'!$D$1:$CE$1,0))</f>
        <v>0.46597637789456398</v>
      </c>
      <c r="Z2" s="115">
        <f>INDEX('BRPSDbS-RPS-percentages-all'!$D$2:$CE$61,MATCH(About!$B$1,'BRPSDbS-RPS-percentages-all'!$B$2:$B$61,0),MATCH(Z$1,'BRPSDbS-RPS-percentages-all'!$D$1:$CE$1,0))</f>
        <v>0.47560152266752675</v>
      </c>
      <c r="AA2" s="115">
        <f>INDEX('BRPSDbS-RPS-percentages-all'!$D$2:$CE$61,MATCH(About!$B$1,'BRPSDbS-RPS-percentages-all'!$B$2:$B$61,0),MATCH(AA$1,'BRPSDbS-RPS-percentages-all'!$D$1:$CE$1,0))</f>
        <v>0.48522666744048953</v>
      </c>
      <c r="AB2" s="115">
        <f>INDEX('BRPSDbS-RPS-percentages-all'!$D$2:$CE$61,MATCH(About!$B$1,'BRPSDbS-RPS-percentages-all'!$B$2:$B$61,0),MATCH(AB$1,'BRPSDbS-RPS-percentages-all'!$D$1:$CE$1,0))</f>
        <v>0.49485181221345231</v>
      </c>
      <c r="AC2" s="115">
        <f>INDEX('BRPSDbS-RPS-percentages-all'!$D$2:$CE$61,MATCH(About!$B$1,'BRPSDbS-RPS-percentages-all'!$B$2:$B$61,0),MATCH(AC$1,'BRPSDbS-RPS-percentages-all'!$D$1:$CE$1,0))</f>
        <v>0.50447695698641504</v>
      </c>
      <c r="AD2" s="115">
        <f>INDEX('BRPSDbS-RPS-percentages-all'!$D$2:$CE$61,MATCH(About!$B$1,'BRPSDbS-RPS-percentages-all'!$B$2:$B$61,0),MATCH(AD$1,'BRPSDbS-RPS-percentages-all'!$D$1:$CE$1,0))</f>
        <v>0.51410210175937776</v>
      </c>
      <c r="AE2" s="115">
        <f>INDEX('BRPSDbS-RPS-percentages-all'!$D$2:$CE$61,MATCH(About!$B$1,'BRPSDbS-RPS-percentages-all'!$B$2:$B$61,0),MATCH(AE$1,'BRPSDbS-RPS-percentages-all'!$D$1:$CE$1,0))</f>
        <v>0.52372724653233993</v>
      </c>
      <c r="AF2" s="115">
        <f>INDEX('BRPSDbS-RPS-percentages-all'!$D$2:$CE$61,MATCH(About!$B$1,'BRPSDbS-RPS-percentages-all'!$B$2:$B$61,0),MATCH(AF$1,'BRPSDbS-RPS-percentages-all'!$D$1:$CE$1,0))</f>
        <v>0</v>
      </c>
      <c r="AG2" s="115">
        <f>INDEX('BRPSDbS-RPS-percentages-all'!$D$2:$CE$61,MATCH(About!$B$1,'BRPSDbS-RPS-percentages-all'!$B$2:$B$61,0),MATCH(AG$1,'BRPSDbS-RPS-percentages-all'!$D$1:$CE$1,0))</f>
        <v>0</v>
      </c>
      <c r="AH2" s="115">
        <f>INDEX('BRPSDbS-RPS-percentages-all'!$D$2:$CE$61,MATCH(About!$B$1,'BRPSDbS-RPS-percentages-all'!$B$2:$B$61,0),MATCH(AH$1,'BRPSDbS-RPS-percentages-all'!$D$1:$CE$1,0))</f>
        <v>0</v>
      </c>
      <c r="AI2" s="115">
        <f>INDEX('BRPSDbS-RPS-percentages-all'!$D$2:$CE$61,MATCH(About!$B$1,'BRPSDbS-RPS-percentages-all'!$B$2:$B$61,0),MATCH(AI$1,'BRPSDbS-RPS-percentages-all'!$D$1:$CE$1,0))</f>
        <v>0</v>
      </c>
      <c r="AJ2" s="115">
        <f>INDEX('BRPSDbS-RPS-percentages-all'!$D$2:$CE$61,MATCH(About!$B$1,'BRPSDbS-RPS-percentages-all'!$B$2:$B$61,0),MATCH(AJ$1,'BRPSDbS-RPS-percentages-all'!$D$1:$CE$1,0))</f>
        <v>0</v>
      </c>
      <c r="AK2" s="115">
        <f>INDEX('BRPSDbS-RPS-percentages-all'!$D$2:$CE$61,MATCH(About!$B$1,'BRPSDbS-RPS-percentages-all'!$B$2:$B$61,0),MATCH(AK$1,'BRPSDbS-RPS-percentages-all'!$D$1:$CE$1,0))</f>
        <v>0</v>
      </c>
      <c r="AL2" s="115">
        <f>INDEX('BRPSDbS-RPS-percentages-all'!$D$2:$CE$61,MATCH(About!$B$1,'BRPSDbS-RPS-percentages-all'!$B$2:$B$61,0),MATCH(AL$1,'BRPSDbS-RPS-percentages-all'!$D$1:$CE$1,0))</f>
        <v>0</v>
      </c>
      <c r="AM2" s="115">
        <f>INDEX('BRPSDbS-RPS-percentages-all'!$D$2:$CE$61,MATCH(About!$B$1,'BRPSDbS-RPS-percentages-all'!$B$2:$B$61,0),MATCH(AM$1,'BRPSDbS-RPS-percentages-all'!$D$1:$CE$1,0))</f>
        <v>0</v>
      </c>
      <c r="AN2" s="115">
        <f>INDEX('BRPSDbS-RPS-percentages-all'!$D$2:$CE$61,MATCH(About!$B$1,'BRPSDbS-RPS-percentages-all'!$B$2:$B$61,0),MATCH(AN$1,'BRPSDbS-RPS-percentages-all'!$D$1:$CE$1,0))</f>
        <v>0</v>
      </c>
      <c r="AO2" s="115">
        <f>INDEX('BRPSDbS-RPS-percentages-all'!$D$2:$CE$61,MATCH(About!$B$1,'BRPSDbS-RPS-percentages-all'!$B$2:$B$61,0),MATCH(AO$1,'BRPSDbS-RPS-percentages-all'!$D$1:$CE$1,0))</f>
        <v>0</v>
      </c>
      <c r="AP2" s="115">
        <f>INDEX('BRPSDbS-RPS-percentages-all'!$D$2:$CE$61,MATCH(About!$B$1,'BRPSDbS-RPS-percentages-all'!$B$2:$B$61,0),MATCH(AP$1,'BRPSDbS-RPS-percentages-all'!$D$1:$CE$1,0))</f>
        <v>0</v>
      </c>
      <c r="AQ2" s="115">
        <f>INDEX('BRPSDbS-RPS-percentages-all'!$D$2:$CE$61,MATCH(About!$B$1,'BRPSDbS-RPS-percentages-all'!$B$2:$B$61,0),MATCH(AQ$1,'BRPSDbS-RPS-percentages-all'!$D$1:$CE$1,0))</f>
        <v>0</v>
      </c>
      <c r="AR2" s="115">
        <f>INDEX('BRPSDbS-RPS-percentages-all'!$D$2:$CE$61,MATCH(About!$B$1,'BRPSDbS-RPS-percentages-all'!$B$2:$B$61,0),MATCH(AR$1,'BRPSDbS-RPS-percentages-all'!$D$1:$CE$1,0))</f>
        <v>0</v>
      </c>
      <c r="AS2" s="115">
        <f>INDEX('BRPSDbS-RPS-percentages-all'!$D$2:$CE$61,MATCH(About!$B$1,'BRPSDbS-RPS-percentages-all'!$B$2:$B$61,0),MATCH(AS$1,'BRPSDbS-RPS-percentages-all'!$D$1:$CE$1,0))</f>
        <v>0</v>
      </c>
      <c r="AT2" s="115">
        <f>INDEX('BRPSDbS-RPS-percentages-all'!$D$2:$CE$61,MATCH(About!$B$1,'BRPSDbS-RPS-percentages-all'!$B$2:$B$61,0),MATCH(AT$1,'BRPSDbS-RPS-percentages-all'!$D$1:$CE$1,0))</f>
        <v>0</v>
      </c>
      <c r="AU2" s="115">
        <f>INDEX('BRPSDbS-RPS-percentages-all'!$D$2:$CE$61,MATCH(About!$B$1,'BRPSDbS-RPS-percentages-all'!$B$2:$B$61,0),MATCH(AU$1,'BRPSDbS-RPS-percentages-all'!$D$1:$CE$1,0))</f>
        <v>0</v>
      </c>
      <c r="AV2" s="115">
        <f>INDEX('BRPSDbS-RPS-percentages-all'!$D$2:$CE$61,MATCH(About!$B$1,'BRPSDbS-RPS-percentages-all'!$B$2:$B$61,0),MATCH(AV$1,'BRPSDbS-RPS-percentages-all'!$D$1:$CE$1,0))</f>
        <v>0</v>
      </c>
      <c r="AW2" s="115">
        <f>INDEX('BRPSDbS-RPS-percentages-all'!$D$2:$CE$61,MATCH(About!$B$1,'BRPSDbS-RPS-percentages-all'!$B$2:$B$61,0),MATCH(AW$1,'BRPSDbS-RPS-percentages-all'!$D$1:$CE$1,0))</f>
        <v>0</v>
      </c>
      <c r="AX2" s="115">
        <f>INDEX('BRPSDbS-RPS-percentages-all'!$D$2:$CE$61,MATCH(About!$B$1,'BRPSDbS-RPS-percentages-all'!$B$2:$B$61,0),MATCH(AX$1,'BRPSDbS-RPS-percentages-all'!$D$1:$CE$1,0))</f>
        <v>0</v>
      </c>
      <c r="AY2" s="115">
        <f>INDEX('BRPSDbS-RPS-percentages-all'!$D$2:$CE$61,MATCH(About!$B$1,'BRPSDbS-RPS-percentages-all'!$B$2:$B$61,0),MATCH(AY$1,'BRPSDbS-RPS-percentages-all'!$D$1:$CE$1,0))</f>
        <v>0</v>
      </c>
      <c r="AZ2" s="115">
        <f>INDEX('BRPSDbS-RPS-percentages-all'!$D$2:$CE$61,MATCH(About!$B$1,'BRPSDbS-RPS-percentages-all'!$B$2:$B$61,0),MATCH(AZ$1,'BRPSDbS-RPS-percentages-all'!$D$1:$CE$1,0))</f>
        <v>0</v>
      </c>
      <c r="BA2" s="115">
        <f>INDEX('BRPSDbS-RPS-percentages-all'!$D$2:$CE$61,MATCH(About!$B$1,'BRPSDbS-RPS-percentages-all'!$B$2:$B$61,0),MATCH(BA$1,'BRPSDbS-RPS-percentages-all'!$D$1:$CE$1,0))</f>
        <v>0</v>
      </c>
      <c r="BB2" s="115">
        <f>INDEX('BRPSDbS-RPS-percentages-all'!$D$2:$CE$61,MATCH(About!$B$1,'BRPSDbS-RPS-percentages-all'!$B$2:$B$61,0),MATCH(BB$1,'BRPSDbS-RPS-percentages-all'!$D$1:$CE$1,0))</f>
        <v>0</v>
      </c>
      <c r="BC2" s="115">
        <f>INDEX('BRPSDbS-RPS-percentages-all'!$D$2:$CE$61,MATCH(About!$B$1,'BRPSDbS-RPS-percentages-all'!$B$2:$B$61,0),MATCH(BC$1,'BRPSDbS-RPS-percentages-all'!$D$1:$CE$1,0))</f>
        <v>0</v>
      </c>
      <c r="BD2" s="115">
        <f>INDEX('BRPSDbS-RPS-percentages-all'!$D$2:$CE$61,MATCH(About!$B$1,'BRPSDbS-RPS-percentages-all'!$B$2:$B$61,0),MATCH(BD$1,'BRPSDbS-RPS-percentages-all'!$D$1:$CE$1,0))</f>
        <v>0</v>
      </c>
      <c r="BE2" s="115">
        <f>INDEX('BRPSDbS-RPS-percentages-all'!$D$2:$CE$61,MATCH(About!$B$1,'BRPSDbS-RPS-percentages-all'!$B$2:$B$61,0),MATCH(BE$1,'BRPSDbS-RPS-percentages-all'!$D$1:$CE$1,0))</f>
        <v>0</v>
      </c>
      <c r="BF2" s="115">
        <f>INDEX('BRPSDbS-RPS-percentages-all'!$D$2:$CE$61,MATCH(About!$B$1,'BRPSDbS-RPS-percentages-all'!$B$2:$B$61,0),MATCH(BF$1,'BRPSDbS-RPS-percentages-all'!$D$1:$CE$1,0))</f>
        <v>0</v>
      </c>
      <c r="BG2" s="115">
        <f>INDEX('BRPSDbS-RPS-percentages-all'!$D$2:$CE$61,MATCH(About!$B$1,'BRPSDbS-RPS-percentages-all'!$B$2:$B$61,0),MATCH(BG$1,'BRPSDbS-RPS-percentages-all'!$D$1:$CE$1,0))</f>
        <v>0</v>
      </c>
      <c r="BH2" s="115">
        <f>INDEX('BRPSDbS-RPS-percentages-all'!$D$2:$CE$61,MATCH(About!$B$1,'BRPSDbS-RPS-percentages-all'!$B$2:$B$61,0),MATCH(BH$1,'BRPSDbS-RPS-percentages-all'!$D$1:$CE$1,0))</f>
        <v>0</v>
      </c>
      <c r="BI2" s="115">
        <f>INDEX('BRPSDbS-RPS-percentages-all'!$D$2:$CE$61,MATCH(About!$B$1,'BRPSDbS-RPS-percentages-all'!$B$2:$B$61,0),MATCH(BI$1,'BRPSDbS-RPS-percentages-all'!$D$1:$CE$1,0))</f>
        <v>0</v>
      </c>
      <c r="BJ2" s="115">
        <f>INDEX('BRPSDbS-RPS-percentages-all'!$D$2:$CE$61,MATCH(About!$B$1,'BRPSDbS-RPS-percentages-all'!$B$2:$B$61,0),MATCH(BJ$1,'BRPSDbS-RPS-percentages-all'!$D$1:$CE$1,0))</f>
        <v>0</v>
      </c>
      <c r="BK2" s="115">
        <f>INDEX('BRPSDbS-RPS-percentages-all'!$D$2:$CE$61,MATCH(About!$B$1,'BRPSDbS-RPS-percentages-all'!$B$2:$B$61,0),MATCH(BK$1,'BRPSDbS-RPS-percentages-all'!$D$1:$CE$1,0))</f>
        <v>0</v>
      </c>
      <c r="BL2" s="115">
        <f>INDEX('BRPSDbS-RPS-percentages-all'!$D$2:$CE$61,MATCH(About!$B$1,'BRPSDbS-RPS-percentages-all'!$B$2:$B$61,0),MATCH(BL$1,'BRPSDbS-RPS-percentages-all'!$D$1:$CE$1,0))</f>
        <v>0</v>
      </c>
      <c r="BM2" s="115">
        <f>INDEX('BRPSDbS-RPS-percentages-all'!$D$2:$CE$61,MATCH(About!$B$1,'BRPSDbS-RPS-percentages-all'!$B$2:$B$61,0),MATCH(BM$1,'BRPSDbS-RPS-percentages-all'!$D$1:$CE$1,0))</f>
        <v>0</v>
      </c>
      <c r="BN2" s="115">
        <f>INDEX('BRPSDbS-RPS-percentages-all'!$D$2:$CE$61,MATCH(About!$B$1,'BRPSDbS-RPS-percentages-all'!$B$2:$B$61,0),MATCH(BN$1,'BRPSDbS-RPS-percentages-all'!$D$1:$CE$1,0))</f>
        <v>0</v>
      </c>
      <c r="BO2" s="115">
        <f>INDEX('BRPSDbS-RPS-percentages-all'!$D$2:$CE$61,MATCH(About!$B$1,'BRPSDbS-RPS-percentages-all'!$B$2:$B$61,0),MATCH(BO$1,'BRPSDbS-RPS-percentages-all'!$D$1:$CE$1,0))</f>
        <v>0</v>
      </c>
      <c r="BP2" s="115">
        <f>INDEX('BRPSDbS-RPS-percentages-all'!$D$2:$CE$61,MATCH(About!$B$1,'BRPSDbS-RPS-percentages-all'!$B$2:$B$61,0),MATCH(BP$1,'BRPSDbS-RPS-percentages-all'!$D$1:$CE$1,0))</f>
        <v>0</v>
      </c>
      <c r="BQ2" s="115">
        <f>INDEX('BRPSDbS-RPS-percentages-all'!$D$2:$CE$61,MATCH(About!$B$1,'BRPSDbS-RPS-percentages-all'!$B$2:$B$61,0),MATCH(BQ$1,'BRPSDbS-RPS-percentages-all'!$D$1:$CE$1,0))</f>
        <v>0</v>
      </c>
      <c r="BR2" s="115">
        <f>INDEX('BRPSDbS-RPS-percentages-all'!$D$2:$CE$61,MATCH(About!$B$1,'BRPSDbS-RPS-percentages-all'!$B$2:$B$61,0),MATCH(BR$1,'BRPSDbS-RPS-percentages-all'!$D$1:$CE$1,0))</f>
        <v>0</v>
      </c>
      <c r="BS2" s="115">
        <f>INDEX('BRPSDbS-RPS-percentages-all'!$D$2:$CE$61,MATCH(About!$B$1,'BRPSDbS-RPS-percentages-all'!$B$2:$B$61,0),MATCH(BS$1,'BRPSDbS-RPS-percentages-all'!$D$1:$CE$1,0))</f>
        <v>0</v>
      </c>
      <c r="BT2" s="115">
        <f>INDEX('BRPSDbS-RPS-percentages-all'!$D$2:$CE$61,MATCH(About!$B$1,'BRPSDbS-RPS-percentages-all'!$B$2:$B$61,0),MATCH(BT$1,'BRPSDbS-RPS-percentages-all'!$D$1:$CE$1,0))</f>
        <v>0</v>
      </c>
      <c r="BU2" s="115">
        <f>INDEX('BRPSDbS-RPS-percentages-all'!$D$2:$CE$61,MATCH(About!$B$1,'BRPSDbS-RPS-percentages-all'!$B$2:$B$61,0),MATCH(BU$1,'BRPSDbS-RPS-percentages-all'!$D$1:$CE$1,0))</f>
        <v>0</v>
      </c>
      <c r="BV2" s="115">
        <f>INDEX('BRPSDbS-RPS-percentages-all'!$D$2:$CE$61,MATCH(About!$B$1,'BRPSDbS-RPS-percentages-all'!$B$2:$B$61,0),MATCH(BV$1,'BRPSDbS-RPS-percentages-all'!$D$1:$CE$1,0))</f>
        <v>0</v>
      </c>
      <c r="BW2" s="115">
        <f>INDEX('BRPSDbS-RPS-percentages-all'!$D$2:$CE$61,MATCH(About!$B$1,'BRPSDbS-RPS-percentages-all'!$B$2:$B$61,0),MATCH(BW$1,'BRPSDbS-RPS-percentages-all'!$D$1:$CE$1,0))</f>
        <v>0</v>
      </c>
      <c r="BX2" s="115">
        <f>INDEX('BRPSDbS-RPS-percentages-all'!$D$2:$CE$61,MATCH(About!$B$1,'BRPSDbS-RPS-percentages-all'!$B$2:$B$61,0),MATCH(BX$1,'BRPSDbS-RPS-percentages-all'!$D$1:$CE$1,0))</f>
        <v>0</v>
      </c>
      <c r="BY2" s="115">
        <f>INDEX('BRPSDbS-RPS-percentages-all'!$D$2:$CE$61,MATCH(About!$B$1,'BRPSDbS-RPS-percentages-all'!$B$2:$B$61,0),MATCH(BY$1,'BRPSDbS-RPS-percentages-all'!$D$1:$CE$1,0))</f>
        <v>0</v>
      </c>
      <c r="BZ2" s="115">
        <f>INDEX('BRPSDbS-RPS-percentages-all'!$D$2:$CE$61,MATCH(About!$B$1,'BRPSDbS-RPS-percentages-all'!$B$2:$B$61,0),MATCH(BZ$1,'BRPSDbS-RPS-percentages-all'!$D$1:$CE$1,0))</f>
        <v>0</v>
      </c>
      <c r="CA2" s="115">
        <f>INDEX('BRPSDbS-RPS-percentages-all'!$D$2:$CE$61,MATCH(About!$B$1,'BRPSDbS-RPS-percentages-all'!$B$2:$B$61,0),MATCH(CA$1,'BRPSDbS-RPS-percentages-all'!$D$1:$CE$1,0))</f>
        <v>0</v>
      </c>
      <c r="CB2" s="115">
        <f>INDEX('BRPSDbS-RPS-percentages-all'!$D$2:$CE$61,MATCH(About!$B$1,'BRPSDbS-RPS-percentages-all'!$B$2:$B$61,0),MATCH(CB$1,'BRPSDbS-RPS-percentages-all'!$D$1:$CE$1,0))</f>
        <v>0</v>
      </c>
      <c r="CC2" s="115">
        <f>INDEX('BRPSDbS-RPS-percentages-all'!$D$2:$CE$61,MATCH(About!$B$1,'BRPSDbS-RPS-percentages-all'!$B$2:$B$61,0),MATCH(CC$1,'BRPSDbS-RPS-percentages-all'!$D$1:$CE$1,0))</f>
        <v>0</v>
      </c>
    </row>
    <row r="3" spans="1:81" x14ac:dyDescent="0.25">
      <c r="A3" t="s">
        <v>2307</v>
      </c>
      <c r="B3" s="100">
        <v>0</v>
      </c>
      <c r="C3" s="100">
        <v>0</v>
      </c>
      <c r="D3" s="100">
        <v>0</v>
      </c>
      <c r="E3" s="100">
        <v>0</v>
      </c>
      <c r="F3" s="100">
        <v>0</v>
      </c>
      <c r="G3" s="100">
        <v>0</v>
      </c>
      <c r="H3" s="100">
        <v>0</v>
      </c>
      <c r="I3" s="100">
        <v>0</v>
      </c>
      <c r="J3" s="100">
        <v>0</v>
      </c>
      <c r="K3" s="100">
        <v>0</v>
      </c>
      <c r="L3" s="100">
        <v>0</v>
      </c>
      <c r="M3" s="100">
        <v>0</v>
      </c>
      <c r="N3" s="100">
        <v>0</v>
      </c>
      <c r="O3" s="100">
        <v>0</v>
      </c>
      <c r="P3" s="100">
        <v>0</v>
      </c>
      <c r="Q3" s="100">
        <v>0</v>
      </c>
      <c r="R3" s="100">
        <v>0</v>
      </c>
      <c r="S3" s="100">
        <v>0</v>
      </c>
      <c r="T3" s="100">
        <v>0</v>
      </c>
      <c r="U3" s="100">
        <v>0</v>
      </c>
      <c r="V3" s="100">
        <v>0</v>
      </c>
      <c r="W3" s="100">
        <v>0</v>
      </c>
      <c r="X3" s="100">
        <v>0</v>
      </c>
      <c r="Y3" s="100">
        <v>0</v>
      </c>
      <c r="Z3" s="100">
        <v>0</v>
      </c>
      <c r="AA3" s="100">
        <v>0</v>
      </c>
      <c r="AB3" s="100">
        <v>0</v>
      </c>
      <c r="AC3" s="100">
        <v>0</v>
      </c>
      <c r="AD3" s="100">
        <v>0</v>
      </c>
      <c r="AE3" s="100">
        <v>0</v>
      </c>
      <c r="AF3" s="100">
        <v>0</v>
      </c>
      <c r="AG3" s="100">
        <v>0</v>
      </c>
      <c r="AH3" s="100">
        <v>0</v>
      </c>
      <c r="AI3" s="100">
        <v>0</v>
      </c>
      <c r="AJ3" s="100">
        <v>0</v>
      </c>
      <c r="AK3" s="100">
        <v>0</v>
      </c>
      <c r="AL3" s="100">
        <v>0</v>
      </c>
      <c r="AM3" s="100">
        <v>0</v>
      </c>
      <c r="AN3" s="100">
        <v>0</v>
      </c>
      <c r="AO3" s="100">
        <v>0</v>
      </c>
      <c r="AP3" s="100">
        <v>0</v>
      </c>
      <c r="AQ3" s="100">
        <v>0</v>
      </c>
      <c r="AR3" s="100">
        <v>0</v>
      </c>
      <c r="AS3" s="100">
        <v>0</v>
      </c>
      <c r="AT3" s="100">
        <v>0</v>
      </c>
      <c r="AU3" s="100">
        <v>0</v>
      </c>
      <c r="AV3" s="100">
        <v>0</v>
      </c>
      <c r="AW3" s="100">
        <v>0</v>
      </c>
      <c r="AX3" s="100">
        <v>0</v>
      </c>
      <c r="AY3" s="100">
        <v>0</v>
      </c>
      <c r="AZ3" s="100">
        <v>0</v>
      </c>
      <c r="BA3" s="100">
        <v>0</v>
      </c>
      <c r="BB3" s="100">
        <v>0</v>
      </c>
      <c r="BC3" s="100">
        <v>0</v>
      </c>
      <c r="BD3" s="100">
        <v>0</v>
      </c>
      <c r="BE3" s="100">
        <v>0</v>
      </c>
      <c r="BF3" s="100">
        <v>0</v>
      </c>
      <c r="BG3" s="100">
        <v>0</v>
      </c>
      <c r="BH3" s="100">
        <v>0</v>
      </c>
      <c r="BI3" s="100">
        <v>0</v>
      </c>
      <c r="BJ3" s="100">
        <v>0</v>
      </c>
      <c r="BK3" s="100">
        <v>0</v>
      </c>
      <c r="BL3" s="100">
        <v>0</v>
      </c>
      <c r="BM3" s="100">
        <v>0</v>
      </c>
      <c r="BN3" s="100">
        <v>0</v>
      </c>
      <c r="BO3" s="100">
        <v>0</v>
      </c>
      <c r="BP3" s="100">
        <v>0</v>
      </c>
      <c r="BQ3" s="100">
        <v>0</v>
      </c>
      <c r="BR3" s="100">
        <v>0</v>
      </c>
      <c r="BS3" s="100">
        <v>0</v>
      </c>
      <c r="BT3" s="100">
        <v>0</v>
      </c>
      <c r="BU3" s="100">
        <v>0</v>
      </c>
      <c r="BV3" s="100">
        <v>0</v>
      </c>
      <c r="BW3" s="100">
        <v>0</v>
      </c>
      <c r="BX3" s="100">
        <v>0</v>
      </c>
      <c r="BY3" s="100">
        <v>0</v>
      </c>
      <c r="BZ3" s="100">
        <v>0</v>
      </c>
      <c r="CA3" s="100">
        <v>0</v>
      </c>
      <c r="CB3" s="100">
        <v>0</v>
      </c>
      <c r="CC3" s="100">
        <v>0</v>
      </c>
    </row>
    <row r="4" spans="1:81" x14ac:dyDescent="0.25">
      <c r="A4" t="s">
        <v>2308</v>
      </c>
      <c r="B4" s="100">
        <v>0</v>
      </c>
      <c r="C4" s="100">
        <v>0</v>
      </c>
      <c r="D4" s="100">
        <v>0</v>
      </c>
      <c r="E4" s="100">
        <v>0</v>
      </c>
      <c r="F4" s="100">
        <v>0</v>
      </c>
      <c r="G4" s="100">
        <v>0</v>
      </c>
      <c r="H4" s="100">
        <v>0</v>
      </c>
      <c r="I4" s="100">
        <v>0</v>
      </c>
      <c r="J4" s="100">
        <v>0</v>
      </c>
      <c r="K4" s="100">
        <v>0</v>
      </c>
      <c r="L4" s="100">
        <v>0</v>
      </c>
      <c r="M4" s="100">
        <v>0</v>
      </c>
      <c r="N4" s="100">
        <v>0</v>
      </c>
      <c r="O4" s="100">
        <v>0</v>
      </c>
      <c r="P4" s="100">
        <v>0</v>
      </c>
      <c r="Q4" s="100">
        <v>0</v>
      </c>
      <c r="R4" s="100">
        <v>0</v>
      </c>
      <c r="S4" s="100">
        <v>0</v>
      </c>
      <c r="T4" s="100">
        <v>0</v>
      </c>
      <c r="U4" s="100">
        <v>0</v>
      </c>
      <c r="V4" s="100">
        <v>0</v>
      </c>
      <c r="W4" s="100">
        <v>0</v>
      </c>
      <c r="X4" s="100">
        <v>0</v>
      </c>
      <c r="Y4" s="100">
        <v>0</v>
      </c>
      <c r="Z4" s="100">
        <v>0</v>
      </c>
      <c r="AA4" s="100">
        <v>0</v>
      </c>
      <c r="AB4" s="100">
        <v>0</v>
      </c>
      <c r="AC4" s="100">
        <v>0</v>
      </c>
      <c r="AD4" s="100">
        <v>0</v>
      </c>
      <c r="AE4" s="100">
        <v>0</v>
      </c>
      <c r="AF4" s="100">
        <v>0</v>
      </c>
      <c r="AG4" s="100">
        <v>0</v>
      </c>
      <c r="AH4" s="100">
        <v>0</v>
      </c>
      <c r="AI4" s="100">
        <v>0</v>
      </c>
      <c r="AJ4" s="100">
        <v>0</v>
      </c>
      <c r="AK4" s="100">
        <v>0</v>
      </c>
      <c r="AL4" s="100">
        <v>0</v>
      </c>
      <c r="AM4" s="100">
        <v>0</v>
      </c>
      <c r="AN4" s="100">
        <v>0</v>
      </c>
      <c r="AO4" s="100">
        <v>0</v>
      </c>
      <c r="AP4" s="100">
        <v>0</v>
      </c>
      <c r="AQ4" s="100">
        <v>0</v>
      </c>
      <c r="AR4" s="100">
        <v>0</v>
      </c>
      <c r="AS4" s="100">
        <v>0</v>
      </c>
      <c r="AT4" s="100">
        <v>0</v>
      </c>
      <c r="AU4" s="100">
        <v>0</v>
      </c>
      <c r="AV4" s="100">
        <v>0</v>
      </c>
      <c r="AW4" s="100">
        <v>0</v>
      </c>
      <c r="AX4" s="100">
        <v>0</v>
      </c>
      <c r="AY4" s="100">
        <v>0</v>
      </c>
      <c r="AZ4" s="100">
        <v>0</v>
      </c>
      <c r="BA4" s="100">
        <v>0</v>
      </c>
      <c r="BB4" s="100">
        <v>0</v>
      </c>
      <c r="BC4" s="100">
        <v>0</v>
      </c>
      <c r="BD4" s="100">
        <v>0</v>
      </c>
      <c r="BE4" s="100">
        <v>0</v>
      </c>
      <c r="BF4" s="100">
        <v>0</v>
      </c>
      <c r="BG4" s="100">
        <v>0</v>
      </c>
      <c r="BH4" s="100">
        <v>0</v>
      </c>
      <c r="BI4" s="100">
        <v>0</v>
      </c>
      <c r="BJ4" s="100">
        <v>0</v>
      </c>
      <c r="BK4" s="100">
        <v>0</v>
      </c>
      <c r="BL4" s="100">
        <v>0</v>
      </c>
      <c r="BM4" s="100">
        <v>0</v>
      </c>
      <c r="BN4" s="100">
        <v>0</v>
      </c>
      <c r="BO4" s="100">
        <v>0</v>
      </c>
      <c r="BP4" s="100">
        <v>0</v>
      </c>
      <c r="BQ4" s="100">
        <v>0</v>
      </c>
      <c r="BR4" s="100">
        <v>0</v>
      </c>
      <c r="BS4" s="100">
        <v>0</v>
      </c>
      <c r="BT4" s="100">
        <v>0</v>
      </c>
      <c r="BU4" s="100">
        <v>0</v>
      </c>
      <c r="BV4" s="100">
        <v>0</v>
      </c>
      <c r="BW4" s="100">
        <v>0</v>
      </c>
      <c r="BX4" s="100">
        <v>0</v>
      </c>
      <c r="BY4" s="100">
        <v>0</v>
      </c>
      <c r="BZ4" s="100">
        <v>0</v>
      </c>
      <c r="CA4" s="100">
        <v>0</v>
      </c>
      <c r="CB4" s="100">
        <v>0</v>
      </c>
      <c r="CC4" s="100">
        <v>0</v>
      </c>
    </row>
    <row r="5" spans="1:81" x14ac:dyDescent="0.25">
      <c r="A5" t="s">
        <v>2309</v>
      </c>
      <c r="B5" s="100">
        <v>0</v>
      </c>
      <c r="C5" s="100">
        <v>0</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row>
    <row r="6" spans="1:81" x14ac:dyDescent="0.25">
      <c r="A6" t="s">
        <v>2310</v>
      </c>
      <c r="B6" s="100">
        <v>0</v>
      </c>
      <c r="C6" s="100">
        <v>0</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row>
    <row r="7" spans="1:81" x14ac:dyDescent="0.25">
      <c r="A7" t="s">
        <v>2311</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row>
    <row r="8" spans="1:81" x14ac:dyDescent="0.25">
      <c r="A8" t="s">
        <v>2312</v>
      </c>
      <c r="B8" s="100">
        <v>0</v>
      </c>
      <c r="C8" s="100">
        <v>0</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row>
    <row r="9" spans="1:81" x14ac:dyDescent="0.25">
      <c r="A9" t="s">
        <v>2313</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row>
    <row r="10" spans="1:81" x14ac:dyDescent="0.25">
      <c r="A10" t="s">
        <v>2314</v>
      </c>
      <c r="B10" s="100">
        <v>0</v>
      </c>
      <c r="C10" s="100">
        <v>0</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row>
    <row r="11" spans="1:81" x14ac:dyDescent="0.25">
      <c r="A11" t="s">
        <v>2315</v>
      </c>
      <c r="B11" s="100">
        <v>0</v>
      </c>
      <c r="C11" s="100">
        <v>0</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row>
    <row r="12" spans="1:81" x14ac:dyDescent="0.25">
      <c r="A12" t="s">
        <v>2316</v>
      </c>
      <c r="B12" s="100">
        <v>0</v>
      </c>
      <c r="C12" s="100">
        <v>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row>
    <row r="13" spans="1:81" x14ac:dyDescent="0.25">
      <c r="A13" t="s">
        <v>2317</v>
      </c>
      <c r="B13" s="100">
        <v>0</v>
      </c>
      <c r="C13" s="100">
        <v>0</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row>
    <row r="14" spans="1:81" x14ac:dyDescent="0.25">
      <c r="A14" t="s">
        <v>2318</v>
      </c>
      <c r="B14" s="100">
        <v>0</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row>
    <row r="15" spans="1:81" x14ac:dyDescent="0.25">
      <c r="A15" t="s">
        <v>2319</v>
      </c>
      <c r="B15" s="100">
        <v>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row>
    <row r="16" spans="1:81" x14ac:dyDescent="0.25">
      <c r="A16" t="s">
        <v>2320</v>
      </c>
      <c r="B16" s="100">
        <v>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row>
    <row r="17" spans="1:81" x14ac:dyDescent="0.25">
      <c r="A17" t="s">
        <v>2321</v>
      </c>
      <c r="B17" s="100">
        <v>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row>
    <row r="18" spans="1:81" x14ac:dyDescent="0.25">
      <c r="A18" t="s">
        <v>2322</v>
      </c>
      <c r="B18" s="100">
        <v>0</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row>
    <row r="19" spans="1:81" x14ac:dyDescent="0.25">
      <c r="A19" t="s">
        <v>2323</v>
      </c>
      <c r="B19" s="100">
        <v>0</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row>
    <row r="20" spans="1:81" x14ac:dyDescent="0.25">
      <c r="A20" t="s">
        <v>2324</v>
      </c>
      <c r="B20" s="100">
        <v>0</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row>
    <row r="21" spans="1:81" x14ac:dyDescent="0.25">
      <c r="A21" t="s">
        <v>2325</v>
      </c>
      <c r="B21" s="100">
        <v>0</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row>
    <row r="22" spans="1:81" x14ac:dyDescent="0.25">
      <c r="A22" t="s">
        <v>2326</v>
      </c>
      <c r="B22" s="100">
        <v>0</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row>
    <row r="23" spans="1:81" x14ac:dyDescent="0.25">
      <c r="A23" t="s">
        <v>2327</v>
      </c>
      <c r="B23" s="100">
        <v>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row>
    <row r="24" spans="1:81" x14ac:dyDescent="0.25">
      <c r="A24" t="s">
        <v>2328</v>
      </c>
      <c r="B24" s="100">
        <v>0</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row>
    <row r="25" spans="1:81" x14ac:dyDescent="0.25">
      <c r="A25" t="s">
        <v>2329</v>
      </c>
      <c r="B25" s="100">
        <v>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row>
    <row r="26" spans="1:81" x14ac:dyDescent="0.25">
      <c r="A26" t="s">
        <v>2330</v>
      </c>
      <c r="B26" s="100">
        <v>0</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row>
    <row r="27" spans="1:81" x14ac:dyDescent="0.25">
      <c r="A27" t="s">
        <v>2331</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0</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row>
    <row r="28" spans="1:81" x14ac:dyDescent="0.25">
      <c r="A28" t="s">
        <v>2332</v>
      </c>
      <c r="B28" s="100">
        <v>0</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row>
    <row r="29" spans="1:81" x14ac:dyDescent="0.25">
      <c r="A29" t="s">
        <v>2333</v>
      </c>
      <c r="B29" s="100">
        <v>0</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0</v>
      </c>
      <c r="BP29" s="100">
        <v>0</v>
      </c>
      <c r="BQ29" s="100">
        <v>0</v>
      </c>
      <c r="BR29" s="100">
        <v>0</v>
      </c>
      <c r="BS29" s="100">
        <v>0</v>
      </c>
      <c r="BT29" s="100">
        <v>0</v>
      </c>
      <c r="BU29" s="100">
        <v>0</v>
      </c>
      <c r="BV29" s="100">
        <v>0</v>
      </c>
      <c r="BW29" s="100">
        <v>0</v>
      </c>
      <c r="BX29" s="100">
        <v>0</v>
      </c>
      <c r="BY29" s="100">
        <v>0</v>
      </c>
      <c r="BZ29" s="100">
        <v>0</v>
      </c>
      <c r="CA29" s="100">
        <v>0</v>
      </c>
      <c r="CB29" s="100">
        <v>0</v>
      </c>
      <c r="CC29" s="100">
        <v>0</v>
      </c>
    </row>
    <row r="30" spans="1:81" x14ac:dyDescent="0.25">
      <c r="A30" t="s">
        <v>2334</v>
      </c>
      <c r="B30" s="100">
        <v>0</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row>
    <row r="31" spans="1:81" x14ac:dyDescent="0.25">
      <c r="A31" t="s">
        <v>2335</v>
      </c>
      <c r="B31" s="100">
        <v>0</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row>
    <row r="32" spans="1:81" x14ac:dyDescent="0.25">
      <c r="A32" t="s">
        <v>2336</v>
      </c>
      <c r="B32" s="100">
        <v>0</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row>
    <row r="33" spans="1:81" x14ac:dyDescent="0.25">
      <c r="A33" t="s">
        <v>2337</v>
      </c>
      <c r="B33" s="100">
        <v>0</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row>
    <row r="34" spans="1:81" x14ac:dyDescent="0.25">
      <c r="A34" t="s">
        <v>2338</v>
      </c>
      <c r="B34" s="100">
        <v>0</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row>
    <row r="35" spans="1:81" x14ac:dyDescent="0.25">
      <c r="A35" t="s">
        <v>2339</v>
      </c>
      <c r="B35" s="100">
        <v>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row>
    <row r="36" spans="1:81" x14ac:dyDescent="0.25">
      <c r="A36" t="s">
        <v>2340</v>
      </c>
      <c r="B36" s="100">
        <v>0</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row>
    <row r="37" spans="1:81" x14ac:dyDescent="0.25">
      <c r="A37" t="s">
        <v>2341</v>
      </c>
      <c r="B37" s="100">
        <v>0</v>
      </c>
      <c r="C37" s="100">
        <v>0</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row>
    <row r="38" spans="1:81" x14ac:dyDescent="0.25">
      <c r="A38" t="s">
        <v>2342</v>
      </c>
      <c r="B38" s="100">
        <v>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row>
    <row r="39" spans="1:81" x14ac:dyDescent="0.25">
      <c r="A39" t="s">
        <v>2343</v>
      </c>
      <c r="B39" s="100">
        <v>0</v>
      </c>
      <c r="C39" s="100">
        <v>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row>
    <row r="40" spans="1:81" x14ac:dyDescent="0.25">
      <c r="A40" t="s">
        <v>2344</v>
      </c>
      <c r="B40" s="100">
        <v>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row>
    <row r="41" spans="1:81" x14ac:dyDescent="0.25">
      <c r="A41" t="s">
        <v>2345</v>
      </c>
      <c r="B41" s="100">
        <v>0</v>
      </c>
      <c r="C41" s="100">
        <v>0</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row>
    <row r="42" spans="1:81" x14ac:dyDescent="0.25">
      <c r="A42" t="s">
        <v>2346</v>
      </c>
      <c r="B42" s="100">
        <v>0</v>
      </c>
      <c r="C42" s="100">
        <v>0</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row>
    <row r="43" spans="1:81" x14ac:dyDescent="0.25">
      <c r="A43" t="s">
        <v>2347</v>
      </c>
      <c r="B43" s="100">
        <v>0</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row>
    <row r="44" spans="1:81" x14ac:dyDescent="0.25">
      <c r="A44" t="s">
        <v>2348</v>
      </c>
      <c r="B44" s="100">
        <v>0</v>
      </c>
      <c r="C44" s="100">
        <v>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row>
    <row r="45" spans="1:81" x14ac:dyDescent="0.25">
      <c r="A45" t="s">
        <v>2349</v>
      </c>
      <c r="B45" s="100">
        <v>0</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row>
    <row r="46" spans="1:81" x14ac:dyDescent="0.25">
      <c r="A46" t="s">
        <v>2350</v>
      </c>
      <c r="B46" s="100">
        <v>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row>
    <row r="47" spans="1:81" x14ac:dyDescent="0.25">
      <c r="A47" t="s">
        <v>2351</v>
      </c>
      <c r="B47" s="100">
        <v>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row>
    <row r="48" spans="1:81" x14ac:dyDescent="0.25">
      <c r="A48" t="s">
        <v>2352</v>
      </c>
      <c r="B48" s="100">
        <v>0</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row>
    <row r="49" spans="1:81" x14ac:dyDescent="0.25">
      <c r="A49" t="s">
        <v>2353</v>
      </c>
      <c r="B49" s="100">
        <v>0</v>
      </c>
      <c r="C49" s="100">
        <v>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row>
    <row r="50" spans="1:81" x14ac:dyDescent="0.25">
      <c r="A50" t="s">
        <v>2354</v>
      </c>
      <c r="B50" s="100">
        <v>0</v>
      </c>
      <c r="C50" s="100">
        <v>0</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row>
    <row r="51" spans="1:81" x14ac:dyDescent="0.25">
      <c r="A51" t="s">
        <v>2355</v>
      </c>
      <c r="B51" s="100">
        <v>0</v>
      </c>
      <c r="C51" s="100">
        <v>0</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row>
    <row r="52" spans="1:81" x14ac:dyDescent="0.25">
      <c r="A52" t="s">
        <v>2356</v>
      </c>
      <c r="B52" s="100">
        <v>0</v>
      </c>
      <c r="C52" s="100">
        <v>0</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row>
    <row r="53" spans="1:81" x14ac:dyDescent="0.25">
      <c r="A53" t="s">
        <v>2297</v>
      </c>
      <c r="B53" s="100">
        <v>0</v>
      </c>
      <c r="C53" s="100">
        <v>0</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row>
    <row r="54" spans="1:81" x14ac:dyDescent="0.25">
      <c r="A54" t="s">
        <v>2298</v>
      </c>
      <c r="B54" s="100">
        <v>0</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row>
    <row r="55" spans="1:81" x14ac:dyDescent="0.25">
      <c r="A55" t="s">
        <v>2299</v>
      </c>
      <c r="B55" s="100">
        <v>0</v>
      </c>
      <c r="C55" s="100">
        <v>0</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row>
    <row r="56" spans="1:81" x14ac:dyDescent="0.25">
      <c r="A56" t="s">
        <v>2300</v>
      </c>
      <c r="B56" s="100">
        <v>0</v>
      </c>
      <c r="C56" s="100">
        <v>0</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row>
    <row r="57" spans="1:81" x14ac:dyDescent="0.25">
      <c r="A57" t="s">
        <v>2301</v>
      </c>
      <c r="B57" s="100">
        <v>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row>
    <row r="58" spans="1:81" x14ac:dyDescent="0.25">
      <c r="A58" t="s">
        <v>2302</v>
      </c>
      <c r="B58" s="100">
        <v>0</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row>
    <row r="59" spans="1:81" x14ac:dyDescent="0.25">
      <c r="A59" t="s">
        <v>2303</v>
      </c>
      <c r="B59" s="100">
        <v>0</v>
      </c>
      <c r="C59" s="100">
        <v>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row>
    <row r="60" spans="1:81" x14ac:dyDescent="0.25">
      <c r="A60" t="s">
        <v>2304</v>
      </c>
      <c r="B60" s="100">
        <v>0</v>
      </c>
      <c r="C60" s="100">
        <v>0</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row>
    <row r="61" spans="1:81" x14ac:dyDescent="0.25">
      <c r="A61" t="s">
        <v>2305</v>
      </c>
      <c r="B61" s="100">
        <v>0</v>
      </c>
      <c r="C61" s="100">
        <v>0</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5" x14ac:dyDescent="0.25"/>
  <cols>
    <col min="1" max="1" width="20" customWidth="1"/>
    <col min="2" max="2" width="14.42578125" style="114" customWidth="1"/>
  </cols>
  <sheetData>
    <row r="1" spans="1:2" x14ac:dyDescent="0.25">
      <c r="A1" s="101" t="s">
        <v>2357</v>
      </c>
      <c r="B1" s="112" t="s">
        <v>2358</v>
      </c>
    </row>
    <row r="2" spans="1:2" x14ac:dyDescent="0.25">
      <c r="A2" t="s">
        <v>2</v>
      </c>
      <c r="B2" s="113">
        <f>'RPS by State'!$F3/SUM('RPS by State'!$F$3:$F$53)</f>
        <v>3.4730844363730327E-2</v>
      </c>
    </row>
    <row r="3" spans="1:2" x14ac:dyDescent="0.25">
      <c r="A3" t="s">
        <v>2272</v>
      </c>
      <c r="B3" s="113">
        <f>'RPS by State'!$F4/SUM('RPS by State'!$F$3:$F$53)</f>
        <v>1.6049392836942223E-3</v>
      </c>
    </row>
    <row r="4" spans="1:2" x14ac:dyDescent="0.25">
      <c r="A4" t="s">
        <v>7</v>
      </c>
      <c r="B4" s="113">
        <f>'RPS by State'!$F5/SUM('RPS by State'!$F$3:$F$53)</f>
        <v>2.6426414590075591E-2</v>
      </c>
    </row>
    <row r="5" spans="1:2" x14ac:dyDescent="0.25">
      <c r="A5" t="s">
        <v>11</v>
      </c>
      <c r="B5" s="113">
        <f>'RPS by State'!$F6/SUM('RPS by State'!$F$3:$F$53)</f>
        <v>1.4867283992612937E-2</v>
      </c>
    </row>
    <row r="6" spans="1:2" x14ac:dyDescent="0.25">
      <c r="A6" t="s">
        <v>2273</v>
      </c>
      <c r="B6" s="113">
        <f>'RPS by State'!$F7/SUM('RPS by State'!$F$3:$F$53)</f>
        <v>4.7975554206185711E-2</v>
      </c>
    </row>
    <row r="7" spans="1:2" x14ac:dyDescent="0.25">
      <c r="A7" t="s">
        <v>2274</v>
      </c>
      <c r="B7" s="113">
        <f>'RPS by State'!$F8/SUM('RPS by State'!$F$3:$F$53)</f>
        <v>1.3830323477384323E-2</v>
      </c>
    </row>
    <row r="8" spans="1:2" x14ac:dyDescent="0.25">
      <c r="A8" t="s">
        <v>18</v>
      </c>
      <c r="B8" s="113">
        <f>'RPS by State'!$F9/SUM('RPS by State'!$F$3:$F$53)</f>
        <v>1.0725831450125237E-2</v>
      </c>
    </row>
    <row r="9" spans="1:2" x14ac:dyDescent="0.25">
      <c r="A9" t="s">
        <v>2275</v>
      </c>
      <c r="B9" s="113">
        <f>'RPS by State'!$F10/SUM('RPS by State'!$F$3:$F$53)</f>
        <v>1.0475525308086687E-3</v>
      </c>
    </row>
    <row r="10" spans="1:2" x14ac:dyDescent="0.25">
      <c r="A10" t="s">
        <v>183</v>
      </c>
      <c r="B10" s="113">
        <f>'RPS by State'!$F11/SUM('RPS by State'!$F$3:$F$53)</f>
        <v>5.1366530690679155E-5</v>
      </c>
    </row>
    <row r="11" spans="1:2" x14ac:dyDescent="0.25">
      <c r="A11" t="s">
        <v>2276</v>
      </c>
      <c r="B11" s="113">
        <f>'RPS by State'!$F12/SUM('RPS by State'!$F$3:$F$53)</f>
        <v>6.0322412491350799E-2</v>
      </c>
    </row>
    <row r="12" spans="1:2" x14ac:dyDescent="0.25">
      <c r="A12" t="s">
        <v>2277</v>
      </c>
      <c r="B12" s="113">
        <f>'RPS by State'!$F13/SUM('RPS by State'!$F$3:$F$53)</f>
        <v>3.0221316968231111E-2</v>
      </c>
    </row>
    <row r="13" spans="1:2" x14ac:dyDescent="0.25">
      <c r="A13" t="s">
        <v>28</v>
      </c>
      <c r="B13" s="113">
        <f>'RPS by State'!$F14/SUM('RPS by State'!$F$3:$F$53)</f>
        <v>2.2342731479679297E-3</v>
      </c>
    </row>
    <row r="14" spans="1:2" x14ac:dyDescent="0.25">
      <c r="A14" t="s">
        <v>31</v>
      </c>
      <c r="B14" s="113">
        <f>'RPS by State'!$F15/SUM('RPS by State'!$F$3:$F$53)</f>
        <v>4.0967650891151203E-3</v>
      </c>
    </row>
    <row r="15" spans="1:2" x14ac:dyDescent="0.25">
      <c r="A15" t="s">
        <v>2278</v>
      </c>
      <c r="B15" s="113">
        <f>'RPS by State'!$F16/SUM('RPS by State'!$F$3:$F$53)</f>
        <v>4.4197289541269377E-2</v>
      </c>
    </row>
    <row r="16" spans="1:2" x14ac:dyDescent="0.25">
      <c r="A16" t="s">
        <v>2279</v>
      </c>
      <c r="B16" s="113">
        <f>'RPS by State'!$F17/SUM('RPS by State'!$F$3:$F$53)</f>
        <v>2.291281843153534E-2</v>
      </c>
    </row>
    <row r="17" spans="1:2" x14ac:dyDescent="0.25">
      <c r="A17" t="s">
        <v>2280</v>
      </c>
      <c r="B17" s="113">
        <f>'RPS by State'!$F18/SUM('RPS by State'!$F$3:$F$53)</f>
        <v>1.6353266157245677E-2</v>
      </c>
    </row>
    <row r="18" spans="1:2" x14ac:dyDescent="0.25">
      <c r="A18" t="s">
        <v>41</v>
      </c>
      <c r="B18" s="113">
        <f>'RPS by State'!$F19/SUM('RPS by State'!$F$3:$F$53)</f>
        <v>1.3779767711589411E-2</v>
      </c>
    </row>
    <row r="19" spans="1:2" x14ac:dyDescent="0.25">
      <c r="A19" t="s">
        <v>44</v>
      </c>
      <c r="B19" s="113">
        <f>'RPS by State'!$F20/SUM('RPS by State'!$F$3:$F$53)</f>
        <v>1.7010589903260109E-2</v>
      </c>
    </row>
    <row r="20" spans="1:2" x14ac:dyDescent="0.25">
      <c r="A20" t="s">
        <v>47</v>
      </c>
      <c r="B20" s="113">
        <f>'RPS by State'!$F21/SUM('RPS by State'!$F$3:$F$53)</f>
        <v>2.4020081168987826E-2</v>
      </c>
    </row>
    <row r="21" spans="1:2" x14ac:dyDescent="0.25">
      <c r="A21" t="s">
        <v>2281</v>
      </c>
      <c r="B21" s="113">
        <f>'RPS by State'!$F22/SUM('RPS by State'!$F$3:$F$53)</f>
        <v>2.6542452274197271E-3</v>
      </c>
    </row>
    <row r="22" spans="1:2" x14ac:dyDescent="0.25">
      <c r="A22" t="s">
        <v>52</v>
      </c>
      <c r="B22" s="113">
        <f>'RPS by State'!$F23/SUM('RPS by State'!$F$3:$F$53)</f>
        <v>9.303633512739504E-3</v>
      </c>
    </row>
    <row r="23" spans="1:2" x14ac:dyDescent="0.25">
      <c r="A23" t="s">
        <v>55</v>
      </c>
      <c r="B23" s="113">
        <f>'RPS by State'!$F24/SUM('RPS by State'!$F$3:$F$53)</f>
        <v>4.7393605072856481E-3</v>
      </c>
    </row>
    <row r="24" spans="1:2" x14ac:dyDescent="0.25">
      <c r="A24" t="s">
        <v>58</v>
      </c>
      <c r="B24" s="113">
        <f>'RPS by State'!$F25/SUM('RPS by State'!$F$3:$F$53)</f>
        <v>2.8107440217343412E-2</v>
      </c>
    </row>
    <row r="25" spans="1:2" x14ac:dyDescent="0.25">
      <c r="A25" t="s">
        <v>2282</v>
      </c>
      <c r="B25" s="113">
        <f>'RPS by State'!$F26/SUM('RPS by State'!$F$3:$F$53)</f>
        <v>1.4403917011747239E-2</v>
      </c>
    </row>
    <row r="26" spans="1:2" x14ac:dyDescent="0.25">
      <c r="A26" t="s">
        <v>2283</v>
      </c>
      <c r="B26" s="113">
        <f>'RPS by State'!$F27/SUM('RPS by State'!$F$3:$F$53)</f>
        <v>1.6478941772566771E-2</v>
      </c>
    </row>
    <row r="27" spans="1:2" x14ac:dyDescent="0.25">
      <c r="A27" t="s">
        <v>66</v>
      </c>
      <c r="B27" s="113">
        <f>'RPS by State'!$F28/SUM('RPS by State'!$F$3:$F$53)</f>
        <v>1.8721907040464652E-2</v>
      </c>
    </row>
    <row r="28" spans="1:2" x14ac:dyDescent="0.25">
      <c r="A28" t="s">
        <v>2284</v>
      </c>
      <c r="B28" s="113">
        <f>'RPS by State'!$F29/SUM('RPS by State'!$F$3:$F$53)</f>
        <v>6.0704982565132348E-3</v>
      </c>
    </row>
    <row r="29" spans="1:2" x14ac:dyDescent="0.25">
      <c r="A29" t="s">
        <v>71</v>
      </c>
      <c r="B29" s="113">
        <f>'RPS by State'!$F30/SUM('RPS by State'!$F$3:$F$53)</f>
        <v>9.2247374746126602E-3</v>
      </c>
    </row>
    <row r="30" spans="1:2" x14ac:dyDescent="0.25">
      <c r="A30" t="s">
        <v>2285</v>
      </c>
      <c r="B30" s="113">
        <f>'RPS by State'!$F31/SUM('RPS by State'!$F$3:$F$53)</f>
        <v>1.0160009287083153E-2</v>
      </c>
    </row>
    <row r="31" spans="1:2" x14ac:dyDescent="0.25">
      <c r="A31" t="s">
        <v>77</v>
      </c>
      <c r="B31" s="113">
        <f>'RPS by State'!$F32/SUM('RPS by State'!$F$3:$F$53)</f>
        <v>4.1835794679496649E-3</v>
      </c>
    </row>
    <row r="32" spans="1:2" x14ac:dyDescent="0.25">
      <c r="A32" t="s">
        <v>2286</v>
      </c>
      <c r="B32" s="113">
        <f>'RPS by State'!$F33/SUM('RPS by State'!$F$3:$F$53)</f>
        <v>1.4948487985432564E-2</v>
      </c>
    </row>
    <row r="33" spans="1:2" x14ac:dyDescent="0.25">
      <c r="A33" t="s">
        <v>82</v>
      </c>
      <c r="B33" s="113">
        <f>'RPS by State'!$F34/SUM('RPS by State'!$F$3:$F$53)</f>
        <v>8.563245540523649E-3</v>
      </c>
    </row>
    <row r="34" spans="1:2" x14ac:dyDescent="0.25">
      <c r="A34" t="s">
        <v>2287</v>
      </c>
      <c r="B34" s="113">
        <f>'RPS by State'!$F35/SUM('RPS by State'!$F$3:$F$53)</f>
        <v>3.0360431766012625E-2</v>
      </c>
    </row>
    <row r="35" spans="1:2" x14ac:dyDescent="0.25">
      <c r="A35" t="s">
        <v>88</v>
      </c>
      <c r="B35" s="113">
        <f>'RPS by State'!$F36/SUM('RPS by State'!$F$3:$F$53)</f>
        <v>3.1613836335887935E-2</v>
      </c>
    </row>
    <row r="36" spans="1:2" x14ac:dyDescent="0.25">
      <c r="A36" t="s">
        <v>90</v>
      </c>
      <c r="B36" s="113">
        <f>'RPS by State'!$F37/SUM('RPS by State'!$F$3:$F$53)</f>
        <v>1.0470930811459474E-2</v>
      </c>
    </row>
    <row r="37" spans="1:2" x14ac:dyDescent="0.25">
      <c r="A37" t="s">
        <v>93</v>
      </c>
      <c r="B37" s="113">
        <f>'RPS by State'!$F38/SUM('RPS by State'!$F$3:$F$53)</f>
        <v>3.0646403777007346E-2</v>
      </c>
    </row>
    <row r="38" spans="1:2" x14ac:dyDescent="0.25">
      <c r="A38" t="s">
        <v>2288</v>
      </c>
      <c r="B38" s="113">
        <f>'RPS by State'!$F39/SUM('RPS by State'!$F$3:$F$53)</f>
        <v>1.9649754952283927E-2</v>
      </c>
    </row>
    <row r="39" spans="1:2" x14ac:dyDescent="0.25">
      <c r="A39" t="s">
        <v>2289</v>
      </c>
      <c r="B39" s="113">
        <f>'RPS by State'!$F40/SUM('RPS by State'!$F$3:$F$53)</f>
        <v>1.4847040662859499E-2</v>
      </c>
    </row>
    <row r="40" spans="1:2" x14ac:dyDescent="0.25">
      <c r="A40" t="s">
        <v>100</v>
      </c>
      <c r="B40" s="113">
        <f>'RPS by State'!$F41/SUM('RPS by State'!$F$3:$F$53)</f>
        <v>5.8722405441881426E-2</v>
      </c>
    </row>
    <row r="41" spans="1:2" x14ac:dyDescent="0.25">
      <c r="A41" t="s">
        <v>2290</v>
      </c>
      <c r="B41" s="113">
        <f>'RPS by State'!$F42/SUM('RPS by State'!$F$3:$F$53)</f>
        <v>2.2684505868918671E-3</v>
      </c>
    </row>
    <row r="42" spans="1:2" x14ac:dyDescent="0.25">
      <c r="A42" t="s">
        <v>105</v>
      </c>
      <c r="B42" s="113">
        <f>'RPS by State'!$F43/SUM('RPS by State'!$F$3:$F$53)</f>
        <v>2.3941031104996929E-2</v>
      </c>
    </row>
    <row r="43" spans="1:2" x14ac:dyDescent="0.25">
      <c r="A43" t="s">
        <v>2291</v>
      </c>
      <c r="B43" s="113">
        <f>'RPS by State'!$F44/SUM('RPS by State'!$F$3:$F$53)</f>
        <v>4.2150063407326204E-3</v>
      </c>
    </row>
    <row r="44" spans="1:2" x14ac:dyDescent="0.25">
      <c r="A44" t="s">
        <v>2292</v>
      </c>
      <c r="B44" s="113">
        <f>'RPS by State'!$F45/SUM('RPS by State'!$F$3:$F$53)</f>
        <v>1.9236737639414008E-2</v>
      </c>
    </row>
    <row r="45" spans="1:2" x14ac:dyDescent="0.25">
      <c r="A45" t="s">
        <v>2293</v>
      </c>
      <c r="B45" s="113">
        <f>'RPS by State'!$F46/SUM('RPS by State'!$F$3:$F$53)</f>
        <v>0.11724562064581155</v>
      </c>
    </row>
    <row r="46" spans="1:2" x14ac:dyDescent="0.25">
      <c r="A46" t="s">
        <v>116</v>
      </c>
      <c r="B46" s="113">
        <f>'RPS by State'!$F47/SUM('RPS by State'!$F$3:$F$53)</f>
        <v>1.0357362164371811E-2</v>
      </c>
    </row>
    <row r="47" spans="1:2" x14ac:dyDescent="0.25">
      <c r="A47" t="s">
        <v>119</v>
      </c>
      <c r="B47" s="113">
        <f>'RPS by State'!$F48/SUM('RPS by State'!$F$3:$F$53)</f>
        <v>5.1286062518101066E-4</v>
      </c>
    </row>
    <row r="48" spans="1:2" x14ac:dyDescent="0.25">
      <c r="A48" t="s">
        <v>122</v>
      </c>
      <c r="B48" s="113">
        <f>'RPS by State'!$F49/SUM('RPS by State'!$F$3:$F$53)</f>
        <v>2.2745746844457827E-2</v>
      </c>
    </row>
    <row r="49" spans="1:2" x14ac:dyDescent="0.25">
      <c r="A49" t="s">
        <v>2294</v>
      </c>
      <c r="B49" s="113">
        <f>'RPS by State'!$F50/SUM('RPS by State'!$F$3:$F$53)</f>
        <v>2.6962653567494152E-2</v>
      </c>
    </row>
    <row r="50" spans="1:2" x14ac:dyDescent="0.25">
      <c r="A50" t="s">
        <v>128</v>
      </c>
      <c r="B50" s="113">
        <f>'RPS by State'!$F51/SUM('RPS by State'!$F$3:$F$53)</f>
        <v>1.6019678498173796E-2</v>
      </c>
    </row>
    <row r="51" spans="1:2" x14ac:dyDescent="0.25">
      <c r="A51" t="s">
        <v>2295</v>
      </c>
      <c r="B51" s="113">
        <f>'RPS by State'!$F52/SUM('RPS by State'!$F$3:$F$53)</f>
        <v>1.5640190158307279E-2</v>
      </c>
    </row>
    <row r="52" spans="1:2" x14ac:dyDescent="0.25">
      <c r="A52" t="s">
        <v>2296</v>
      </c>
      <c r="B52" s="113">
        <f>'RPS by State'!$F53/SUM('RPS by State'!$F$3:$F$53)</f>
        <v>1.0575163739232642E-2</v>
      </c>
    </row>
    <row r="53" spans="1:2" x14ac:dyDescent="0.25">
      <c r="A53" t="s">
        <v>2297</v>
      </c>
      <c r="B53" s="113">
        <f>'RPS by State'!$F54/SUM('RPS by State'!$F$3:$F$53)</f>
        <v>0</v>
      </c>
    </row>
    <row r="54" spans="1:2" x14ac:dyDescent="0.25">
      <c r="A54" t="s">
        <v>2298</v>
      </c>
      <c r="B54" s="113">
        <f>'RPS by State'!$F55/SUM('RPS by State'!$F$3:$F$53)</f>
        <v>0</v>
      </c>
    </row>
    <row r="55" spans="1:2" x14ac:dyDescent="0.25">
      <c r="A55" t="s">
        <v>2299</v>
      </c>
      <c r="B55" s="113">
        <f>'RPS by State'!$F56/SUM('RPS by State'!$F$3:$F$53)</f>
        <v>0</v>
      </c>
    </row>
    <row r="56" spans="1:2" x14ac:dyDescent="0.25">
      <c r="A56" t="s">
        <v>2300</v>
      </c>
      <c r="B56" s="113">
        <f>'RPS by State'!$F57/SUM('RPS by State'!$F$3:$F$53)</f>
        <v>0</v>
      </c>
    </row>
    <row r="57" spans="1:2" x14ac:dyDescent="0.25">
      <c r="A57" t="s">
        <v>2301</v>
      </c>
      <c r="B57" s="113">
        <f>'RPS by State'!$F58/SUM('RPS by State'!$F$3:$F$53)</f>
        <v>0</v>
      </c>
    </row>
    <row r="58" spans="1:2" x14ac:dyDescent="0.25">
      <c r="A58" t="s">
        <v>2302</v>
      </c>
      <c r="B58" s="113">
        <f>'RPS by State'!$F59/SUM('RPS by State'!$F$3:$F$53)</f>
        <v>0</v>
      </c>
    </row>
    <row r="59" spans="1:2" x14ac:dyDescent="0.25">
      <c r="A59" t="s">
        <v>2303</v>
      </c>
      <c r="B59" s="113">
        <f>'RPS by State'!$F60/SUM('RPS by State'!$F$3:$F$53)</f>
        <v>0</v>
      </c>
    </row>
    <row r="60" spans="1:2" x14ac:dyDescent="0.25">
      <c r="A60" t="s">
        <v>2304</v>
      </c>
      <c r="B60" s="113">
        <f>'RPS by State'!$F61/SUM('RPS by State'!$F$3:$F$53)</f>
        <v>0</v>
      </c>
    </row>
    <row r="61" spans="1:2" x14ac:dyDescent="0.25">
      <c r="A61" t="s">
        <v>2305</v>
      </c>
      <c r="B61" s="113">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2024-01-11T23:51:09Z</dcterms:modified>
</cp:coreProperties>
</file>