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elec\GBSC\"/>
    </mc:Choice>
  </mc:AlternateContent>
  <xr:revisionPtr revIDLastSave="0" documentId="13_ncr:1_{7938761B-9E56-4334-815B-D743FF478A5B}" xr6:coauthVersionLast="47" xr6:coauthVersionMax="47" xr10:uidLastSave="{00000000-0000-0000-0000-000000000000}"/>
  <bookViews>
    <workbookView xWindow="3510" yWindow="3510" windowWidth="21600" windowHeight="12645" firstSheet="7" activeTab="7" xr2:uid="{00000000-000D-0000-FFFF-FFFF00000000}"/>
  </bookViews>
  <sheets>
    <sheet name="About" sheetId="1" r:id="rId1"/>
    <sheet name="Gridlab Battery Data (Old)" sheetId="2" r:id="rId2"/>
    <sheet name="SYC 2019" sheetId="3" r:id="rId3"/>
    <sheet name="Calculations" sheetId="4" r:id="rId4"/>
    <sheet name="Potential" sheetId="5" r:id="rId5"/>
    <sheet name="BGBSC" sheetId="6" r:id="rId6"/>
    <sheet name="PAGBSC" sheetId="7" r:id="rId7"/>
    <sheet name="SYGBSC" sheetId="8" r:id="rId8"/>
    <sheet name="GBDSD" sheetId="9" r:id="rId9"/>
  </sheets>
  <externalReferences>
    <externalReference r:id="rId10"/>
  </externalReferences>
  <definedNames>
    <definedName name="gigwatts_to_megawatts" localSheetId="8">About!$A$42</definedName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4" l="1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G39" i="4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39" i="4"/>
  <c r="D39" i="4" s="1"/>
  <c r="E39" i="4" s="1"/>
  <c r="F39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G10" i="4"/>
  <c r="C58" i="4" s="1"/>
  <c r="G7" i="4"/>
  <c r="B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51" i="2"/>
  <c r="C51" i="2"/>
  <c r="F10" i="4" s="1"/>
  <c r="B51" i="2"/>
  <c r="E7" i="4" s="1"/>
  <c r="F50" i="2"/>
  <c r="E50" i="2"/>
  <c r="E49" i="2"/>
  <c r="E48" i="2"/>
  <c r="E47" i="2"/>
  <c r="E46" i="2"/>
  <c r="E45" i="2"/>
  <c r="E44" i="2"/>
  <c r="E43" i="2"/>
  <c r="E42" i="2"/>
  <c r="E41" i="2"/>
  <c r="E40" i="2"/>
  <c r="E39" i="2"/>
  <c r="F38" i="2"/>
  <c r="E38" i="2"/>
  <c r="E37" i="2"/>
  <c r="E36" i="2"/>
  <c r="E35" i="2"/>
  <c r="E34" i="2"/>
  <c r="E33" i="2"/>
  <c r="E32" i="2"/>
  <c r="E31" i="2"/>
  <c r="F30" i="2"/>
  <c r="E30" i="2"/>
  <c r="E29" i="2"/>
  <c r="E28" i="2"/>
  <c r="E27" i="2"/>
  <c r="F26" i="2"/>
  <c r="E26" i="2"/>
  <c r="E25" i="2"/>
  <c r="E24" i="2"/>
  <c r="E23" i="2"/>
  <c r="E22" i="2"/>
  <c r="E21" i="2"/>
  <c r="F20" i="2"/>
  <c r="E20" i="2"/>
  <c r="E19" i="2"/>
  <c r="E18" i="2"/>
  <c r="E17" i="2"/>
  <c r="F16" i="2"/>
  <c r="E16" i="2"/>
  <c r="E15" i="2"/>
  <c r="F14" i="2"/>
  <c r="E14" i="2"/>
  <c r="E13" i="2"/>
  <c r="E12" i="2"/>
  <c r="E11" i="2"/>
  <c r="F10" i="2"/>
  <c r="E10" i="2"/>
  <c r="E9" i="2"/>
  <c r="E8" i="2"/>
  <c r="E7" i="2"/>
  <c r="F6" i="2"/>
  <c r="E6" i="2"/>
  <c r="E5" i="2"/>
  <c r="F4" i="2"/>
  <c r="E4" i="2"/>
  <c r="E3" i="2"/>
  <c r="B2" i="1"/>
  <c r="A30" i="4" s="1"/>
  <c r="S36" i="4" l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50" i="4"/>
  <c r="B61" i="4"/>
  <c r="F44" i="2"/>
  <c r="C89" i="4" s="1"/>
  <c r="F49" i="2"/>
  <c r="F45" i="2"/>
  <c r="B91" i="4" s="1"/>
  <c r="F41" i="2"/>
  <c r="B86" i="4" s="1"/>
  <c r="F37" i="2"/>
  <c r="F33" i="2"/>
  <c r="B73" i="4" s="1"/>
  <c r="F29" i="2"/>
  <c r="C72" i="4" s="1"/>
  <c r="F25" i="2"/>
  <c r="F21" i="2"/>
  <c r="F17" i="2"/>
  <c r="F13" i="2"/>
  <c r="B57" i="4" s="1"/>
  <c r="F9" i="2"/>
  <c r="F5" i="2"/>
  <c r="F48" i="2"/>
  <c r="B94" i="4" s="1"/>
  <c r="F36" i="2"/>
  <c r="C81" i="4" s="1"/>
  <c r="F32" i="2"/>
  <c r="F40" i="2"/>
  <c r="F47" i="2"/>
  <c r="F43" i="2"/>
  <c r="C88" i="4" s="1"/>
  <c r="F39" i="2"/>
  <c r="F35" i="2"/>
  <c r="F31" i="2"/>
  <c r="C75" i="4" s="1"/>
  <c r="F27" i="2"/>
  <c r="B78" i="4" s="1"/>
  <c r="F23" i="2"/>
  <c r="F19" i="2"/>
  <c r="B66" i="4" s="1"/>
  <c r="F15" i="2"/>
  <c r="C59" i="4" s="1"/>
  <c r="F11" i="2"/>
  <c r="C55" i="4" s="1"/>
  <c r="F7" i="2"/>
  <c r="F3" i="2"/>
  <c r="C51" i="4"/>
  <c r="C67" i="4"/>
  <c r="F12" i="2"/>
  <c r="F28" i="2"/>
  <c r="B79" i="4" s="1"/>
  <c r="F34" i="2"/>
  <c r="B46" i="4"/>
  <c r="B62" i="4"/>
  <c r="F22" i="2"/>
  <c r="F46" i="2"/>
  <c r="B90" i="4"/>
  <c r="B82" i="4"/>
  <c r="B74" i="4"/>
  <c r="B58" i="4"/>
  <c r="B50" i="4"/>
  <c r="B84" i="4"/>
  <c r="B68" i="4"/>
  <c r="B52" i="4"/>
  <c r="B65" i="4"/>
  <c r="B95" i="4"/>
  <c r="B71" i="4"/>
  <c r="B47" i="4"/>
  <c r="B92" i="4"/>
  <c r="B76" i="4"/>
  <c r="B60" i="4"/>
  <c r="B49" i="4"/>
  <c r="B83" i="4"/>
  <c r="B75" i="4"/>
  <c r="B67" i="4"/>
  <c r="B59" i="4"/>
  <c r="B51" i="4"/>
  <c r="B80" i="4"/>
  <c r="B64" i="4"/>
  <c r="B56" i="4"/>
  <c r="B48" i="4"/>
  <c r="B93" i="4"/>
  <c r="B85" i="4"/>
  <c r="B77" i="4"/>
  <c r="C93" i="4"/>
  <c r="C95" i="4"/>
  <c r="C79" i="4"/>
  <c r="C71" i="4"/>
  <c r="C47" i="4"/>
  <c r="C65" i="4"/>
  <c r="C49" i="4"/>
  <c r="C78" i="4"/>
  <c r="C62" i="4"/>
  <c r="C46" i="4"/>
  <c r="C92" i="4"/>
  <c r="C84" i="4"/>
  <c r="C76" i="4"/>
  <c r="C68" i="4"/>
  <c r="C60" i="4"/>
  <c r="C52" i="4"/>
  <c r="C86" i="4"/>
  <c r="C54" i="4"/>
  <c r="C94" i="4"/>
  <c r="C91" i="4"/>
  <c r="C80" i="4"/>
  <c r="C64" i="4"/>
  <c r="C56" i="4"/>
  <c r="C48" i="4"/>
  <c r="C85" i="4"/>
  <c r="C77" i="4"/>
  <c r="C69" i="4"/>
  <c r="C61" i="4"/>
  <c r="C53" i="4"/>
  <c r="C90" i="4"/>
  <c r="C82" i="4"/>
  <c r="C74" i="4"/>
  <c r="B54" i="4"/>
  <c r="C83" i="4"/>
  <c r="B33" i="4"/>
  <c r="C32" i="4"/>
  <c r="F18" i="2"/>
  <c r="B63" i="4" s="1"/>
  <c r="F8" i="2"/>
  <c r="F24" i="2"/>
  <c r="B70" i="4" s="1"/>
  <c r="F42" i="2"/>
  <c r="C87" i="4" s="1"/>
  <c r="B53" i="4"/>
  <c r="B69" i="4"/>
  <c r="E10" i="4"/>
  <c r="B72" i="4" l="1"/>
  <c r="B81" i="4"/>
  <c r="C70" i="4"/>
  <c r="B55" i="4"/>
  <c r="B89" i="4"/>
  <c r="B88" i="4"/>
  <c r="D32" i="4"/>
  <c r="C34" i="4"/>
  <c r="C33" i="4"/>
  <c r="R37" i="4" s="1"/>
  <c r="C57" i="4"/>
  <c r="B34" i="4"/>
  <c r="B40" i="4"/>
  <c r="B2" i="7" s="1"/>
  <c r="C73" i="4"/>
  <c r="C63" i="4"/>
  <c r="C66" i="4"/>
  <c r="B87" i="4"/>
  <c r="D34" i="4" l="1"/>
  <c r="AG40" i="4" s="1"/>
  <c r="D33" i="4"/>
  <c r="AG37" i="4" s="1"/>
  <c r="B37" i="4"/>
  <c r="B2" i="6" s="1"/>
  <c r="R40" i="4"/>
  <c r="R2" i="6"/>
  <c r="E37" i="4"/>
  <c r="E2" i="6" s="1"/>
  <c r="D37" i="4"/>
  <c r="D2" i="6" s="1"/>
  <c r="B2" i="8" s="1"/>
  <c r="C37" i="4"/>
  <c r="C2" i="6" s="1"/>
  <c r="F37" i="4" l="1"/>
  <c r="R2" i="7"/>
  <c r="C40" i="4"/>
  <c r="C2" i="7" s="1"/>
  <c r="AG2" i="6"/>
  <c r="T37" i="4"/>
  <c r="T2" i="6" s="1"/>
  <c r="S37" i="4"/>
  <c r="S2" i="6" s="1"/>
  <c r="AG2" i="7"/>
  <c r="S40" i="4"/>
  <c r="S2" i="7" s="1"/>
  <c r="U37" i="4" l="1"/>
  <c r="T40" i="4"/>
  <c r="D40" i="4"/>
  <c r="F2" i="6"/>
  <c r="G37" i="4"/>
  <c r="D2" i="7" l="1"/>
  <c r="E40" i="4"/>
  <c r="G2" i="6"/>
  <c r="H37" i="4"/>
  <c r="T2" i="7"/>
  <c r="U40" i="4"/>
  <c r="U2" i="6"/>
  <c r="V37" i="4"/>
  <c r="V2" i="6" l="1"/>
  <c r="W37" i="4"/>
  <c r="U2" i="7"/>
  <c r="V40" i="4"/>
  <c r="H2" i="6"/>
  <c r="I37" i="4"/>
  <c r="E2" i="7"/>
  <c r="F40" i="4"/>
  <c r="F2" i="7" l="1"/>
  <c r="G40" i="4"/>
  <c r="V2" i="7"/>
  <c r="W40" i="4"/>
  <c r="I2" i="6"/>
  <c r="J37" i="4"/>
  <c r="W2" i="6"/>
  <c r="X37" i="4"/>
  <c r="J2" i="6" l="1"/>
  <c r="K37" i="4"/>
  <c r="W2" i="7"/>
  <c r="X40" i="4"/>
  <c r="X2" i="6"/>
  <c r="Y37" i="4"/>
  <c r="G2" i="7"/>
  <c r="H40" i="4"/>
  <c r="X2" i="7" l="1"/>
  <c r="Y40" i="4"/>
  <c r="H2" i="7"/>
  <c r="I40" i="4"/>
  <c r="Y2" i="6"/>
  <c r="Z37" i="4"/>
  <c r="K2" i="6"/>
  <c r="L37" i="4"/>
  <c r="Y2" i="7" l="1"/>
  <c r="Z40" i="4"/>
  <c r="L2" i="6"/>
  <c r="M37" i="4"/>
  <c r="Z2" i="6"/>
  <c r="AA37" i="4"/>
  <c r="I2" i="7"/>
  <c r="J40" i="4"/>
  <c r="J2" i="7" l="1"/>
  <c r="K40" i="4"/>
  <c r="M2" i="6"/>
  <c r="N37" i="4"/>
  <c r="Z2" i="7"/>
  <c r="AA40" i="4"/>
  <c r="AA2" i="6"/>
  <c r="AB37" i="4"/>
  <c r="AB2" i="6" l="1"/>
  <c r="AC37" i="4"/>
  <c r="N2" i="6"/>
  <c r="O37" i="4"/>
  <c r="K2" i="7"/>
  <c r="L40" i="4"/>
  <c r="AA2" i="7"/>
  <c r="AB40" i="4"/>
  <c r="O2" i="6" l="1"/>
  <c r="P37" i="4"/>
  <c r="AB2" i="7"/>
  <c r="AC40" i="4"/>
  <c r="AC2" i="6"/>
  <c r="AD37" i="4"/>
  <c r="L2" i="7"/>
  <c r="M40" i="4"/>
  <c r="AC2" i="7" l="1"/>
  <c r="AD40" i="4"/>
  <c r="M2" i="7"/>
  <c r="N40" i="4"/>
  <c r="P2" i="6"/>
  <c r="Q37" i="4"/>
  <c r="Q2" i="6" s="1"/>
  <c r="AD2" i="6"/>
  <c r="AE37" i="4"/>
  <c r="N2" i="7" l="1"/>
  <c r="O40" i="4"/>
  <c r="AD2" i="7"/>
  <c r="AE40" i="4"/>
  <c r="AE2" i="6"/>
  <c r="AF37" i="4"/>
  <c r="AF2" i="6" s="1"/>
  <c r="O2" i="7" l="1"/>
  <c r="P40" i="4"/>
  <c r="AE2" i="7"/>
  <c r="AF40" i="4"/>
  <c r="AF2" i="7" s="1"/>
  <c r="P2" i="7" l="1"/>
  <c r="Q40" i="4"/>
  <c r="Q2" i="7" s="1"/>
</calcChain>
</file>

<file path=xl/sharedStrings.xml><?xml version="1.0" encoding="utf-8"?>
<sst xmlns="http://schemas.openxmlformats.org/spreadsheetml/2006/main" count="321" uniqueCount="159">
  <si>
    <t>GBSC BAU Grid Battery Storage Capacity</t>
  </si>
  <si>
    <t>Colorado</t>
  </si>
  <si>
    <t>Alabama</t>
  </si>
  <si>
    <t>AL</t>
  </si>
  <si>
    <t>GBSB Potential Additional Grid Battery Storage Capacity</t>
  </si>
  <si>
    <t>Alaska</t>
  </si>
  <si>
    <t>AK</t>
  </si>
  <si>
    <t>GBSC Start Year Grid Battery Storage Capacity</t>
  </si>
  <si>
    <t>Arizona</t>
  </si>
  <si>
    <t>AZ</t>
  </si>
  <si>
    <t>Arkansas</t>
  </si>
  <si>
    <t>AR</t>
  </si>
  <si>
    <t>Source:</t>
  </si>
  <si>
    <t>BAU Grid Battery Storage Capacity</t>
  </si>
  <si>
    <t>California</t>
  </si>
  <si>
    <t>CA</t>
  </si>
  <si>
    <t>Energy Information Administration</t>
  </si>
  <si>
    <t>CO</t>
  </si>
  <si>
    <t>Connecticut</t>
  </si>
  <si>
    <t>CT</t>
  </si>
  <si>
    <t>Annual Energy Outlook 2020</t>
  </si>
  <si>
    <t>Delaware</t>
  </si>
  <si>
    <t>DE</t>
  </si>
  <si>
    <t>http://www.eia.gov/forecasts/aeo/excel/aeotab_9.xlsx</t>
  </si>
  <si>
    <t>Florida</t>
  </si>
  <si>
    <t>FL</t>
  </si>
  <si>
    <t>Row "Diurnal Storage"</t>
  </si>
  <si>
    <t>Georgia</t>
  </si>
  <si>
    <t>GA</t>
  </si>
  <si>
    <t>Hawaii</t>
  </si>
  <si>
    <t>HI</t>
  </si>
  <si>
    <t>Potential Additional Battery Storage Capacity</t>
  </si>
  <si>
    <t>Idaho</t>
  </si>
  <si>
    <t>ID</t>
  </si>
  <si>
    <t>National Renewable Energy Laboratory</t>
  </si>
  <si>
    <t>Illinois</t>
  </si>
  <si>
    <t>IL</t>
  </si>
  <si>
    <t>2012 (data revised 2014)</t>
  </si>
  <si>
    <t>Indiana</t>
  </si>
  <si>
    <t>IN</t>
  </si>
  <si>
    <t>Renewable Electricity Futures Scenario Viewer</t>
  </si>
  <si>
    <t>Iowa</t>
  </si>
  <si>
    <t>IA</t>
  </si>
  <si>
    <t>https://www.nrel.gov/analysis/re_futures/data_viewer/</t>
  </si>
  <si>
    <t>Kansas</t>
  </si>
  <si>
    <t>KS</t>
  </si>
  <si>
    <t>"80% RE-ITI (2014)" scenario</t>
  </si>
  <si>
    <t>Kentucky</t>
  </si>
  <si>
    <t>KY</t>
  </si>
  <si>
    <t>Louisiana</t>
  </si>
  <si>
    <t>LA</t>
  </si>
  <si>
    <t>Start Year Battery Storage Capacity</t>
  </si>
  <si>
    <t>Maine</t>
  </si>
  <si>
    <t>ME</t>
  </si>
  <si>
    <t>Maryland</t>
  </si>
  <si>
    <t>MD</t>
  </si>
  <si>
    <t>Massachusetts</t>
  </si>
  <si>
    <t>MA</t>
  </si>
  <si>
    <t>Annual Energy Outlook 2019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</si>
  <si>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</si>
  <si>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</si>
  <si>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</si>
  <si>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</si>
  <si>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</si>
  <si>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</si>
  <si>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</si>
  <si>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</si>
  <si>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</si>
  <si>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</si>
  <si>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</si>
  <si>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The Gridlab 2035 study was used for 2019 storage data</t>
  </si>
  <si>
    <t>Nebraska</t>
  </si>
  <si>
    <t>NE</t>
  </si>
  <si>
    <t>Gridlab 2035 data was used for  BAU growth of national battery storage, and apportioned storage based on the study's state-by-state percentages</t>
  </si>
  <si>
    <t>Nevada</t>
  </si>
  <si>
    <t>NV</t>
  </si>
  <si>
    <t>New Hampshire</t>
  </si>
  <si>
    <t>NH</t>
  </si>
  <si>
    <t>The battery capacity is linearly interpolated between start year, 2035 battery capacity and 2050 capacity for potential</t>
  </si>
  <si>
    <t>New Jersey</t>
  </si>
  <si>
    <t>NJ</t>
  </si>
  <si>
    <t>An addition 1.5x was added for potential to allow for more storage.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</si>
  <si>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</si>
  <si>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</si>
  <si>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</si>
  <si>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</si>
  <si>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</si>
  <si>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</si>
  <si>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</si>
  <si>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</si>
  <si>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</si>
  <si>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</si>
  <si>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</si>
  <si>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</si>
  <si>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</si>
  <si>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</si>
  <si>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</si>
  <si>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</si>
  <si>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</si>
  <si>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</si>
  <si>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</si>
  <si>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</si>
  <si>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</si>
  <si>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</si>
  <si>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</si>
  <si>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</si>
  <si>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</si>
  <si>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</si>
  <si>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</si>
  <si>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</si>
  <si>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</si>
  <si>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</si>
  <si>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</si>
  <si>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</si>
  <si>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</si>
  <si>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</si>
  <si>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</si>
  <si>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</si>
  <si>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</si>
  <si>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</si>
  <si>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</si>
  <si>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</si>
  <si>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Fraction 2035</t>
  </si>
  <si>
    <t>Fraction 2050</t>
  </si>
  <si>
    <t>﻿State</t>
  </si>
  <si>
    <t>Installed Capacity (MW)</t>
  </si>
  <si>
    <t>Total</t>
  </si>
  <si>
    <t>States</t>
  </si>
  <si>
    <t>Fraction</t>
  </si>
  <si>
    <t>National Grid cumulative additions (2035)</t>
  </si>
  <si>
    <t>From pixel analysis:</t>
  </si>
  <si>
    <t>100 GW = 88 pixels</t>
  </si>
  <si>
    <t>2035 battery additions: 24 pixels</t>
  </si>
  <si>
    <t>2035 battery additions:</t>
  </si>
  <si>
    <t>BAU national</t>
  </si>
  <si>
    <t>2019 (GW)</t>
  </si>
  <si>
    <t>2035(GW)</t>
  </si>
  <si>
    <t>2050 (1.5x)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</si>
  <si>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</si>
  <si>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</si>
  <si>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</si>
  <si>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</si>
  <si>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</si>
  <si>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</si>
  <si>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</si>
  <si>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</si>
  <si>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</si>
  <si>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For Webapp:</t>
  </si>
  <si>
    <t>2050 BAU</t>
  </si>
  <si>
    <t>2050 Potential</t>
  </si>
  <si>
    <t>2019 SYC</t>
  </si>
  <si>
    <t>Battery Storage Capacity</t>
  </si>
  <si>
    <t>Policy scenario</t>
  </si>
  <si>
    <t>Unit: MW</t>
  </si>
  <si>
    <t>Potential Additional Grid Battery Storage Capacity</t>
  </si>
  <si>
    <t>Start Year</t>
  </si>
  <si>
    <t>Unit: hours</t>
  </si>
  <si>
    <t>hours</t>
  </si>
  <si>
    <t>hours per day battery may charge and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</si>
</sst>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25" fillId="0" borderId="0" xfId="0" applyNumberFormat="1" applyFont="1"/>
    <xf numFmtId="0" fontId="25" fillId="0" borderId="0" xfId="0" applyFon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58">
    <cellStyle name="20% - Accent1 2" xfId="3" xr:uid="{00000000-0005-0000-0000-000003000000}"/>
    <cellStyle name="20% - Accent2 2" xfId="4" xr:uid="{00000000-0005-0000-0000-000004000000}"/>
    <cellStyle name="20% - Accent3 2" xfId="5" xr:uid="{00000000-0005-0000-0000-000005000000}"/>
    <cellStyle name="20% - Accent4 2" xfId="6" xr:uid="{00000000-0005-0000-0000-000006000000}"/>
    <cellStyle name="20% - Accent5 2" xfId="7" xr:uid="{00000000-0005-0000-0000-000007000000}"/>
    <cellStyle name="20% - Accent6 2" xfId="8" xr:uid="{00000000-0005-0000-0000-000008000000}"/>
    <cellStyle name="40% - Accent1 2" xfId="9" xr:uid="{00000000-0005-0000-0000-000009000000}"/>
    <cellStyle name="40% - Accent2 2" xfId="10" xr:uid="{00000000-0005-0000-0000-00000A000000}"/>
    <cellStyle name="40% - Accent3 2" xfId="11" xr:uid="{00000000-0005-0000-0000-00000B000000}"/>
    <cellStyle name="40% - Accent4 2" xfId="12" xr:uid="{00000000-0005-0000-0000-00000C000000}"/>
    <cellStyle name="40% - Accent5 2" xfId="13" xr:uid="{00000000-0005-0000-0000-00000D000000}"/>
    <cellStyle name="40% - Accent6 2" xfId="14" xr:uid="{00000000-0005-0000-0000-00000E000000}"/>
    <cellStyle name="60% - Accent1 2" xfId="15" xr:uid="{00000000-0005-0000-0000-00000F000000}"/>
    <cellStyle name="60% - Accent2 2" xfId="16" xr:uid="{00000000-0005-0000-0000-000010000000}"/>
    <cellStyle name="60% - Accent3 2" xfId="17" xr:uid="{00000000-0005-0000-0000-000011000000}"/>
    <cellStyle name="60% - Accent4 2" xfId="18" xr:uid="{00000000-0005-0000-0000-000012000000}"/>
    <cellStyle name="60% - Accent5 2" xfId="19" xr:uid="{00000000-0005-0000-0000-000013000000}"/>
    <cellStyle name="60% - Accent6 2" xfId="20" xr:uid="{00000000-0005-0000-0000-000014000000}"/>
    <cellStyle name="Accent1 2" xfId="21" xr:uid="{00000000-0005-0000-0000-000015000000}"/>
    <cellStyle name="Accent2 2" xfId="22" xr:uid="{00000000-0005-0000-0000-000016000000}"/>
    <cellStyle name="Accent3 2" xfId="23" xr:uid="{00000000-0005-0000-0000-000017000000}"/>
    <cellStyle name="Accent4 2" xfId="24" xr:uid="{00000000-0005-0000-0000-000018000000}"/>
    <cellStyle name="Accent5 2" xfId="25" xr:uid="{00000000-0005-0000-0000-000019000000}"/>
    <cellStyle name="Accent6 2" xfId="26" xr:uid="{00000000-0005-0000-0000-00001A000000}"/>
    <cellStyle name="Bad 2" xfId="27" xr:uid="{00000000-0005-0000-0000-00001B000000}"/>
    <cellStyle name="Body: normal cell" xfId="56" xr:uid="{00000000-0005-0000-0000-000038000000}"/>
    <cellStyle name="Calculation 2" xfId="28" xr:uid="{00000000-0005-0000-0000-00001C000000}"/>
    <cellStyle name="Check Cell 2" xfId="29" xr:uid="{00000000-0005-0000-0000-00001D000000}"/>
    <cellStyle name="Euro" xfId="30" xr:uid="{00000000-0005-0000-0000-00001E000000}"/>
    <cellStyle name="Explanatory Text 2" xfId="31" xr:uid="{00000000-0005-0000-0000-00001F000000}"/>
    <cellStyle name="Font: Calibri, 9pt regular" xfId="52" xr:uid="{00000000-0005-0000-0000-000034000000}"/>
    <cellStyle name="Footnotes: top row" xfId="57" xr:uid="{00000000-0005-0000-0000-000039000000}"/>
    <cellStyle name="Good 2" xfId="32" xr:uid="{00000000-0005-0000-0000-000020000000}"/>
    <cellStyle name="Header: bottom row" xfId="53" xr:uid="{00000000-0005-0000-0000-000035000000}"/>
    <cellStyle name="Heading 1 2" xfId="33" xr:uid="{00000000-0005-0000-0000-000021000000}"/>
    <cellStyle name="Heading 2 2" xfId="34" xr:uid="{00000000-0005-0000-0000-000022000000}"/>
    <cellStyle name="Heading 3 2" xfId="35" xr:uid="{00000000-0005-0000-0000-000023000000}"/>
    <cellStyle name="Heading 4 2" xfId="36" xr:uid="{00000000-0005-0000-0000-000024000000}"/>
    <cellStyle name="Hyperlink" xfId="1" builtinId="8"/>
    <cellStyle name="Input 2" xfId="37" xr:uid="{00000000-0005-0000-0000-000025000000}"/>
    <cellStyle name="Linked Cell 2" xfId="38" xr:uid="{00000000-0005-0000-0000-000026000000}"/>
    <cellStyle name="Neutral 2" xfId="39" xr:uid="{00000000-0005-0000-0000-000027000000}"/>
    <cellStyle name="Normal" xfId="0" builtinId="0"/>
    <cellStyle name="Normal 2" xfId="2" xr:uid="{00000000-0005-0000-0000-000002000000}"/>
    <cellStyle name="Normal 2 2" xfId="45" xr:uid="{00000000-0005-0000-0000-00002D000000}"/>
    <cellStyle name="Normal 2 3" xfId="48" xr:uid="{00000000-0005-0000-0000-000030000000}"/>
    <cellStyle name="Normal 2 4" xfId="49" xr:uid="{00000000-0005-0000-0000-000031000000}"/>
    <cellStyle name="Normal 2 5" xfId="50" xr:uid="{00000000-0005-0000-0000-000032000000}"/>
    <cellStyle name="Normal 2 6" xfId="51" xr:uid="{00000000-0005-0000-0000-000033000000}"/>
    <cellStyle name="Normal 3" xfId="46" xr:uid="{00000000-0005-0000-0000-00002E000000}"/>
    <cellStyle name="Normal 4" xfId="47" xr:uid="{00000000-0005-0000-0000-00002F000000}"/>
    <cellStyle name="Note 2" xfId="40" xr:uid="{00000000-0005-0000-0000-000028000000}"/>
    <cellStyle name="Output 2" xfId="41" xr:uid="{00000000-0005-0000-0000-000029000000}"/>
    <cellStyle name="Parent row" xfId="55" xr:uid="{00000000-0005-0000-0000-000037000000}"/>
    <cellStyle name="Table title" xfId="54" xr:uid="{00000000-0005-0000-0000-000036000000}"/>
    <cellStyle name="Title 2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I18" sqref="I18"/>
    </sheetView>
  </sheetViews>
  <sheetFormatPr defaultColWidth="9" defaultRowHeight="15" x14ac:dyDescent="0.25"/>
  <cols>
    <col min="1" max="1" width="17.85546875" customWidth="1"/>
    <col min="2" max="2" width="54" customWidth="1"/>
  </cols>
  <sheetData>
    <row r="1" spans="1:7" x14ac:dyDescent="0.25">
      <c r="A1" s="3" t="s">
        <v>0</v>
      </c>
      <c r="B1" t="s">
        <v>1</v>
      </c>
      <c r="C1" s="17">
        <v>45194</v>
      </c>
      <c r="F1" s="16" t="s">
        <v>2</v>
      </c>
      <c r="G1" s="16" t="s">
        <v>3</v>
      </c>
    </row>
    <row r="2" spans="1:7" x14ac:dyDescent="0.25">
      <c r="A2" s="3" t="s">
        <v>4</v>
      </c>
      <c r="B2" t="str">
        <f>LOOKUP(B1,F1:G50,G1:G50)</f>
        <v>CO</v>
      </c>
      <c r="F2" s="16" t="s">
        <v>5</v>
      </c>
      <c r="G2" s="16" t="s">
        <v>6</v>
      </c>
    </row>
    <row r="3" spans="1:7" x14ac:dyDescent="0.25">
      <c r="A3" s="3" t="s">
        <v>7</v>
      </c>
      <c r="F3" s="16" t="s">
        <v>8</v>
      </c>
      <c r="G3" s="16" t="s">
        <v>9</v>
      </c>
    </row>
    <row r="4" spans="1:7" x14ac:dyDescent="0.25">
      <c r="F4" s="16" t="s">
        <v>10</v>
      </c>
      <c r="G4" s="16" t="s">
        <v>11</v>
      </c>
    </row>
    <row r="5" spans="1:7" x14ac:dyDescent="0.25">
      <c r="A5" s="3" t="s">
        <v>12</v>
      </c>
      <c r="B5" s="1" t="s">
        <v>13</v>
      </c>
      <c r="F5" s="16" t="s">
        <v>14</v>
      </c>
      <c r="G5" s="16" t="s">
        <v>15</v>
      </c>
    </row>
    <row r="6" spans="1:7" x14ac:dyDescent="0.25">
      <c r="B6" t="s">
        <v>16</v>
      </c>
      <c r="F6" s="16" t="s">
        <v>1</v>
      </c>
      <c r="G6" s="16" t="s">
        <v>17</v>
      </c>
    </row>
    <row r="7" spans="1:7" x14ac:dyDescent="0.25">
      <c r="B7" s="6">
        <v>2020</v>
      </c>
      <c r="F7" s="16" t="s">
        <v>18</v>
      </c>
      <c r="G7" s="16" t="s">
        <v>19</v>
      </c>
    </row>
    <row r="8" spans="1:7" x14ac:dyDescent="0.25">
      <c r="B8" t="s">
        <v>20</v>
      </c>
      <c r="F8" s="16" t="s">
        <v>21</v>
      </c>
      <c r="G8" s="16" t="s">
        <v>22</v>
      </c>
    </row>
    <row r="9" spans="1:7" x14ac:dyDescent="0.25">
      <c r="B9" s="2" t="s">
        <v>23</v>
      </c>
      <c r="F9" s="16" t="s">
        <v>24</v>
      </c>
      <c r="G9" s="16" t="s">
        <v>25</v>
      </c>
    </row>
    <row r="10" spans="1:7" x14ac:dyDescent="0.25">
      <c r="B10" t="s">
        <v>26</v>
      </c>
      <c r="F10" s="16" t="s">
        <v>27</v>
      </c>
      <c r="G10" s="16" t="s">
        <v>28</v>
      </c>
    </row>
    <row r="11" spans="1:7" x14ac:dyDescent="0.25">
      <c r="F11" s="16" t="s">
        <v>29</v>
      </c>
      <c r="G11" s="16" t="s">
        <v>30</v>
      </c>
    </row>
    <row r="12" spans="1:7" x14ac:dyDescent="0.25">
      <c r="B12" s="1" t="s">
        <v>31</v>
      </c>
      <c r="F12" s="16" t="s">
        <v>32</v>
      </c>
      <c r="G12" s="16" t="s">
        <v>33</v>
      </c>
    </row>
    <row r="13" spans="1:7" x14ac:dyDescent="0.25">
      <c r="B13" t="s">
        <v>34</v>
      </c>
      <c r="F13" s="16" t="s">
        <v>35</v>
      </c>
      <c r="G13" s="16" t="s">
        <v>36</v>
      </c>
    </row>
    <row r="14" spans="1:7" x14ac:dyDescent="0.25">
      <c r="B14" s="6" t="s">
        <v>37</v>
      </c>
      <c r="F14" s="16" t="s">
        <v>38</v>
      </c>
      <c r="G14" s="16" t="s">
        <v>39</v>
      </c>
    </row>
    <row r="15" spans="1:7" x14ac:dyDescent="0.25">
      <c r="B15" s="6" t="s">
        <v>40</v>
      </c>
      <c r="F15" s="16" t="s">
        <v>41</v>
      </c>
      <c r="G15" s="16" t="s">
        <v>42</v>
      </c>
    </row>
    <row r="16" spans="1:7" x14ac:dyDescent="0.25">
      <c r="B16" s="2" t="s">
        <v>43</v>
      </c>
      <c r="F16" s="16" t="s">
        <v>44</v>
      </c>
      <c r="G16" s="16" t="s">
        <v>45</v>
      </c>
    </row>
    <row r="17" spans="1:7" x14ac:dyDescent="0.25">
      <c r="B17" t="s">
        <v>46</v>
      </c>
      <c r="F17" s="16" t="s">
        <v>47</v>
      </c>
      <c r="G17" s="16" t="s">
        <v>48</v>
      </c>
    </row>
    <row r="18" spans="1:7" x14ac:dyDescent="0.25">
      <c r="B18" s="6"/>
      <c r="F18" s="16" t="s">
        <v>49</v>
      </c>
      <c r="G18" s="16" t="s">
        <v>50</v>
      </c>
    </row>
    <row r="19" spans="1:7" x14ac:dyDescent="0.25">
      <c r="B19" s="1" t="s">
        <v>51</v>
      </c>
      <c r="F19" s="16" t="s">
        <v>52</v>
      </c>
      <c r="G19" s="16" t="s">
        <v>53</v>
      </c>
    </row>
    <row r="20" spans="1:7" x14ac:dyDescent="0.25">
      <c r="B20" t="s">
        <v>16</v>
      </c>
      <c r="F20" s="16" t="s">
        <v>54</v>
      </c>
      <c r="G20" s="16" t="s">
        <v>55</v>
      </c>
    </row>
    <row r="21" spans="1:7" x14ac:dyDescent="0.25">
      <c r="B21" s="6">
        <v>2018</v>
      </c>
      <c r="F21" s="16" t="s">
        <v>56</v>
      </c>
      <c r="G21" s="16" t="s">
        <v>57</v>
      </c>
    </row>
    <row r="22" spans="1:7" x14ac:dyDescent="0.25">
      <c r="B22" t="s">
        <v>58</v>
      </c>
      <c r="F22" s="16" t="s">
        <v>59</v>
      </c>
      <c r="G22" s="16" t="s">
        <v>60</v>
      </c>
    </row>
    <row r="23" spans="1:7" x14ac:dyDescent="0.25">
      <c r="B23" s="2" t="s">
        <v>23</v>
      </c>
      <c r="F23" s="16" t="s">
        <v>61</v>
      </c>
      <c r="G23" s="16" t="s">
        <v>62</v>
      </c>
    </row>
    <row r="24" spans="1:7" x14ac:dyDescent="0.25">
      <c r="B24" t="s">
        <v>26</v>
      </c>
      <c r="F24" s="16" t="s">
        <v>63</v>
      </c>
      <c r="G24" s="16" t="s">
        <v>64</v>
      </c>
    </row>
    <row r="25" spans="1:7" x14ac:dyDescent="0.25">
      <c r="B25" s="6"/>
      <c r="F25" s="16" t="s">
        <v>65</v>
      </c>
      <c r="G25" s="16" t="s">
        <v>66</v>
      </c>
    </row>
    <row r="26" spans="1:7" x14ac:dyDescent="0.25">
      <c r="A26" s="3" t="s">
        <v>67</v>
      </c>
      <c r="B26" s="6"/>
      <c r="F26" s="16" t="s">
        <v>68</v>
      </c>
      <c r="G26" s="16" t="s">
        <v>69</v>
      </c>
    </row>
    <row r="27" spans="1:7" x14ac:dyDescent="0.25">
      <c r="A27" t="s">
        <v>70</v>
      </c>
      <c r="F27" s="16" t="s">
        <v>71</v>
      </c>
      <c r="G27" s="16" t="s">
        <v>72</v>
      </c>
    </row>
    <row r="28" spans="1:7" x14ac:dyDescent="0.25">
      <c r="A28" t="s">
        <v>73</v>
      </c>
      <c r="F28" s="16" t="s">
        <v>74</v>
      </c>
      <c r="G28" s="16" t="s">
        <v>75</v>
      </c>
    </row>
    <row r="29" spans="1:7" x14ac:dyDescent="0.25">
      <c r="F29" s="16" t="s">
        <v>76</v>
      </c>
      <c r="G29" s="16" t="s">
        <v>77</v>
      </c>
    </row>
    <row r="30" spans="1:7" x14ac:dyDescent="0.25">
      <c r="A30" t="s">
        <v>78</v>
      </c>
      <c r="F30" s="16" t="s">
        <v>79</v>
      </c>
      <c r="G30" s="16" t="s">
        <v>80</v>
      </c>
    </row>
    <row r="31" spans="1:7" x14ac:dyDescent="0.25">
      <c r="A31" t="s">
        <v>81</v>
      </c>
      <c r="F31" s="16" t="s">
        <v>82</v>
      </c>
      <c r="G31" s="16" t="s">
        <v>83</v>
      </c>
    </row>
    <row r="32" spans="1:7" x14ac:dyDescent="0.25">
      <c r="F32" s="16" t="s">
        <v>84</v>
      </c>
      <c r="G32" s="16" t="s">
        <v>85</v>
      </c>
    </row>
    <row r="33" spans="1:7" x14ac:dyDescent="0.25">
      <c r="F33" s="16" t="s">
        <v>86</v>
      </c>
      <c r="G33" s="16" t="s">
        <v>87</v>
      </c>
    </row>
    <row r="34" spans="1:7" x14ac:dyDescent="0.25">
      <c r="A34" s="3"/>
      <c r="F34" s="16" t="s">
        <v>88</v>
      </c>
      <c r="G34" s="16" t="s">
        <v>89</v>
      </c>
    </row>
    <row r="35" spans="1:7" x14ac:dyDescent="0.25">
      <c r="A35" s="6"/>
      <c r="F35" s="16" t="s">
        <v>90</v>
      </c>
      <c r="G35" s="16" t="s">
        <v>91</v>
      </c>
    </row>
    <row r="36" spans="1:7" x14ac:dyDescent="0.25">
      <c r="F36" s="16" t="s">
        <v>92</v>
      </c>
      <c r="G36" s="16" t="s">
        <v>93</v>
      </c>
    </row>
    <row r="37" spans="1:7" x14ac:dyDescent="0.25">
      <c r="F37" s="16" t="s">
        <v>94</v>
      </c>
      <c r="G37" s="16" t="s">
        <v>95</v>
      </c>
    </row>
    <row r="38" spans="1:7" x14ac:dyDescent="0.25">
      <c r="F38" s="16" t="s">
        <v>96</v>
      </c>
      <c r="G38" s="16" t="s">
        <v>97</v>
      </c>
    </row>
    <row r="39" spans="1:7" x14ac:dyDescent="0.25">
      <c r="F39" s="16" t="s">
        <v>98</v>
      </c>
      <c r="G39" s="16" t="s">
        <v>99</v>
      </c>
    </row>
    <row r="40" spans="1:7" x14ac:dyDescent="0.25">
      <c r="F40" s="16" t="s">
        <v>100</v>
      </c>
      <c r="G40" s="16" t="s">
        <v>101</v>
      </c>
    </row>
    <row r="41" spans="1:7" x14ac:dyDescent="0.25">
      <c r="F41" s="16" t="s">
        <v>102</v>
      </c>
      <c r="G41" s="16" t="s">
        <v>103</v>
      </c>
    </row>
    <row r="42" spans="1:7" x14ac:dyDescent="0.25">
      <c r="F42" s="16" t="s">
        <v>104</v>
      </c>
      <c r="G42" s="16" t="s">
        <v>105</v>
      </c>
    </row>
    <row r="43" spans="1:7" x14ac:dyDescent="0.25">
      <c r="F43" s="16" t="s">
        <v>106</v>
      </c>
      <c r="G43" s="16" t="s">
        <v>107</v>
      </c>
    </row>
    <row r="44" spans="1:7" x14ac:dyDescent="0.25">
      <c r="F44" s="16" t="s">
        <v>108</v>
      </c>
      <c r="G44" s="16" t="s">
        <v>109</v>
      </c>
    </row>
    <row r="45" spans="1:7" x14ac:dyDescent="0.25">
      <c r="F45" s="16" t="s">
        <v>110</v>
      </c>
      <c r="G45" s="16" t="s">
        <v>111</v>
      </c>
    </row>
    <row r="46" spans="1:7" x14ac:dyDescent="0.25">
      <c r="F46" s="16" t="s">
        <v>112</v>
      </c>
      <c r="G46" s="16" t="s">
        <v>113</v>
      </c>
    </row>
    <row r="47" spans="1:7" x14ac:dyDescent="0.25">
      <c r="F47" s="16" t="s">
        <v>114</v>
      </c>
      <c r="G47" s="16" t="s">
        <v>115</v>
      </c>
    </row>
    <row r="48" spans="1:7" x14ac:dyDescent="0.25">
      <c r="F48" s="16" t="s">
        <v>116</v>
      </c>
      <c r="G48" s="16" t="s">
        <v>117</v>
      </c>
    </row>
    <row r="49" spans="6:7" x14ac:dyDescent="0.25">
      <c r="F49" s="16" t="s">
        <v>118</v>
      </c>
      <c r="G49" s="16" t="s">
        <v>119</v>
      </c>
    </row>
    <row r="50" spans="6:7" x14ac:dyDescent="0.25">
      <c r="F50" s="16" t="s">
        <v>120</v>
      </c>
      <c r="G50" s="16" t="s">
        <v>121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F26" sqref="F26"/>
    </sheetView>
  </sheetViews>
  <sheetFormatPr defaultColWidth="11.42578125" defaultRowHeight="15" x14ac:dyDescent="0.25"/>
  <sheetData>
    <row r="1" spans="1:6" ht="15.75" customHeight="1" x14ac:dyDescent="0.25">
      <c r="B1" s="8">
        <v>2019</v>
      </c>
      <c r="C1" s="9">
        <v>2035</v>
      </c>
      <c r="D1" s="9">
        <v>2050</v>
      </c>
      <c r="E1" s="7" t="s">
        <v>122</v>
      </c>
      <c r="F1" s="7" t="s">
        <v>123</v>
      </c>
    </row>
    <row r="2" spans="1:6" x14ac:dyDescent="0.25">
      <c r="A2" s="7" t="s">
        <v>124</v>
      </c>
      <c r="B2" s="7" t="s">
        <v>125</v>
      </c>
      <c r="C2" s="7" t="s">
        <v>125</v>
      </c>
      <c r="D2" s="7" t="s">
        <v>125</v>
      </c>
    </row>
    <row r="3" spans="1:6" x14ac:dyDescent="0.25">
      <c r="A3" s="7" t="s">
        <v>3</v>
      </c>
      <c r="B3" s="7">
        <v>1</v>
      </c>
      <c r="C3" s="7">
        <v>4191.3008906650002</v>
      </c>
      <c r="D3" s="7">
        <v>9203.6684837369994</v>
      </c>
      <c r="E3" s="10">
        <f>C3/C$51</f>
        <v>2.8397041537024457E-2</v>
      </c>
      <c r="F3" s="10">
        <f>D3/D$51</f>
        <v>2.6756725886505798E-2</v>
      </c>
    </row>
    <row r="4" spans="1:6" x14ac:dyDescent="0.25">
      <c r="A4" s="7" t="s">
        <v>11</v>
      </c>
      <c r="B4" s="7">
        <v>0</v>
      </c>
      <c r="C4" s="7">
        <v>1379.102465835</v>
      </c>
      <c r="D4" s="7">
        <v>3764.7381143699999</v>
      </c>
      <c r="E4" s="10">
        <f t="shared" ref="E4:E50" si="0">C4/$C$51</f>
        <v>9.3437410073214187E-3</v>
      </c>
      <c r="F4" s="10">
        <f t="shared" ref="F4:F50" si="1">D4/D$51</f>
        <v>1.0944773373647004E-2</v>
      </c>
    </row>
    <row r="5" spans="1:6" x14ac:dyDescent="0.25">
      <c r="A5" s="7" t="s">
        <v>9</v>
      </c>
      <c r="B5" s="7">
        <v>78.301225951000006</v>
      </c>
      <c r="C5" s="7">
        <v>4292.7729009180002</v>
      </c>
      <c r="D5" s="7">
        <v>7708.9502813700001</v>
      </c>
      <c r="E5" s="10">
        <f t="shared" si="0"/>
        <v>2.9084538084079237E-2</v>
      </c>
      <c r="F5" s="10">
        <f t="shared" si="1"/>
        <v>2.2411310220027372E-2</v>
      </c>
    </row>
    <row r="6" spans="1:6" x14ac:dyDescent="0.25">
      <c r="A6" s="7" t="s">
        <v>15</v>
      </c>
      <c r="B6" s="7">
        <v>444.98</v>
      </c>
      <c r="C6" s="7">
        <v>13496.128078713</v>
      </c>
      <c r="D6" s="7">
        <v>21861.061091347001</v>
      </c>
      <c r="E6" s="10">
        <f t="shared" si="0"/>
        <v>9.1439416934680606E-2</v>
      </c>
      <c r="F6" s="10">
        <f t="shared" si="1"/>
        <v>6.3554051326697447E-2</v>
      </c>
    </row>
    <row r="7" spans="1:6" x14ac:dyDescent="0.25">
      <c r="A7" s="7" t="s">
        <v>17</v>
      </c>
      <c r="B7" s="7">
        <v>1</v>
      </c>
      <c r="C7" s="7">
        <v>2907.4880079579998</v>
      </c>
      <c r="D7" s="7">
        <v>5465.1997496209997</v>
      </c>
      <c r="E7" s="10">
        <f t="shared" si="0"/>
        <v>1.9698909690371583E-2</v>
      </c>
      <c r="F7" s="10">
        <f t="shared" si="1"/>
        <v>1.5888322343856801E-2</v>
      </c>
    </row>
    <row r="8" spans="1:6" x14ac:dyDescent="0.25">
      <c r="A8" s="7" t="s">
        <v>19</v>
      </c>
      <c r="B8" s="7">
        <v>1.6</v>
      </c>
      <c r="C8" s="7">
        <v>18.641403977</v>
      </c>
      <c r="D8" s="7">
        <v>701.90923692299998</v>
      </c>
      <c r="E8" s="10">
        <f t="shared" si="0"/>
        <v>1.2629986174992377E-4</v>
      </c>
      <c r="F8" s="10">
        <f t="shared" si="1"/>
        <v>2.0405768724439683E-3</v>
      </c>
    </row>
    <row r="9" spans="1:6" x14ac:dyDescent="0.25">
      <c r="A9" s="7" t="s">
        <v>22</v>
      </c>
      <c r="B9" s="7">
        <v>0</v>
      </c>
      <c r="C9" s="7">
        <v>307.79480332999998</v>
      </c>
      <c r="D9" s="7">
        <v>1318.2366882209999</v>
      </c>
      <c r="E9" s="10">
        <f t="shared" si="0"/>
        <v>2.0853816137393808E-3</v>
      </c>
      <c r="F9" s="10">
        <f t="shared" si="1"/>
        <v>3.8323520433824884E-3</v>
      </c>
    </row>
    <row r="10" spans="1:6" x14ac:dyDescent="0.25">
      <c r="A10" s="7" t="s">
        <v>25</v>
      </c>
      <c r="B10" s="7">
        <v>14</v>
      </c>
      <c r="C10" s="7">
        <v>6634.4589765290002</v>
      </c>
      <c r="D10" s="7">
        <v>16108.682616767001</v>
      </c>
      <c r="E10" s="10">
        <f t="shared" si="0"/>
        <v>4.4950007657953428E-2</v>
      </c>
      <c r="F10" s="10">
        <f t="shared" si="1"/>
        <v>4.6830848582949905E-2</v>
      </c>
    </row>
    <row r="11" spans="1:6" x14ac:dyDescent="0.25">
      <c r="A11" s="7" t="s">
        <v>28</v>
      </c>
      <c r="B11" s="7">
        <v>1</v>
      </c>
      <c r="C11" s="7">
        <v>1840.525499907</v>
      </c>
      <c r="D11" s="7">
        <v>13217.018615075</v>
      </c>
      <c r="E11" s="10">
        <f t="shared" si="0"/>
        <v>1.2469989732118525E-2</v>
      </c>
      <c r="F11" s="10">
        <f t="shared" si="1"/>
        <v>3.8424259277189309E-2</v>
      </c>
    </row>
    <row r="12" spans="1:6" x14ac:dyDescent="0.25">
      <c r="A12" s="7" t="s">
        <v>42</v>
      </c>
      <c r="B12" s="7">
        <v>0</v>
      </c>
      <c r="C12" s="7">
        <v>4043.3463704350002</v>
      </c>
      <c r="D12" s="7">
        <v>10452.413944238</v>
      </c>
      <c r="E12" s="10">
        <f t="shared" si="0"/>
        <v>2.7394615138595393E-2</v>
      </c>
      <c r="F12" s="10">
        <f t="shared" si="1"/>
        <v>3.0387054385156501E-2</v>
      </c>
    </row>
    <row r="13" spans="1:6" x14ac:dyDescent="0.25">
      <c r="A13" s="7" t="s">
        <v>33</v>
      </c>
      <c r="B13" s="7">
        <v>3.090607484</v>
      </c>
      <c r="C13" s="7">
        <v>3292.5474433149998</v>
      </c>
      <c r="D13" s="7">
        <v>8588.1790860540004</v>
      </c>
      <c r="E13" s="10">
        <f t="shared" si="0"/>
        <v>2.2307777215108279E-2</v>
      </c>
      <c r="F13" s="10">
        <f t="shared" si="1"/>
        <v>2.4967387088725916E-2</v>
      </c>
    </row>
    <row r="14" spans="1:6" x14ac:dyDescent="0.25">
      <c r="A14" s="7" t="s">
        <v>36</v>
      </c>
      <c r="B14" s="7">
        <v>112.4</v>
      </c>
      <c r="C14" s="7">
        <v>5782.3560435359996</v>
      </c>
      <c r="D14" s="7">
        <v>11905.713153897999</v>
      </c>
      <c r="E14" s="10">
        <f t="shared" si="0"/>
        <v>3.917681145628836E-2</v>
      </c>
      <c r="F14" s="10">
        <f t="shared" si="1"/>
        <v>3.4612057562167856E-2</v>
      </c>
    </row>
    <row r="15" spans="1:6" x14ac:dyDescent="0.25">
      <c r="A15" s="7" t="s">
        <v>39</v>
      </c>
      <c r="B15" s="7">
        <v>23</v>
      </c>
      <c r="C15" s="7">
        <v>4755.249369225</v>
      </c>
      <c r="D15" s="7">
        <v>14321.589911745999</v>
      </c>
      <c r="E15" s="10">
        <f t="shared" si="0"/>
        <v>3.2217924071627969E-2</v>
      </c>
      <c r="F15" s="10">
        <f t="shared" si="1"/>
        <v>4.1635447452790346E-2</v>
      </c>
    </row>
    <row r="16" spans="1:6" x14ac:dyDescent="0.25">
      <c r="A16" s="7" t="s">
        <v>45</v>
      </c>
      <c r="B16" s="7">
        <v>0</v>
      </c>
      <c r="C16" s="7">
        <v>3439.6907645870001</v>
      </c>
      <c r="D16" s="7">
        <v>1648.040011523</v>
      </c>
      <c r="E16" s="10">
        <f t="shared" si="0"/>
        <v>2.3304707551310835E-2</v>
      </c>
      <c r="F16" s="10">
        <f t="shared" si="1"/>
        <v>4.7911498459807886E-3</v>
      </c>
    </row>
    <row r="17" spans="1:6" x14ac:dyDescent="0.25">
      <c r="A17" s="7" t="s">
        <v>48</v>
      </c>
      <c r="B17" s="7">
        <v>0</v>
      </c>
      <c r="C17" s="7">
        <v>4108.4553061839997</v>
      </c>
      <c r="D17" s="7">
        <v>11301.080228199</v>
      </c>
      <c r="E17" s="10">
        <f t="shared" si="0"/>
        <v>2.783574337088569E-2</v>
      </c>
      <c r="F17" s="10">
        <f t="shared" si="1"/>
        <v>3.285428048844221E-2</v>
      </c>
    </row>
    <row r="18" spans="1:6" x14ac:dyDescent="0.25">
      <c r="A18" s="7" t="s">
        <v>50</v>
      </c>
      <c r="B18" s="7">
        <v>0.5</v>
      </c>
      <c r="C18" s="7">
        <v>2830.9170737869999</v>
      </c>
      <c r="D18" s="7">
        <v>8099.078065011</v>
      </c>
      <c r="E18" s="10">
        <f t="shared" si="0"/>
        <v>1.918012374421689E-2</v>
      </c>
      <c r="F18" s="10">
        <f t="shared" si="1"/>
        <v>2.3545482119638632E-2</v>
      </c>
    </row>
    <row r="19" spans="1:6" x14ac:dyDescent="0.25">
      <c r="A19" s="7" t="s">
        <v>57</v>
      </c>
      <c r="B19" s="7">
        <v>29.5</v>
      </c>
      <c r="C19" s="7">
        <v>50</v>
      </c>
      <c r="D19" s="7">
        <v>3361.3766189789999</v>
      </c>
      <c r="E19" s="10">
        <f t="shared" si="0"/>
        <v>3.3876166705510525E-4</v>
      </c>
      <c r="F19" s="10">
        <f t="shared" si="1"/>
        <v>9.7721286848015954E-3</v>
      </c>
    </row>
    <row r="20" spans="1:6" x14ac:dyDescent="0.25">
      <c r="A20" s="7" t="s">
        <v>55</v>
      </c>
      <c r="B20" s="7">
        <v>13</v>
      </c>
      <c r="C20" s="7">
        <v>1387.2392184830001</v>
      </c>
      <c r="D20" s="7">
        <v>8943.7276795229991</v>
      </c>
      <c r="E20" s="10">
        <f t="shared" si="0"/>
        <v>9.3988694051504486E-3</v>
      </c>
      <c r="F20" s="10">
        <f t="shared" si="1"/>
        <v>2.6001031039677953E-2</v>
      </c>
    </row>
    <row r="21" spans="1:6" x14ac:dyDescent="0.25">
      <c r="A21" s="7" t="s">
        <v>53</v>
      </c>
      <c r="B21" s="7">
        <v>16.2</v>
      </c>
      <c r="C21" s="7">
        <v>51.830478356</v>
      </c>
      <c r="D21" s="7">
        <v>164.90325891099999</v>
      </c>
      <c r="E21" s="10">
        <f t="shared" si="0"/>
        <v>3.5116358504284223E-4</v>
      </c>
      <c r="F21" s="10">
        <f t="shared" si="1"/>
        <v>4.7940354482233486E-4</v>
      </c>
    </row>
    <row r="22" spans="1:6" x14ac:dyDescent="0.25">
      <c r="A22" s="7" t="s">
        <v>60</v>
      </c>
      <c r="B22" s="7">
        <v>1</v>
      </c>
      <c r="C22" s="7">
        <v>4630.261240754</v>
      </c>
      <c r="D22" s="7">
        <v>11031.483067769999</v>
      </c>
      <c r="E22" s="10">
        <f t="shared" si="0"/>
        <v>3.1371100336369299E-2</v>
      </c>
      <c r="F22" s="10">
        <f t="shared" si="1"/>
        <v>3.2070512870766121E-2</v>
      </c>
    </row>
    <row r="23" spans="1:6" x14ac:dyDescent="0.25">
      <c r="A23" s="7" t="s">
        <v>62</v>
      </c>
      <c r="B23" s="7">
        <v>1</v>
      </c>
      <c r="C23" s="7">
        <v>1044.3894318099999</v>
      </c>
      <c r="D23" s="7">
        <v>3874.3181162430001</v>
      </c>
      <c r="E23" s="10">
        <f t="shared" si="0"/>
        <v>7.075982099493794E-3</v>
      </c>
      <c r="F23" s="10">
        <f t="shared" si="1"/>
        <v>1.1263342222355487E-2</v>
      </c>
    </row>
    <row r="24" spans="1:6" x14ac:dyDescent="0.25">
      <c r="A24" s="7" t="s">
        <v>66</v>
      </c>
      <c r="B24" s="7">
        <v>2.2000000000000002</v>
      </c>
      <c r="C24" s="7">
        <v>2109.9074876519999</v>
      </c>
      <c r="D24" s="7">
        <v>8556.8961626460004</v>
      </c>
      <c r="E24" s="10">
        <f t="shared" si="0"/>
        <v>1.4295115556980808E-2</v>
      </c>
      <c r="F24" s="10">
        <f t="shared" si="1"/>
        <v>2.4876441982648326E-2</v>
      </c>
    </row>
    <row r="25" spans="1:6" x14ac:dyDescent="0.25">
      <c r="A25" s="7" t="s">
        <v>64</v>
      </c>
      <c r="B25" s="7">
        <v>0</v>
      </c>
      <c r="C25" s="7">
        <v>1321.125902582</v>
      </c>
      <c r="D25" s="7">
        <v>4790.0051287730003</v>
      </c>
      <c r="E25" s="10">
        <f t="shared" si="0"/>
        <v>8.9509362629671772E-3</v>
      </c>
      <c r="F25" s="10">
        <f t="shared" si="1"/>
        <v>1.3925409683324102E-2</v>
      </c>
    </row>
    <row r="26" spans="1:6" x14ac:dyDescent="0.25">
      <c r="A26" s="7" t="s">
        <v>69</v>
      </c>
      <c r="B26" s="7">
        <v>0</v>
      </c>
      <c r="C26" s="7">
        <v>1029.8705014919999</v>
      </c>
      <c r="D26" s="7">
        <v>2836.690723278</v>
      </c>
      <c r="E26" s="10">
        <f t="shared" si="0"/>
        <v>6.977612958726143E-3</v>
      </c>
      <c r="F26" s="10">
        <f t="shared" si="1"/>
        <v>8.2467720606908615E-3</v>
      </c>
    </row>
    <row r="27" spans="1:6" x14ac:dyDescent="0.25">
      <c r="A27" s="7" t="s">
        <v>87</v>
      </c>
      <c r="B27" s="7">
        <v>1</v>
      </c>
      <c r="C27" s="7">
        <v>5956.9820277979998</v>
      </c>
      <c r="D27" s="7">
        <v>17741.490234403998</v>
      </c>
      <c r="E27" s="10">
        <f t="shared" si="0"/>
        <v>4.035994324708303E-2</v>
      </c>
      <c r="F27" s="10">
        <f t="shared" si="1"/>
        <v>5.1577715109890766E-2</v>
      </c>
    </row>
    <row r="28" spans="1:6" x14ac:dyDescent="0.25">
      <c r="A28" s="7" t="s">
        <v>89</v>
      </c>
      <c r="B28" s="7">
        <v>0</v>
      </c>
      <c r="C28" s="7">
        <v>956.60528948000001</v>
      </c>
      <c r="D28" s="7">
        <v>670.84350910700005</v>
      </c>
      <c r="E28" s="10">
        <f t="shared" si="0"/>
        <v>6.4812240515595265E-3</v>
      </c>
      <c r="F28" s="10">
        <f t="shared" si="1"/>
        <v>1.9502631931642026E-3</v>
      </c>
    </row>
    <row r="29" spans="1:6" x14ac:dyDescent="0.25">
      <c r="A29" s="7" t="s">
        <v>72</v>
      </c>
      <c r="B29" s="7">
        <v>0</v>
      </c>
      <c r="C29" s="7">
        <v>1334.833530953</v>
      </c>
      <c r="D29" s="7">
        <v>1205.537881186</v>
      </c>
      <c r="E29" s="10">
        <f t="shared" si="0"/>
        <v>9.0438086437338149E-3</v>
      </c>
      <c r="F29" s="10">
        <f t="shared" si="1"/>
        <v>3.5047162650078062E-3</v>
      </c>
    </row>
    <row r="30" spans="1:6" x14ac:dyDescent="0.25">
      <c r="A30" s="7" t="s">
        <v>77</v>
      </c>
      <c r="B30" s="7">
        <v>0</v>
      </c>
      <c r="C30" s="7">
        <v>77.076554481000002</v>
      </c>
      <c r="D30" s="7">
        <v>652.162611481</v>
      </c>
      <c r="E30" s="10">
        <f t="shared" si="0"/>
        <v>5.2221164173694404E-4</v>
      </c>
      <c r="F30" s="10">
        <f t="shared" si="1"/>
        <v>1.8959544511689881E-3</v>
      </c>
    </row>
    <row r="31" spans="1:6" x14ac:dyDescent="0.25">
      <c r="A31" s="7" t="s">
        <v>80</v>
      </c>
      <c r="B31" s="7">
        <v>320.8</v>
      </c>
      <c r="C31" s="7">
        <v>2000</v>
      </c>
      <c r="D31" s="7">
        <v>2000</v>
      </c>
      <c r="E31" s="10">
        <f t="shared" si="0"/>
        <v>1.3550466682204209E-2</v>
      </c>
      <c r="F31" s="10">
        <f t="shared" si="1"/>
        <v>5.8143610743444912E-3</v>
      </c>
    </row>
    <row r="32" spans="1:6" x14ac:dyDescent="0.25">
      <c r="A32" s="7" t="s">
        <v>83</v>
      </c>
      <c r="B32" s="7">
        <v>3.6</v>
      </c>
      <c r="C32" s="7">
        <v>3606.8894232070002</v>
      </c>
      <c r="D32" s="7">
        <v>3835.8916611250002</v>
      </c>
      <c r="E32" s="10">
        <f t="shared" si="0"/>
        <v>2.4437517477780606E-2</v>
      </c>
      <c r="F32" s="10">
        <f t="shared" si="1"/>
        <v>1.1151629579923916E-2</v>
      </c>
    </row>
    <row r="33" spans="1:6" x14ac:dyDescent="0.25">
      <c r="A33" s="7" t="s">
        <v>75</v>
      </c>
      <c r="B33" s="7">
        <v>10</v>
      </c>
      <c r="C33" s="7">
        <v>1972.6482485649999</v>
      </c>
      <c r="D33" s="7">
        <v>3229.4136016379998</v>
      </c>
      <c r="E33" s="10">
        <f t="shared" si="0"/>
        <v>1.3365152183944259E-2</v>
      </c>
      <c r="F33" s="10">
        <f t="shared" si="1"/>
        <v>9.3884883691613165E-3</v>
      </c>
    </row>
    <row r="34" spans="1:6" x14ac:dyDescent="0.25">
      <c r="A34" s="7" t="s">
        <v>85</v>
      </c>
      <c r="B34" s="7">
        <v>254</v>
      </c>
      <c r="C34" s="7">
        <v>3000</v>
      </c>
      <c r="D34" s="7">
        <v>5515.5398926870002</v>
      </c>
      <c r="E34" s="10">
        <f t="shared" si="0"/>
        <v>2.0325700023306314E-2</v>
      </c>
      <c r="F34" s="10">
        <f t="shared" si="1"/>
        <v>1.6034670228016742E-2</v>
      </c>
    </row>
    <row r="35" spans="1:6" x14ac:dyDescent="0.25">
      <c r="A35" s="7" t="s">
        <v>91</v>
      </c>
      <c r="B35" s="7">
        <v>53</v>
      </c>
      <c r="C35" s="7">
        <v>12854.389578185999</v>
      </c>
      <c r="D35" s="7">
        <v>17308.154714854001</v>
      </c>
      <c r="E35" s="10">
        <f t="shared" si="0"/>
        <v>8.7091488849641199E-2</v>
      </c>
      <c r="F35" s="10">
        <f t="shared" si="1"/>
        <v>5.0317930521389588E-2</v>
      </c>
    </row>
    <row r="36" spans="1:6" x14ac:dyDescent="0.25">
      <c r="A36" s="7" t="s">
        <v>93</v>
      </c>
      <c r="B36" s="7">
        <v>0</v>
      </c>
      <c r="C36" s="7">
        <v>3538.8416595570002</v>
      </c>
      <c r="D36" s="7">
        <v>5278.7681304799999</v>
      </c>
      <c r="E36" s="10">
        <f t="shared" si="0"/>
        <v>2.397647800071169E-2</v>
      </c>
      <c r="F36" s="10">
        <f t="shared" si="1"/>
        <v>1.5346331969176577E-2</v>
      </c>
    </row>
    <row r="37" spans="1:6" x14ac:dyDescent="0.25">
      <c r="A37" s="7" t="s">
        <v>95</v>
      </c>
      <c r="B37" s="7">
        <v>30.135111714000001</v>
      </c>
      <c r="C37" s="7">
        <v>2195.1191461859999</v>
      </c>
      <c r="D37" s="7">
        <v>4961.7464102920003</v>
      </c>
      <c r="E37" s="10">
        <f t="shared" si="0"/>
        <v>1.4872444426930972E-2</v>
      </c>
      <c r="F37" s="10">
        <f t="shared" si="1"/>
        <v>1.4424692594385159E-2</v>
      </c>
    </row>
    <row r="38" spans="1:6" x14ac:dyDescent="0.25">
      <c r="A38" s="7" t="s">
        <v>97</v>
      </c>
      <c r="B38" s="7">
        <v>30.4</v>
      </c>
      <c r="C38" s="7">
        <v>1529.7567533890001</v>
      </c>
      <c r="D38" s="7">
        <v>6240.8166906160004</v>
      </c>
      <c r="E38" s="10">
        <f t="shared" si="0"/>
        <v>1.0364458959337264E-2</v>
      </c>
      <c r="F38" s="10">
        <f t="shared" si="1"/>
        <v>1.8143180819018539E-2</v>
      </c>
    </row>
    <row r="39" spans="1:6" x14ac:dyDescent="0.25">
      <c r="A39" s="7" t="s">
        <v>99</v>
      </c>
      <c r="B39" s="7">
        <v>0</v>
      </c>
      <c r="C39" s="7">
        <v>18.131715634999999</v>
      </c>
      <c r="D39" s="7">
        <v>797.33633961099997</v>
      </c>
      <c r="E39" s="10">
        <f t="shared" si="0"/>
        <v>1.2284660430163431E-4</v>
      </c>
      <c r="F39" s="10">
        <f t="shared" si="1"/>
        <v>2.318000688097259E-3</v>
      </c>
    </row>
    <row r="40" spans="1:6" x14ac:dyDescent="0.25">
      <c r="A40" s="7" t="s">
        <v>101</v>
      </c>
      <c r="B40" s="7">
        <v>4</v>
      </c>
      <c r="C40" s="7">
        <v>2829.2267153779999</v>
      </c>
      <c r="D40" s="7">
        <v>11525.565173270999</v>
      </c>
      <c r="E40" s="10">
        <f t="shared" si="0"/>
        <v>1.9168671171565819E-2</v>
      </c>
      <c r="F40" s="10">
        <f t="shared" si="1"/>
        <v>3.3506898751643713E-2</v>
      </c>
    </row>
    <row r="41" spans="1:6" x14ac:dyDescent="0.25">
      <c r="A41" s="7" t="s">
        <v>103</v>
      </c>
      <c r="B41" s="7">
        <v>0</v>
      </c>
      <c r="C41" s="7">
        <v>885.93782039300004</v>
      </c>
      <c r="D41" s="7">
        <v>1370.182233798</v>
      </c>
      <c r="E41" s="10">
        <f t="shared" si="0"/>
        <v>6.0024354588699824E-3</v>
      </c>
      <c r="F41" s="10">
        <f t="shared" si="1"/>
        <v>3.9833671224767369E-3</v>
      </c>
    </row>
    <row r="42" spans="1:6" x14ac:dyDescent="0.25">
      <c r="A42" s="7" t="s">
        <v>105</v>
      </c>
      <c r="B42" s="7">
        <v>0</v>
      </c>
      <c r="C42" s="7">
        <v>680.13968375299999</v>
      </c>
      <c r="D42" s="7">
        <v>4281.9844957329997</v>
      </c>
      <c r="E42" s="10">
        <f t="shared" si="0"/>
        <v>4.6081050619699668E-3</v>
      </c>
      <c r="F42" s="10">
        <f t="shared" si="1"/>
        <v>1.244850198646829E-2</v>
      </c>
    </row>
    <row r="43" spans="1:6" x14ac:dyDescent="0.25">
      <c r="A43" s="7" t="s">
        <v>107</v>
      </c>
      <c r="B43" s="7">
        <v>105.2</v>
      </c>
      <c r="C43" s="7">
        <v>20906.218037183</v>
      </c>
      <c r="D43" s="7">
        <v>37489.831749279998</v>
      </c>
      <c r="E43" s="10">
        <f t="shared" si="0"/>
        <v>0.14164450548187246</v>
      </c>
      <c r="F43" s="10">
        <f t="shared" si="1"/>
        <v>0.10898970920336894</v>
      </c>
    </row>
    <row r="44" spans="1:6" x14ac:dyDescent="0.25">
      <c r="A44" s="7" t="s">
        <v>109</v>
      </c>
      <c r="B44" s="7">
        <v>0</v>
      </c>
      <c r="C44" s="7">
        <v>516.27327122400004</v>
      </c>
      <c r="D44" s="7">
        <v>1050.0330405249999</v>
      </c>
      <c r="E44" s="10">
        <f t="shared" si="0"/>
        <v>3.497871880316695E-3</v>
      </c>
      <c r="F44" s="10">
        <f t="shared" si="1"/>
        <v>3.0526356188020757E-3</v>
      </c>
    </row>
    <row r="45" spans="1:6" x14ac:dyDescent="0.25">
      <c r="A45" s="7" t="s">
        <v>113</v>
      </c>
      <c r="B45" s="7">
        <v>0</v>
      </c>
      <c r="C45" s="7">
        <v>553.27178359000004</v>
      </c>
      <c r="D45" s="7">
        <v>5983.4257381739999</v>
      </c>
      <c r="E45" s="10">
        <f t="shared" si="0"/>
        <v>3.7485454348699966E-3</v>
      </c>
      <c r="F45" s="10">
        <f t="shared" si="1"/>
        <v>1.7394898851634928E-2</v>
      </c>
    </row>
    <row r="46" spans="1:6" x14ac:dyDescent="0.25">
      <c r="A46" s="7" t="s">
        <v>111</v>
      </c>
      <c r="B46" s="7">
        <v>2</v>
      </c>
      <c r="C46" s="7">
        <v>0</v>
      </c>
      <c r="D46" s="7">
        <v>46.358535944000003</v>
      </c>
      <c r="E46" s="10">
        <f t="shared" si="0"/>
        <v>0</v>
      </c>
      <c r="F46" s="10">
        <f t="shared" si="1"/>
        <v>1.3477263342819679E-4</v>
      </c>
    </row>
    <row r="47" spans="1:6" x14ac:dyDescent="0.25">
      <c r="A47" s="7" t="s">
        <v>115</v>
      </c>
      <c r="B47" s="7">
        <v>89.775249121000002</v>
      </c>
      <c r="C47" s="7">
        <v>1670.7743951729999</v>
      </c>
      <c r="D47" s="7">
        <v>6862.3696171660004</v>
      </c>
      <c r="E47" s="10">
        <f t="shared" si="0"/>
        <v>1.1319886387635812E-2</v>
      </c>
      <c r="F47" s="10">
        <f t="shared" si="1"/>
        <v>1.995014738990715E-2</v>
      </c>
    </row>
    <row r="48" spans="1:6" x14ac:dyDescent="0.25">
      <c r="A48" s="7" t="s">
        <v>119</v>
      </c>
      <c r="B48" s="7">
        <v>0</v>
      </c>
      <c r="C48" s="7">
        <v>2122.2444002960001</v>
      </c>
      <c r="D48" s="7">
        <v>7003.3199271439998</v>
      </c>
      <c r="E48" s="10">
        <f t="shared" si="0"/>
        <v>1.4378701018852701E-2</v>
      </c>
      <c r="F48" s="10">
        <f t="shared" si="1"/>
        <v>2.0359915387783586E-2</v>
      </c>
    </row>
    <row r="49" spans="1:6" x14ac:dyDescent="0.25">
      <c r="A49" s="7" t="s">
        <v>117</v>
      </c>
      <c r="B49" s="7">
        <v>65.5</v>
      </c>
      <c r="C49" s="7">
        <v>813.80705172900002</v>
      </c>
      <c r="D49" s="7">
        <v>1219.7231419239999</v>
      </c>
      <c r="E49" s="10">
        <f t="shared" si="0"/>
        <v>5.5137326700983261E-3</v>
      </c>
      <c r="F49" s="10">
        <f t="shared" si="1"/>
        <v>3.5459553789400334E-3</v>
      </c>
    </row>
    <row r="50" spans="1:6" x14ac:dyDescent="0.25">
      <c r="A50" s="7" t="s">
        <v>121</v>
      </c>
      <c r="B50" s="7">
        <v>0</v>
      </c>
      <c r="C50" s="7">
        <v>2631.825828735</v>
      </c>
      <c r="D50" s="7">
        <v>8480.4302790540005</v>
      </c>
      <c r="E50" s="10">
        <f t="shared" si="0"/>
        <v>1.783123410281905E-2</v>
      </c>
      <c r="F50" s="10">
        <f t="shared" si="1"/>
        <v>2.4654141854111987E-2</v>
      </c>
    </row>
    <row r="51" spans="1:6" x14ac:dyDescent="0.25">
      <c r="A51" s="7" t="s">
        <v>126</v>
      </c>
      <c r="B51" s="7">
        <f>SUM(B3:B50)</f>
        <v>1713.1821942700003</v>
      </c>
      <c r="C51" s="7">
        <f>SUM(C3:C50)</f>
        <v>147596.39257492102</v>
      </c>
      <c r="D51" s="7">
        <f>SUM(D3:D50)</f>
        <v>343975.88564371696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G56" sqref="G56"/>
    </sheetView>
  </sheetViews>
  <sheetFormatPr defaultColWidth="11.42578125" defaultRowHeight="15" x14ac:dyDescent="0.25"/>
  <cols>
    <col min="1" max="2" width="10.85546875" customWidth="1"/>
  </cols>
  <sheetData>
    <row r="1" spans="1:3" x14ac:dyDescent="0.25">
      <c r="A1" t="s">
        <v>127</v>
      </c>
      <c r="B1" t="s">
        <v>126</v>
      </c>
      <c r="C1" t="s">
        <v>128</v>
      </c>
    </row>
    <row r="2" spans="1:3" x14ac:dyDescent="0.25">
      <c r="A2" t="s">
        <v>6</v>
      </c>
      <c r="B2">
        <v>2713.1999999999971</v>
      </c>
      <c r="C2" s="10">
        <f t="shared" ref="C2:C33" si="0">B2/$B$52</f>
        <v>2.5299966197708432E-3</v>
      </c>
    </row>
    <row r="3" spans="1:3" x14ac:dyDescent="0.25">
      <c r="A3" t="s">
        <v>3</v>
      </c>
      <c r="B3">
        <v>29144.499999999989</v>
      </c>
      <c r="C3" s="10">
        <f t="shared" si="0"/>
        <v>2.7176576177543637E-2</v>
      </c>
    </row>
    <row r="4" spans="1:3" x14ac:dyDescent="0.25">
      <c r="A4" t="s">
        <v>11</v>
      </c>
      <c r="B4">
        <v>14753.5</v>
      </c>
      <c r="C4" s="10">
        <f t="shared" si="0"/>
        <v>1.3757299546583066E-2</v>
      </c>
    </row>
    <row r="5" spans="1:3" x14ac:dyDescent="0.25">
      <c r="A5" t="s">
        <v>9</v>
      </c>
      <c r="B5">
        <v>26533.999999999989</v>
      </c>
      <c r="C5" s="10">
        <f t="shared" si="0"/>
        <v>2.4742344946557422E-2</v>
      </c>
    </row>
    <row r="6" spans="1:3" x14ac:dyDescent="0.25">
      <c r="A6" t="s">
        <v>15</v>
      </c>
      <c r="B6">
        <v>71322.899999999892</v>
      </c>
      <c r="C6" s="10">
        <f t="shared" si="0"/>
        <v>6.6506964437658037E-2</v>
      </c>
    </row>
    <row r="7" spans="1:3" x14ac:dyDescent="0.25">
      <c r="A7" t="s">
        <v>17</v>
      </c>
      <c r="B7">
        <v>16021.79999999999</v>
      </c>
      <c r="C7" s="10">
        <f t="shared" si="0"/>
        <v>1.4939960136607885E-2</v>
      </c>
    </row>
    <row r="8" spans="1:3" x14ac:dyDescent="0.25">
      <c r="A8" t="s">
        <v>19</v>
      </c>
      <c r="B8">
        <v>9378.1999999999953</v>
      </c>
      <c r="C8" s="10">
        <f t="shared" si="0"/>
        <v>8.7449558821815331E-3</v>
      </c>
    </row>
    <row r="9" spans="1:3" x14ac:dyDescent="0.25">
      <c r="A9" t="s">
        <v>22</v>
      </c>
      <c r="B9">
        <v>3343.5</v>
      </c>
      <c r="C9" s="10">
        <f t="shared" si="0"/>
        <v>3.117736878300097E-3</v>
      </c>
    </row>
    <row r="10" spans="1:3" x14ac:dyDescent="0.25">
      <c r="A10" t="s">
        <v>25</v>
      </c>
      <c r="B10">
        <v>60433.999999999898</v>
      </c>
      <c r="C10" s="10">
        <f t="shared" si="0"/>
        <v>5.6353315538563709E-2</v>
      </c>
    </row>
    <row r="11" spans="1:3" x14ac:dyDescent="0.25">
      <c r="A11" t="s">
        <v>28</v>
      </c>
      <c r="B11">
        <v>34765</v>
      </c>
      <c r="C11" s="10">
        <f t="shared" si="0"/>
        <v>3.2417563204457267E-2</v>
      </c>
    </row>
    <row r="12" spans="1:3" x14ac:dyDescent="0.25">
      <c r="A12" t="s">
        <v>30</v>
      </c>
      <c r="B12">
        <v>2873.8999999999901</v>
      </c>
      <c r="C12" s="10">
        <f t="shared" si="0"/>
        <v>2.6798456750550675E-3</v>
      </c>
    </row>
    <row r="13" spans="1:3" x14ac:dyDescent="0.25">
      <c r="A13" t="s">
        <v>42</v>
      </c>
      <c r="B13">
        <v>20391.400000000001</v>
      </c>
      <c r="C13" s="10">
        <f t="shared" si="0"/>
        <v>1.9014511673446571E-2</v>
      </c>
    </row>
    <row r="14" spans="1:3" x14ac:dyDescent="0.25">
      <c r="A14" t="s">
        <v>33</v>
      </c>
      <c r="B14">
        <v>5211.8999999999969</v>
      </c>
      <c r="C14" s="10">
        <f t="shared" si="0"/>
        <v>4.8599769211940379E-3</v>
      </c>
    </row>
    <row r="15" spans="1:3" x14ac:dyDescent="0.25">
      <c r="A15" t="s">
        <v>36</v>
      </c>
      <c r="B15">
        <v>44117.199999999903</v>
      </c>
      <c r="C15" s="10">
        <f t="shared" si="0"/>
        <v>4.1138274684414756E-2</v>
      </c>
    </row>
    <row r="16" spans="1:3" x14ac:dyDescent="0.25">
      <c r="A16" t="s">
        <v>39</v>
      </c>
      <c r="B16">
        <v>26624.69999999999</v>
      </c>
      <c r="C16" s="10">
        <f t="shared" si="0"/>
        <v>2.482692061123869E-2</v>
      </c>
    </row>
    <row r="17" spans="1:3" x14ac:dyDescent="0.25">
      <c r="A17" t="s">
        <v>45</v>
      </c>
      <c r="B17">
        <v>16231.499999999991</v>
      </c>
      <c r="C17" s="10">
        <f t="shared" si="0"/>
        <v>1.5135500565314191E-2</v>
      </c>
    </row>
    <row r="18" spans="1:3" x14ac:dyDescent="0.25">
      <c r="A18" t="s">
        <v>48</v>
      </c>
      <c r="B18">
        <v>19495.499999999989</v>
      </c>
      <c r="C18" s="10">
        <f t="shared" si="0"/>
        <v>1.8179105521429494E-2</v>
      </c>
    </row>
    <row r="19" spans="1:3" x14ac:dyDescent="0.25">
      <c r="A19" t="s">
        <v>50</v>
      </c>
      <c r="B19">
        <v>24298.6</v>
      </c>
      <c r="C19" s="10">
        <f t="shared" si="0"/>
        <v>2.2657885841502239E-2</v>
      </c>
    </row>
    <row r="20" spans="1:3" x14ac:dyDescent="0.25">
      <c r="A20" t="s">
        <v>57</v>
      </c>
      <c r="B20">
        <v>11013.2</v>
      </c>
      <c r="C20" s="10">
        <f t="shared" si="0"/>
        <v>1.0269555791265031E-2</v>
      </c>
    </row>
    <row r="21" spans="1:3" x14ac:dyDescent="0.25">
      <c r="A21" t="s">
        <v>55</v>
      </c>
      <c r="B21">
        <v>14601.899999999991</v>
      </c>
      <c r="C21" s="10">
        <f t="shared" si="0"/>
        <v>1.3615936032077213E-2</v>
      </c>
    </row>
    <row r="22" spans="1:3" x14ac:dyDescent="0.25">
      <c r="A22" t="s">
        <v>53</v>
      </c>
      <c r="B22">
        <v>4739.2999999999956</v>
      </c>
      <c r="C22" s="10">
        <f t="shared" si="0"/>
        <v>4.4192882869231757E-3</v>
      </c>
    </row>
    <row r="23" spans="1:3" x14ac:dyDescent="0.25">
      <c r="A23" t="s">
        <v>60</v>
      </c>
      <c r="B23">
        <v>26973.89999999998</v>
      </c>
      <c r="C23" s="10">
        <f t="shared" si="0"/>
        <v>2.5152541582646605E-2</v>
      </c>
    </row>
    <row r="24" spans="1:3" x14ac:dyDescent="0.25">
      <c r="A24" t="s">
        <v>62</v>
      </c>
      <c r="B24">
        <v>17354.099999999991</v>
      </c>
      <c r="C24" s="10">
        <f t="shared" si="0"/>
        <v>1.6182299255183996E-2</v>
      </c>
    </row>
    <row r="25" spans="1:3" x14ac:dyDescent="0.25">
      <c r="A25" t="s">
        <v>66</v>
      </c>
      <c r="B25">
        <v>20394.099999999991</v>
      </c>
      <c r="C25" s="10">
        <f t="shared" si="0"/>
        <v>1.9017029361369817E-2</v>
      </c>
    </row>
    <row r="26" spans="1:3" x14ac:dyDescent="0.25">
      <c r="A26" t="s">
        <v>64</v>
      </c>
      <c r="B26">
        <v>14540.79999999999</v>
      </c>
      <c r="C26" s="10">
        <f t="shared" si="0"/>
        <v>1.3558961686850911E-2</v>
      </c>
    </row>
    <row r="27" spans="1:3" x14ac:dyDescent="0.25">
      <c r="A27" t="s">
        <v>69</v>
      </c>
      <c r="B27">
        <v>6333.1</v>
      </c>
      <c r="C27" s="10">
        <f t="shared" si="0"/>
        <v>5.9054701432517858E-3</v>
      </c>
    </row>
    <row r="28" spans="1:3" x14ac:dyDescent="0.25">
      <c r="A28" t="s">
        <v>87</v>
      </c>
      <c r="B28">
        <v>34773.199999999997</v>
      </c>
      <c r="C28" s="10">
        <f t="shared" si="0"/>
        <v>3.2425209515927901E-2</v>
      </c>
    </row>
    <row r="29" spans="1:3" x14ac:dyDescent="0.25">
      <c r="A29" t="s">
        <v>89</v>
      </c>
      <c r="B29">
        <v>8649.6999999999971</v>
      </c>
      <c r="C29" s="10">
        <f t="shared" si="0"/>
        <v>8.0656463814064126E-3</v>
      </c>
    </row>
    <row r="30" spans="1:3" x14ac:dyDescent="0.25">
      <c r="A30" t="s">
        <v>72</v>
      </c>
      <c r="B30">
        <v>9465.7999999999884</v>
      </c>
      <c r="C30" s="10">
        <f t="shared" si="0"/>
        <v>8.826640868136091E-3</v>
      </c>
    </row>
    <row r="31" spans="1:3" x14ac:dyDescent="0.25">
      <c r="A31" t="s">
        <v>77</v>
      </c>
      <c r="B31">
        <v>4497.2000000000007</v>
      </c>
      <c r="C31" s="10">
        <f t="shared" si="0"/>
        <v>4.1935356031377897E-3</v>
      </c>
    </row>
    <row r="32" spans="1:3" x14ac:dyDescent="0.25">
      <c r="A32" t="s">
        <v>80</v>
      </c>
      <c r="B32">
        <v>16796.7</v>
      </c>
      <c r="C32" s="10">
        <f t="shared" si="0"/>
        <v>1.5662536570582697E-2</v>
      </c>
    </row>
    <row r="33" spans="1:3" x14ac:dyDescent="0.25">
      <c r="A33" t="s">
        <v>83</v>
      </c>
      <c r="B33">
        <v>8768.0999999999985</v>
      </c>
      <c r="C33" s="10">
        <f t="shared" si="0"/>
        <v>8.1760516592262831E-3</v>
      </c>
    </row>
    <row r="34" spans="1:3" x14ac:dyDescent="0.25">
      <c r="A34" t="s">
        <v>75</v>
      </c>
      <c r="B34">
        <v>11931.29999999999</v>
      </c>
      <c r="C34" s="10">
        <f t="shared" ref="C34:C65" si="1">B34/$B$52</f>
        <v>1.1125662932873311E-2</v>
      </c>
    </row>
    <row r="35" spans="1:3" x14ac:dyDescent="0.25">
      <c r="A35" t="s">
        <v>85</v>
      </c>
      <c r="B35">
        <v>38881.199999999983</v>
      </c>
      <c r="C35" s="10">
        <f t="shared" si="1"/>
        <v>3.6255825067313202E-2</v>
      </c>
    </row>
    <row r="36" spans="1:3" x14ac:dyDescent="0.25">
      <c r="A36" t="s">
        <v>91</v>
      </c>
      <c r="B36">
        <v>28330.59999999998</v>
      </c>
      <c r="C36" s="10">
        <f t="shared" si="1"/>
        <v>2.6417633140232891E-2</v>
      </c>
    </row>
    <row r="37" spans="1:3" x14ac:dyDescent="0.25">
      <c r="A37" t="s">
        <v>93</v>
      </c>
      <c r="B37">
        <v>27117.599999999991</v>
      </c>
      <c r="C37" s="10">
        <f t="shared" si="1"/>
        <v>2.5286538528784413E-2</v>
      </c>
    </row>
    <row r="38" spans="1:3" x14ac:dyDescent="0.25">
      <c r="A38" t="s">
        <v>95</v>
      </c>
      <c r="B38">
        <v>16782.39999999998</v>
      </c>
      <c r="C38" s="10">
        <f t="shared" si="1"/>
        <v>1.5649202149359498E-2</v>
      </c>
    </row>
    <row r="39" spans="1:3" x14ac:dyDescent="0.25">
      <c r="A39" t="s">
        <v>97</v>
      </c>
      <c r="B39">
        <v>46211.599999999911</v>
      </c>
      <c r="C39" s="10">
        <f t="shared" si="1"/>
        <v>4.3091254531255417E-2</v>
      </c>
    </row>
    <row r="40" spans="1:3" x14ac:dyDescent="0.25">
      <c r="A40" t="s">
        <v>99</v>
      </c>
      <c r="B40">
        <v>2027.2</v>
      </c>
      <c r="C40" s="10">
        <f t="shared" si="1"/>
        <v>1.8903173918618085E-3</v>
      </c>
    </row>
    <row r="41" spans="1:3" x14ac:dyDescent="0.25">
      <c r="A41" t="s">
        <v>101</v>
      </c>
      <c r="B41">
        <v>21241.9</v>
      </c>
      <c r="C41" s="10">
        <f t="shared" si="1"/>
        <v>1.9807583369272571E-2</v>
      </c>
    </row>
    <row r="42" spans="1:3" x14ac:dyDescent="0.25">
      <c r="A42" t="s">
        <v>103</v>
      </c>
      <c r="B42">
        <v>4681.3999999999996</v>
      </c>
      <c r="C42" s="10">
        <f t="shared" si="1"/>
        <v>4.3652978681244427E-3</v>
      </c>
    </row>
    <row r="43" spans="1:3" x14ac:dyDescent="0.25">
      <c r="A43" t="s">
        <v>105</v>
      </c>
      <c r="B43">
        <v>19787.399999999991</v>
      </c>
      <c r="C43" s="10">
        <f t="shared" si="1"/>
        <v>1.8451295560243851E-2</v>
      </c>
    </row>
    <row r="44" spans="1:3" x14ac:dyDescent="0.25">
      <c r="A44" t="s">
        <v>107</v>
      </c>
      <c r="B44">
        <v>124983.3</v>
      </c>
      <c r="C44" s="10">
        <f t="shared" si="1"/>
        <v>0.1165440537106758</v>
      </c>
    </row>
    <row r="45" spans="1:3" x14ac:dyDescent="0.25">
      <c r="A45" t="s">
        <v>109</v>
      </c>
      <c r="B45">
        <v>8973.2999999999993</v>
      </c>
      <c r="C45" s="10">
        <f t="shared" si="1"/>
        <v>8.3673959413938272E-3</v>
      </c>
    </row>
    <row r="46" spans="1:3" x14ac:dyDescent="0.25">
      <c r="A46" t="s">
        <v>113</v>
      </c>
      <c r="B46">
        <v>24707.69999999999</v>
      </c>
      <c r="C46" s="10">
        <f t="shared" si="1"/>
        <v>2.3039362185726119E-2</v>
      </c>
    </row>
    <row r="47" spans="1:3" x14ac:dyDescent="0.25">
      <c r="A47" t="s">
        <v>111</v>
      </c>
      <c r="B47">
        <v>795.29999999999905</v>
      </c>
      <c r="C47" s="10">
        <f t="shared" si="1"/>
        <v>7.415989649505202E-4</v>
      </c>
    </row>
    <row r="48" spans="1:3" x14ac:dyDescent="0.25">
      <c r="A48" t="s">
        <v>115</v>
      </c>
      <c r="B48">
        <v>30607.19999999999</v>
      </c>
      <c r="C48" s="10">
        <f t="shared" si="1"/>
        <v>2.8540510298042981E-2</v>
      </c>
    </row>
    <row r="49" spans="1:3" x14ac:dyDescent="0.25">
      <c r="A49" t="s">
        <v>119</v>
      </c>
      <c r="B49">
        <v>15311.8</v>
      </c>
      <c r="C49" s="10">
        <f t="shared" si="1"/>
        <v>1.4277901460492126E-2</v>
      </c>
    </row>
    <row r="50" spans="1:3" x14ac:dyDescent="0.25">
      <c r="A50" t="s">
        <v>117</v>
      </c>
      <c r="B50">
        <v>14818.2</v>
      </c>
      <c r="C50" s="10">
        <f t="shared" si="1"/>
        <v>1.3817630809040377E-2</v>
      </c>
    </row>
    <row r="51" spans="1:3" x14ac:dyDescent="0.25">
      <c r="A51" t="s">
        <v>121</v>
      </c>
      <c r="B51">
        <v>8666.7000000000007</v>
      </c>
      <c r="C51" s="10">
        <f t="shared" si="1"/>
        <v>8.0814984905528495E-3</v>
      </c>
    </row>
    <row r="52" spans="1:3" x14ac:dyDescent="0.25">
      <c r="B52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5"/>
  <sheetViews>
    <sheetView topLeftCell="A26" workbookViewId="0">
      <selection activeCell="G44" sqref="G44"/>
    </sheetView>
  </sheetViews>
  <sheetFormatPr defaultColWidth="11.42578125" defaultRowHeight="15" x14ac:dyDescent="0.25"/>
  <sheetData>
    <row r="1" spans="1:33" ht="15.7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5.75" customHeight="1" x14ac:dyDescent="0.25">
      <c r="A2" s="11" t="s">
        <v>129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5.75" customHeight="1" x14ac:dyDescent="0.25">
      <c r="A3" s="11" t="s">
        <v>130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5.75" customHeight="1" x14ac:dyDescent="0.25">
      <c r="A4" s="11" t="s">
        <v>131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ht="15.75" customHeight="1" x14ac:dyDescent="0.25">
      <c r="A5" s="11" t="s">
        <v>132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5.75" customHeight="1" x14ac:dyDescent="0.25">
      <c r="A6" s="11" t="s">
        <v>133</v>
      </c>
      <c r="B6" s="11"/>
      <c r="C6" s="11"/>
      <c r="D6" s="12" t="s">
        <v>134</v>
      </c>
      <c r="E6" s="12" t="s">
        <v>135</v>
      </c>
      <c r="F6" s="12" t="s">
        <v>136</v>
      </c>
      <c r="G6" s="12" t="s">
        <v>137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.75" customHeight="1" x14ac:dyDescent="0.25">
      <c r="A7" s="12" t="s">
        <v>138</v>
      </c>
      <c r="B7" s="11"/>
      <c r="C7" s="11"/>
      <c r="D7" s="11"/>
      <c r="E7" s="13">
        <f>'Gridlab Battery Data (Old)'!B51/1000</f>
        <v>1.7131821942700003</v>
      </c>
      <c r="F7" s="11">
        <v>27</v>
      </c>
      <c r="G7" s="11">
        <f>F7*1.5</f>
        <v>40.5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5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5.75" customHeight="1" x14ac:dyDescent="0.25">
      <c r="A9" s="11"/>
      <c r="B9" s="11"/>
      <c r="C9" s="11"/>
      <c r="D9" s="12" t="s">
        <v>139</v>
      </c>
      <c r="E9" s="12" t="s">
        <v>135</v>
      </c>
      <c r="F9" s="12" t="s">
        <v>136</v>
      </c>
      <c r="G9" s="12" t="s">
        <v>140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5.75" customHeight="1" x14ac:dyDescent="0.25">
      <c r="A10" s="11"/>
      <c r="B10" s="11"/>
      <c r="C10" s="11"/>
      <c r="D10" s="11"/>
      <c r="E10" s="11">
        <f>'Gridlab Battery Data (Old)'!B51/1000</f>
        <v>1.7131821942700003</v>
      </c>
      <c r="F10" s="13">
        <f>'Gridlab Battery Data (Old)'!C51/1000 * 1.5</f>
        <v>221.39458886238154</v>
      </c>
      <c r="G10" s="13">
        <f>'Gridlab Battery Data (Old)'!D51/1000 * 1.5</f>
        <v>515.96382846557538</v>
      </c>
      <c r="H10" s="13"/>
      <c r="I10" s="13"/>
      <c r="J10" s="13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5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5.7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5.7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5.7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5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5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5.7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5.7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15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ht="15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5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5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5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5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5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ht="15.75" customHeight="1" x14ac:dyDescent="0.25">
      <c r="A29" s="12" t="s">
        <v>141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ht="15.75" customHeight="1" x14ac:dyDescent="0.25">
      <c r="A30" s="11" t="str">
        <f>About!B2</f>
        <v>CO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5.75" customHeight="1" x14ac:dyDescent="0.25">
      <c r="A31" s="11"/>
      <c r="B31" s="14">
        <v>2019</v>
      </c>
      <c r="C31" s="12">
        <v>2035</v>
      </c>
      <c r="D31" s="12">
        <v>2050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5.75" customHeight="1" x14ac:dyDescent="0.25">
      <c r="A32" s="11" t="s">
        <v>142</v>
      </c>
      <c r="B32" s="15"/>
      <c r="C32" s="11">
        <f>SUMIFS('SYC 2019'!C2:C51,'SYC 2019'!A2:A51,Calculations!A30)</f>
        <v>1.4939960136607885E-2</v>
      </c>
      <c r="D32" s="11">
        <f>C32</f>
        <v>1.4939960136607885E-2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5.75" customHeight="1" x14ac:dyDescent="0.25">
      <c r="A33" s="11" t="s">
        <v>143</v>
      </c>
      <c r="B33" s="15">
        <f>SUMIFS('Gridlab Battery Data (Old)'!B3:B51,'Gridlab Battery Data (Old)'!A3:A51,Calculations!A30)</f>
        <v>1</v>
      </c>
      <c r="C33" s="11">
        <f>C32*F7*1000</f>
        <v>403.3789236884129</v>
      </c>
      <c r="D33" s="11">
        <f>D32*G7*1000</f>
        <v>605.06838553261935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5.75" customHeight="1" x14ac:dyDescent="0.25">
      <c r="A34" s="11" t="s">
        <v>144</v>
      </c>
      <c r="B34" s="15">
        <f>B33</f>
        <v>1</v>
      </c>
      <c r="C34" s="11">
        <f>C32*F10*1000</f>
        <v>3307.6263320646722</v>
      </c>
      <c r="D34" s="11">
        <f>D32*G10*1000</f>
        <v>7708.4790292072848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5.75" customHeight="1" x14ac:dyDescent="0.25">
      <c r="A36" s="11"/>
      <c r="B36" s="14">
        <v>2019</v>
      </c>
      <c r="C36" s="12">
        <f t="shared" ref="C36:AG36" si="0">B36+1</f>
        <v>2020</v>
      </c>
      <c r="D36" s="12">
        <f t="shared" si="0"/>
        <v>2021</v>
      </c>
      <c r="E36" s="12">
        <f t="shared" si="0"/>
        <v>2022</v>
      </c>
      <c r="F36" s="12">
        <f t="shared" si="0"/>
        <v>2023</v>
      </c>
      <c r="G36" s="12">
        <f t="shared" si="0"/>
        <v>2024</v>
      </c>
      <c r="H36" s="12">
        <f t="shared" si="0"/>
        <v>2025</v>
      </c>
      <c r="I36" s="12">
        <f t="shared" si="0"/>
        <v>2026</v>
      </c>
      <c r="J36" s="12">
        <f t="shared" si="0"/>
        <v>2027</v>
      </c>
      <c r="K36" s="12">
        <f t="shared" si="0"/>
        <v>2028</v>
      </c>
      <c r="L36" s="12">
        <f t="shared" si="0"/>
        <v>2029</v>
      </c>
      <c r="M36" s="12">
        <f t="shared" si="0"/>
        <v>2030</v>
      </c>
      <c r="N36" s="12">
        <f t="shared" si="0"/>
        <v>2031</v>
      </c>
      <c r="O36" s="12">
        <f t="shared" si="0"/>
        <v>2032</v>
      </c>
      <c r="P36" s="12">
        <f t="shared" si="0"/>
        <v>2033</v>
      </c>
      <c r="Q36" s="12">
        <f t="shared" si="0"/>
        <v>2034</v>
      </c>
      <c r="R36" s="14">
        <f t="shared" si="0"/>
        <v>2035</v>
      </c>
      <c r="S36" s="12">
        <f t="shared" si="0"/>
        <v>2036</v>
      </c>
      <c r="T36" s="12">
        <f t="shared" si="0"/>
        <v>2037</v>
      </c>
      <c r="U36" s="12">
        <f t="shared" si="0"/>
        <v>2038</v>
      </c>
      <c r="V36" s="12">
        <f t="shared" si="0"/>
        <v>2039</v>
      </c>
      <c r="W36" s="12">
        <f t="shared" si="0"/>
        <v>2040</v>
      </c>
      <c r="X36" s="12">
        <f t="shared" si="0"/>
        <v>2041</v>
      </c>
      <c r="Y36" s="12">
        <f t="shared" si="0"/>
        <v>2042</v>
      </c>
      <c r="Z36" s="12">
        <f t="shared" si="0"/>
        <v>2043</v>
      </c>
      <c r="AA36" s="12">
        <f t="shared" si="0"/>
        <v>2044</v>
      </c>
      <c r="AB36" s="12">
        <f t="shared" si="0"/>
        <v>2045</v>
      </c>
      <c r="AC36" s="12">
        <f t="shared" si="0"/>
        <v>2046</v>
      </c>
      <c r="AD36" s="12">
        <f t="shared" si="0"/>
        <v>2047</v>
      </c>
      <c r="AE36" s="12">
        <f t="shared" si="0"/>
        <v>2048</v>
      </c>
      <c r="AF36" s="12">
        <f t="shared" si="0"/>
        <v>2049</v>
      </c>
      <c r="AG36" s="14">
        <f t="shared" si="0"/>
        <v>2050</v>
      </c>
    </row>
    <row r="37" spans="1:33" ht="15.75" customHeight="1" x14ac:dyDescent="0.25">
      <c r="A37" s="11" t="s">
        <v>145</v>
      </c>
      <c r="B37" s="15">
        <f>B34</f>
        <v>1</v>
      </c>
      <c r="C37" s="11">
        <f t="shared" ref="C37:Q37" si="1">($R37-$B37)/($R36-$B36)+B37</f>
        <v>26.148682730525806</v>
      </c>
      <c r="D37" s="11">
        <f t="shared" si="1"/>
        <v>51.297365461051612</v>
      </c>
      <c r="E37" s="11">
        <f t="shared" si="1"/>
        <v>76.446048191577418</v>
      </c>
      <c r="F37" s="11">
        <f t="shared" si="1"/>
        <v>101.59473092210322</v>
      </c>
      <c r="G37" s="11">
        <f t="shared" si="1"/>
        <v>126.74341365262903</v>
      </c>
      <c r="H37" s="11">
        <f t="shared" si="1"/>
        <v>151.89209638315484</v>
      </c>
      <c r="I37" s="11">
        <f t="shared" si="1"/>
        <v>177.04077911368063</v>
      </c>
      <c r="J37" s="11">
        <f t="shared" si="1"/>
        <v>202.18946184420645</v>
      </c>
      <c r="K37" s="11">
        <f t="shared" si="1"/>
        <v>227.33814457473227</v>
      </c>
      <c r="L37" s="11">
        <f t="shared" si="1"/>
        <v>252.48682730525809</v>
      </c>
      <c r="M37" s="11">
        <f t="shared" si="1"/>
        <v>277.63551003578391</v>
      </c>
      <c r="N37" s="11">
        <f t="shared" si="1"/>
        <v>302.78419276630973</v>
      </c>
      <c r="O37" s="11">
        <f t="shared" si="1"/>
        <v>327.93287549683555</v>
      </c>
      <c r="P37" s="11">
        <f t="shared" si="1"/>
        <v>353.08155822736137</v>
      </c>
      <c r="Q37" s="11">
        <f t="shared" si="1"/>
        <v>378.23024095788719</v>
      </c>
      <c r="R37" s="15">
        <f>C33</f>
        <v>403.3789236884129</v>
      </c>
      <c r="S37" s="11">
        <f t="shared" ref="S37:AF37" si="2">($AG37-$R37)/($AG36-$R36)+R37</f>
        <v>416.82488781135999</v>
      </c>
      <c r="T37" s="11">
        <f t="shared" si="2"/>
        <v>430.27085193430707</v>
      </c>
      <c r="U37" s="11">
        <f t="shared" si="2"/>
        <v>443.71681605725416</v>
      </c>
      <c r="V37" s="11">
        <f t="shared" si="2"/>
        <v>457.16278018020125</v>
      </c>
      <c r="W37" s="11">
        <f t="shared" si="2"/>
        <v>470.60874430314834</v>
      </c>
      <c r="X37" s="11">
        <f t="shared" si="2"/>
        <v>484.05470842609543</v>
      </c>
      <c r="Y37" s="11">
        <f t="shared" si="2"/>
        <v>497.50067254904252</v>
      </c>
      <c r="Z37" s="11">
        <f t="shared" si="2"/>
        <v>510.94663667198961</v>
      </c>
      <c r="AA37" s="11">
        <f t="shared" si="2"/>
        <v>524.3926007949367</v>
      </c>
      <c r="AB37" s="11">
        <f t="shared" si="2"/>
        <v>537.83856491788379</v>
      </c>
      <c r="AC37" s="11">
        <f t="shared" si="2"/>
        <v>551.28452904083088</v>
      </c>
      <c r="AD37" s="11">
        <f t="shared" si="2"/>
        <v>564.73049316377796</v>
      </c>
      <c r="AE37" s="11">
        <f t="shared" si="2"/>
        <v>578.17645728672505</v>
      </c>
      <c r="AF37" s="11">
        <f t="shared" si="2"/>
        <v>591.62242140967214</v>
      </c>
      <c r="AG37" s="15">
        <f>D33</f>
        <v>605.06838553261935</v>
      </c>
    </row>
    <row r="38" spans="1:33" ht="15.75" customHeight="1" x14ac:dyDescent="0.25">
      <c r="A38" s="11"/>
      <c r="B38" s="1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5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5"/>
    </row>
    <row r="39" spans="1:33" ht="15.75" customHeight="1" x14ac:dyDescent="0.25">
      <c r="A39" s="11"/>
      <c r="B39" s="14">
        <v>2019</v>
      </c>
      <c r="C39" s="12">
        <f t="shared" ref="C39:AG39" si="3">B39+1</f>
        <v>2020</v>
      </c>
      <c r="D39" s="12">
        <f t="shared" si="3"/>
        <v>2021</v>
      </c>
      <c r="E39" s="12">
        <f t="shared" si="3"/>
        <v>2022</v>
      </c>
      <c r="F39" s="12">
        <f t="shared" si="3"/>
        <v>2023</v>
      </c>
      <c r="G39" s="12">
        <f t="shared" si="3"/>
        <v>2024</v>
      </c>
      <c r="H39" s="12">
        <f t="shared" si="3"/>
        <v>2025</v>
      </c>
      <c r="I39" s="12">
        <f t="shared" si="3"/>
        <v>2026</v>
      </c>
      <c r="J39" s="12">
        <f t="shared" si="3"/>
        <v>2027</v>
      </c>
      <c r="K39" s="12">
        <f t="shared" si="3"/>
        <v>2028</v>
      </c>
      <c r="L39" s="12">
        <f t="shared" si="3"/>
        <v>2029</v>
      </c>
      <c r="M39" s="12">
        <f t="shared" si="3"/>
        <v>2030</v>
      </c>
      <c r="N39" s="12">
        <f t="shared" si="3"/>
        <v>2031</v>
      </c>
      <c r="O39" s="12">
        <f t="shared" si="3"/>
        <v>2032</v>
      </c>
      <c r="P39" s="12">
        <f t="shared" si="3"/>
        <v>2033</v>
      </c>
      <c r="Q39" s="12">
        <f t="shared" si="3"/>
        <v>2034</v>
      </c>
      <c r="R39" s="14">
        <f t="shared" si="3"/>
        <v>2035</v>
      </c>
      <c r="S39" s="12">
        <f t="shared" si="3"/>
        <v>2036</v>
      </c>
      <c r="T39" s="12">
        <f t="shared" si="3"/>
        <v>2037</v>
      </c>
      <c r="U39" s="12">
        <f t="shared" si="3"/>
        <v>2038</v>
      </c>
      <c r="V39" s="12">
        <f t="shared" si="3"/>
        <v>2039</v>
      </c>
      <c r="W39" s="12">
        <f t="shared" si="3"/>
        <v>2040</v>
      </c>
      <c r="X39" s="12">
        <f t="shared" si="3"/>
        <v>2041</v>
      </c>
      <c r="Y39" s="12">
        <f t="shared" si="3"/>
        <v>2042</v>
      </c>
      <c r="Z39" s="12">
        <f t="shared" si="3"/>
        <v>2043</v>
      </c>
      <c r="AA39" s="12">
        <f t="shared" si="3"/>
        <v>2044</v>
      </c>
      <c r="AB39" s="12">
        <f t="shared" si="3"/>
        <v>2045</v>
      </c>
      <c r="AC39" s="12">
        <f t="shared" si="3"/>
        <v>2046</v>
      </c>
      <c r="AD39" s="12">
        <f t="shared" si="3"/>
        <v>2047</v>
      </c>
      <c r="AE39" s="12">
        <f t="shared" si="3"/>
        <v>2048</v>
      </c>
      <c r="AF39" s="12">
        <f t="shared" si="3"/>
        <v>2049</v>
      </c>
      <c r="AG39" s="14">
        <f t="shared" si="3"/>
        <v>2050</v>
      </c>
    </row>
    <row r="40" spans="1:33" ht="15.75" customHeight="1" x14ac:dyDescent="0.25">
      <c r="A40" s="11" t="s">
        <v>146</v>
      </c>
      <c r="B40" s="15">
        <f>B33</f>
        <v>1</v>
      </c>
      <c r="C40" s="11">
        <f t="shared" ref="C40:Q40" si="4">($R40-$B40)/($R39-$B39)+B40</f>
        <v>235.63058530729177</v>
      </c>
      <c r="D40" s="11">
        <f t="shared" si="4"/>
        <v>470.26117061458353</v>
      </c>
      <c r="E40" s="11">
        <f t="shared" si="4"/>
        <v>704.8917559218753</v>
      </c>
      <c r="F40" s="11">
        <f t="shared" si="4"/>
        <v>939.52234122916707</v>
      </c>
      <c r="G40" s="11">
        <f t="shared" si="4"/>
        <v>1174.1529265364588</v>
      </c>
      <c r="H40" s="11">
        <f t="shared" si="4"/>
        <v>1408.7835118437506</v>
      </c>
      <c r="I40" s="11">
        <f t="shared" si="4"/>
        <v>1643.4140971510424</v>
      </c>
      <c r="J40" s="11">
        <f t="shared" si="4"/>
        <v>1878.0446824583341</v>
      </c>
      <c r="K40" s="11">
        <f t="shared" si="4"/>
        <v>2112.6752677656259</v>
      </c>
      <c r="L40" s="11">
        <f t="shared" si="4"/>
        <v>2347.3058530729177</v>
      </c>
      <c r="M40" s="11">
        <f t="shared" si="4"/>
        <v>2581.9364383802094</v>
      </c>
      <c r="N40" s="11">
        <f t="shared" si="4"/>
        <v>2816.5670236875012</v>
      </c>
      <c r="O40" s="11">
        <f t="shared" si="4"/>
        <v>3051.197608994793</v>
      </c>
      <c r="P40" s="11">
        <f t="shared" si="4"/>
        <v>3285.8281943020847</v>
      </c>
      <c r="Q40" s="11">
        <f t="shared" si="4"/>
        <v>3520.4587796093765</v>
      </c>
      <c r="R40" s="15">
        <f>FORECAST(R36,$B$34:$D$34,$B$31:$D$31)</f>
        <v>3755.0893649166683</v>
      </c>
      <c r="S40" s="11">
        <f t="shared" ref="S40:AF40" si="5">($AG40-$R40)/($AG39-$R39)+R40</f>
        <v>4003.2520983948953</v>
      </c>
      <c r="T40" s="11">
        <f t="shared" si="5"/>
        <v>4251.4148318731222</v>
      </c>
      <c r="U40" s="11">
        <f t="shared" si="5"/>
        <v>4499.5775653513492</v>
      </c>
      <c r="V40" s="11">
        <f t="shared" si="5"/>
        <v>4747.7402988295762</v>
      </c>
      <c r="W40" s="11">
        <f t="shared" si="5"/>
        <v>4995.9030323078032</v>
      </c>
      <c r="X40" s="11">
        <f t="shared" si="5"/>
        <v>5244.0657657860302</v>
      </c>
      <c r="Y40" s="11">
        <f t="shared" si="5"/>
        <v>5492.2284992642572</v>
      </c>
      <c r="Z40" s="11">
        <f t="shared" si="5"/>
        <v>5740.3912327424841</v>
      </c>
      <c r="AA40" s="11">
        <f t="shared" si="5"/>
        <v>5988.5539662207111</v>
      </c>
      <c r="AB40" s="11">
        <f t="shared" si="5"/>
        <v>6236.7166996989381</v>
      </c>
      <c r="AC40" s="11">
        <f t="shared" si="5"/>
        <v>6484.8794331771651</v>
      </c>
      <c r="AD40" s="11">
        <f t="shared" si="5"/>
        <v>6733.0421666553921</v>
      </c>
      <c r="AE40" s="11">
        <f t="shared" si="5"/>
        <v>6981.204900133619</v>
      </c>
      <c r="AF40" s="11">
        <f t="shared" si="5"/>
        <v>7229.367633611846</v>
      </c>
      <c r="AG40" s="15">
        <f>FORECAST(AG36,$B$34:$D$34,$B$31:$D$31)</f>
        <v>7477.5303670900757</v>
      </c>
    </row>
    <row r="43" spans="1:33" x14ac:dyDescent="0.25">
      <c r="A43" s="3" t="s">
        <v>147</v>
      </c>
    </row>
    <row r="45" spans="1:33" x14ac:dyDescent="0.25">
      <c r="A45" t="s">
        <v>141</v>
      </c>
      <c r="B45" t="s">
        <v>148</v>
      </c>
      <c r="C45" t="s">
        <v>149</v>
      </c>
      <c r="D45" t="s">
        <v>150</v>
      </c>
    </row>
    <row r="46" spans="1:33" x14ac:dyDescent="0.25">
      <c r="A46" s="16" t="s">
        <v>3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5">
      <c r="A47" s="16" t="s">
        <v>6</v>
      </c>
      <c r="B47">
        <f>SUMIFS('Gridlab Battery Data (Old)'!$F$3:$F$51,'Gridlab Battery Data (Old)'!$A$3:$A$51,Calculations!A47)*$G$7*1000</f>
        <v>0</v>
      </c>
      <c r="C47">
        <f>SUMIFS('Gridlab Battery Data (Old)'!$F$3:$F$51,'Gridlab Battery Data (Old)'!$A$3:$A$51,Calculations!A47)*$G$10*1000</f>
        <v>0</v>
      </c>
      <c r="D47">
        <f>ROUND(SUMIFS('Gridlab Battery Data (Old)'!$B$3:$B$51,'Gridlab Battery Data (Old)'!$A$3:$A$51,Calculations!A47),2)</f>
        <v>0</v>
      </c>
    </row>
    <row r="48" spans="1:33" x14ac:dyDescent="0.25">
      <c r="A48" s="16" t="s">
        <v>9</v>
      </c>
      <c r="B48">
        <f>SUMIFS('Gridlab Battery Data (Old)'!$F$3:$F$51,'Gridlab Battery Data (Old)'!$A$3:$A$51,Calculations!A48)*$G$7*1000</f>
        <v>907.65806391110857</v>
      </c>
      <c r="C48">
        <f>SUMIFS('Gridlab Battery Data (Old)'!$F$3:$F$51,'Gridlab Battery Data (Old)'!$A$3:$A$51,Calculations!A48)*$G$10*1000</f>
        <v>11563.425422054999</v>
      </c>
      <c r="D48">
        <f>ROUND(SUMIFS('Gridlab Battery Data (Old)'!$B$3:$B$51,'Gridlab Battery Data (Old)'!$A$3:$A$51,Calculations!A48),2)</f>
        <v>78.3</v>
      </c>
    </row>
    <row r="49" spans="1:4" x14ac:dyDescent="0.25">
      <c r="A49" s="16" t="s">
        <v>11</v>
      </c>
      <c r="B49">
        <f>SUMIFS('Gridlab Battery Data (Old)'!$F$3:$F$51,'Gridlab Battery Data (Old)'!$A$3:$A$51,Calculations!A49)*$G$7*1000</f>
        <v>443.26332163270365</v>
      </c>
      <c r="C49">
        <f>SUMIFS('Gridlab Battery Data (Old)'!$F$3:$F$51,'Gridlab Battery Data (Old)'!$A$3:$A$51,Calculations!A49)*$G$10*1000</f>
        <v>5647.1071715549997</v>
      </c>
      <c r="D49">
        <f>ROUND(SUMIFS('Gridlab Battery Data (Old)'!$B$3:$B$51,'Gridlab Battery Data (Old)'!$A$3:$A$51,Calculations!A49),2)</f>
        <v>0</v>
      </c>
    </row>
    <row r="50" spans="1:4" x14ac:dyDescent="0.25">
      <c r="A50" s="16" t="s">
        <v>15</v>
      </c>
      <c r="B50">
        <f>SUMIFS('Gridlab Battery Data (Old)'!$F$3:$F$51,'Gridlab Battery Data (Old)'!$A$3:$A$51,Calculations!A50)*$G$7*1000</f>
        <v>2573.9390787312468</v>
      </c>
      <c r="C50">
        <f>SUMIFS('Gridlab Battery Data (Old)'!$F$3:$F$51,'Gridlab Battery Data (Old)'!$A$3:$A$51,Calculations!A50)*$G$10*1000</f>
        <v>32791.591637020494</v>
      </c>
      <c r="D50">
        <f>ROUND(SUMIFS('Gridlab Battery Data (Old)'!$B$3:$B$51,'Gridlab Battery Data (Old)'!$A$3:$A$51,Calculations!A50),2)</f>
        <v>444.98</v>
      </c>
    </row>
    <row r="51" spans="1:4" x14ac:dyDescent="0.25">
      <c r="A51" s="16" t="s">
        <v>17</v>
      </c>
      <c r="B51">
        <f>SUMIFS('Gridlab Battery Data (Old)'!$F$3:$F$51,'Gridlab Battery Data (Old)'!$A$3:$A$51,Calculations!A51)*$G$7*1000</f>
        <v>643.47705492620048</v>
      </c>
      <c r="C51">
        <f>SUMIFS('Gridlab Battery Data (Old)'!$F$3:$F$51,'Gridlab Battery Data (Old)'!$A$3:$A$51,Calculations!A51)*$G$10*1000</f>
        <v>8197.7996244314982</v>
      </c>
      <c r="D51">
        <f>ROUND(SUMIFS('Gridlab Battery Data (Old)'!$B$3:$B$51,'Gridlab Battery Data (Old)'!$A$3:$A$51,Calculations!A51),2)</f>
        <v>1</v>
      </c>
    </row>
    <row r="52" spans="1:4" x14ac:dyDescent="0.25">
      <c r="A52" s="16" t="s">
        <v>19</v>
      </c>
      <c r="B52">
        <f>SUMIFS('Gridlab Battery Data (Old)'!$F$3:$F$51,'Gridlab Battery Data (Old)'!$A$3:$A$51,Calculations!A52)*$G$7*1000</f>
        <v>82.643363333980716</v>
      </c>
      <c r="C52">
        <f>SUMIFS('Gridlab Battery Data (Old)'!$F$3:$F$51,'Gridlab Battery Data (Old)'!$A$3:$A$51,Calculations!A52)*$G$10*1000</f>
        <v>1052.8638553845001</v>
      </c>
      <c r="D52">
        <f>ROUND(SUMIFS('Gridlab Battery Data (Old)'!$B$3:$B$51,'Gridlab Battery Data (Old)'!$A$3:$A$51,Calculations!A52),2)</f>
        <v>1.6</v>
      </c>
    </row>
    <row r="53" spans="1:4" x14ac:dyDescent="0.25">
      <c r="A53" s="16" t="s">
        <v>22</v>
      </c>
      <c r="B53">
        <f>SUMIFS('Gridlab Battery Data (Old)'!$F$3:$F$51,'Gridlab Battery Data (Old)'!$A$3:$A$51,Calculations!A53)*$G$7*1000</f>
        <v>155.21025775699076</v>
      </c>
      <c r="C53">
        <f>SUMIFS('Gridlab Battery Data (Old)'!$F$3:$F$51,'Gridlab Battery Data (Old)'!$A$3:$A$51,Calculations!A53)*$G$10*1000</f>
        <v>1977.3550323314994</v>
      </c>
      <c r="D53">
        <f>ROUND(SUMIFS('Gridlab Battery Data (Old)'!$B$3:$B$51,'Gridlab Battery Data (Old)'!$A$3:$A$51,Calculations!A53),2)</f>
        <v>0</v>
      </c>
    </row>
    <row r="54" spans="1:4" x14ac:dyDescent="0.25">
      <c r="A54" s="16" t="s">
        <v>25</v>
      </c>
      <c r="B54">
        <f>SUMIFS('Gridlab Battery Data (Old)'!$F$3:$F$51,'Gridlab Battery Data (Old)'!$A$3:$A$51,Calculations!A54)*$G$7*1000</f>
        <v>1896.649367609471</v>
      </c>
      <c r="C54">
        <f>SUMIFS('Gridlab Battery Data (Old)'!$F$3:$F$51,'Gridlab Battery Data (Old)'!$A$3:$A$51,Calculations!A54)*$G$10*1000</f>
        <v>24163.023925150497</v>
      </c>
      <c r="D54">
        <f>ROUND(SUMIFS('Gridlab Battery Data (Old)'!$B$3:$B$51,'Gridlab Battery Data (Old)'!$A$3:$A$51,Calculations!A54),2)</f>
        <v>14</v>
      </c>
    </row>
    <row r="55" spans="1:4" x14ac:dyDescent="0.25">
      <c r="A55" s="16" t="s">
        <v>28</v>
      </c>
      <c r="B55">
        <f>SUMIFS('Gridlab Battery Data (Old)'!$F$3:$F$51,'Gridlab Battery Data (Old)'!$A$3:$A$51,Calculations!A55)*$G$7*1000</f>
        <v>1556.1825007261668</v>
      </c>
      <c r="C55">
        <f>SUMIFS('Gridlab Battery Data (Old)'!$F$3:$F$51,'Gridlab Battery Data (Old)'!$A$3:$A$51,Calculations!A55)*$G$10*1000</f>
        <v>19825.527922612499</v>
      </c>
      <c r="D55">
        <f>ROUND(SUMIFS('Gridlab Battery Data (Old)'!$B$3:$B$51,'Gridlab Battery Data (Old)'!$A$3:$A$51,Calculations!A55),2)</f>
        <v>1</v>
      </c>
    </row>
    <row r="56" spans="1:4" x14ac:dyDescent="0.25">
      <c r="A56" s="16" t="s">
        <v>30</v>
      </c>
      <c r="B56">
        <f>SUMIFS('Gridlab Battery Data (Old)'!$F$3:$F$51,'Gridlab Battery Data (Old)'!$A$3:$A$51,Calculations!A56)*$G$7*1000</f>
        <v>0</v>
      </c>
      <c r="C56">
        <f>SUMIFS('Gridlab Battery Data (Old)'!$F$3:$F$51,'Gridlab Battery Data (Old)'!$A$3:$A$51,Calculations!A56)*$G$10*1000</f>
        <v>0</v>
      </c>
      <c r="D56">
        <f>ROUND(SUMIFS('Gridlab Battery Data (Old)'!$B$3:$B$51,'Gridlab Battery Data (Old)'!$A$3:$A$51,Calculations!A56),2)</f>
        <v>0</v>
      </c>
    </row>
    <row r="57" spans="1:4" x14ac:dyDescent="0.25">
      <c r="A57" s="16" t="s">
        <v>33</v>
      </c>
      <c r="B57">
        <f>SUMIFS('Gridlab Battery Data (Old)'!$F$3:$F$51,'Gridlab Battery Data (Old)'!$A$3:$A$51,Calculations!A57)*$G$7*1000</f>
        <v>1011.1791770933995</v>
      </c>
      <c r="C57">
        <f>SUMIFS('Gridlab Battery Data (Old)'!$F$3:$F$51,'Gridlab Battery Data (Old)'!$A$3:$A$51,Calculations!A57)*$G$10*1000</f>
        <v>12882.268629081</v>
      </c>
      <c r="D57">
        <f>ROUND(SUMIFS('Gridlab Battery Data (Old)'!$B$3:$B$51,'Gridlab Battery Data (Old)'!$A$3:$A$51,Calculations!A57),2)</f>
        <v>3.09</v>
      </c>
    </row>
    <row r="58" spans="1:4" x14ac:dyDescent="0.25">
      <c r="A58" s="16" t="s">
        <v>36</v>
      </c>
      <c r="B58">
        <f>SUMIFS('Gridlab Battery Data (Old)'!$F$3:$F$51,'Gridlab Battery Data (Old)'!$A$3:$A$51,Calculations!A58)*$G$7*1000</f>
        <v>1401.7883312677982</v>
      </c>
      <c r="C58">
        <f>SUMIFS('Gridlab Battery Data (Old)'!$F$3:$F$51,'Gridlab Battery Data (Old)'!$A$3:$A$51,Calculations!A58)*$G$10*1000</f>
        <v>17858.569730846997</v>
      </c>
      <c r="D58">
        <f>ROUND(SUMIFS('Gridlab Battery Data (Old)'!$B$3:$B$51,'Gridlab Battery Data (Old)'!$A$3:$A$51,Calculations!A58),2)</f>
        <v>112.4</v>
      </c>
    </row>
    <row r="59" spans="1:4" x14ac:dyDescent="0.25">
      <c r="A59" s="16" t="s">
        <v>39</v>
      </c>
      <c r="B59">
        <f>SUMIFS('Gridlab Battery Data (Old)'!$F$3:$F$51,'Gridlab Battery Data (Old)'!$A$3:$A$51,Calculations!A59)*$G$7*1000</f>
        <v>1686.2356218380089</v>
      </c>
      <c r="C59">
        <f>SUMIFS('Gridlab Battery Data (Old)'!$F$3:$F$51,'Gridlab Battery Data (Old)'!$A$3:$A$51,Calculations!A59)*$G$10*1000</f>
        <v>21482.384867618995</v>
      </c>
      <c r="D59">
        <f>ROUND(SUMIFS('Gridlab Battery Data (Old)'!$B$3:$B$51,'Gridlab Battery Data (Old)'!$A$3:$A$51,Calculations!A59),2)</f>
        <v>23</v>
      </c>
    </row>
    <row r="60" spans="1:4" x14ac:dyDescent="0.25">
      <c r="A60" s="16" t="s">
        <v>42</v>
      </c>
      <c r="B60">
        <f>SUMIFS('Gridlab Battery Data (Old)'!$F$3:$F$51,'Gridlab Battery Data (Old)'!$A$3:$A$51,Calculations!A60)*$G$7*1000</f>
        <v>1230.6757025988381</v>
      </c>
      <c r="C60">
        <f>SUMIFS('Gridlab Battery Data (Old)'!$F$3:$F$51,'Gridlab Battery Data (Old)'!$A$3:$A$51,Calculations!A60)*$G$10*1000</f>
        <v>15678.620916356998</v>
      </c>
      <c r="D60">
        <f>ROUND(SUMIFS('Gridlab Battery Data (Old)'!$B$3:$B$51,'Gridlab Battery Data (Old)'!$A$3:$A$51,Calculations!A60),2)</f>
        <v>0</v>
      </c>
    </row>
    <row r="61" spans="1:4" x14ac:dyDescent="0.25">
      <c r="A61" s="16" t="s">
        <v>45</v>
      </c>
      <c r="B61">
        <f>SUMIFS('Gridlab Battery Data (Old)'!$F$3:$F$51,'Gridlab Battery Data (Old)'!$A$3:$A$51,Calculations!A61)*$G$7*1000</f>
        <v>194.04156876222194</v>
      </c>
      <c r="C61">
        <f>SUMIFS('Gridlab Battery Data (Old)'!$F$3:$F$51,'Gridlab Battery Data (Old)'!$A$3:$A$51,Calculations!A61)*$G$10*1000</f>
        <v>2472.0600172844997</v>
      </c>
      <c r="D61">
        <f>ROUND(SUMIFS('Gridlab Battery Data (Old)'!$B$3:$B$51,'Gridlab Battery Data (Old)'!$A$3:$A$51,Calculations!A61),2)</f>
        <v>0</v>
      </c>
    </row>
    <row r="62" spans="1:4" x14ac:dyDescent="0.25">
      <c r="A62" s="16" t="s">
        <v>48</v>
      </c>
      <c r="B62">
        <f>SUMIFS('Gridlab Battery Data (Old)'!$F$3:$F$51,'Gridlab Battery Data (Old)'!$A$3:$A$51,Calculations!A62)*$G$7*1000</f>
        <v>1330.5983597819095</v>
      </c>
      <c r="C62">
        <f>SUMIFS('Gridlab Battery Data (Old)'!$F$3:$F$51,'Gridlab Battery Data (Old)'!$A$3:$A$51,Calculations!A62)*$G$10*1000</f>
        <v>16951.620342298498</v>
      </c>
      <c r="D62">
        <f>ROUND(SUMIFS('Gridlab Battery Data (Old)'!$B$3:$B$51,'Gridlab Battery Data (Old)'!$A$3:$A$51,Calculations!A62),2)</f>
        <v>0</v>
      </c>
    </row>
    <row r="63" spans="1:4" x14ac:dyDescent="0.25">
      <c r="A63" s="16" t="s">
        <v>50</v>
      </c>
      <c r="B63">
        <f>SUMIFS('Gridlab Battery Data (Old)'!$F$3:$F$51,'Gridlab Battery Data (Old)'!$A$3:$A$51,Calculations!A63)*$G$7*1000</f>
        <v>953.59202584536467</v>
      </c>
      <c r="C63">
        <f>SUMIFS('Gridlab Battery Data (Old)'!$F$3:$F$51,'Gridlab Battery Data (Old)'!$A$3:$A$51,Calculations!A63)*$G$10*1000</f>
        <v>12148.617097516499</v>
      </c>
      <c r="D63">
        <f>ROUND(SUMIFS('Gridlab Battery Data (Old)'!$B$3:$B$51,'Gridlab Battery Data (Old)'!$A$3:$A$51,Calculations!A63),2)</f>
        <v>0.5</v>
      </c>
    </row>
    <row r="64" spans="1:4" x14ac:dyDescent="0.25">
      <c r="A64" s="16" t="s">
        <v>53</v>
      </c>
      <c r="B64">
        <f>SUMIFS('Gridlab Battery Data (Old)'!$F$3:$F$51,'Gridlab Battery Data (Old)'!$A$3:$A$51,Calculations!A64)*$G$7*1000</f>
        <v>19.415843565304563</v>
      </c>
      <c r="C64">
        <f>SUMIFS('Gridlab Battery Data (Old)'!$F$3:$F$51,'Gridlab Battery Data (Old)'!$A$3:$A$51,Calculations!A64)*$G$10*1000</f>
        <v>247.35488836649998</v>
      </c>
      <c r="D64">
        <f>ROUND(SUMIFS('Gridlab Battery Data (Old)'!$B$3:$B$51,'Gridlab Battery Data (Old)'!$A$3:$A$51,Calculations!A64),2)</f>
        <v>16.2</v>
      </c>
    </row>
    <row r="65" spans="1:4" x14ac:dyDescent="0.25">
      <c r="A65" s="16" t="s">
        <v>55</v>
      </c>
      <c r="B65">
        <f>SUMIFS('Gridlab Battery Data (Old)'!$F$3:$F$51,'Gridlab Battery Data (Old)'!$A$3:$A$51,Calculations!A65)*$G$7*1000</f>
        <v>1053.041757106957</v>
      </c>
      <c r="C65">
        <f>SUMIFS('Gridlab Battery Data (Old)'!$F$3:$F$51,'Gridlab Battery Data (Old)'!$A$3:$A$51,Calculations!A65)*$G$10*1000</f>
        <v>13415.591519284495</v>
      </c>
      <c r="D65">
        <f>ROUND(SUMIFS('Gridlab Battery Data (Old)'!$B$3:$B$51,'Gridlab Battery Data (Old)'!$A$3:$A$51,Calculations!A65),2)</f>
        <v>13</v>
      </c>
    </row>
    <row r="66" spans="1:4" x14ac:dyDescent="0.25">
      <c r="A66" s="16" t="s">
        <v>57</v>
      </c>
      <c r="B66">
        <f>SUMIFS('Gridlab Battery Data (Old)'!$F$3:$F$51,'Gridlab Battery Data (Old)'!$A$3:$A$51,Calculations!A66)*$G$7*1000</f>
        <v>395.7712117344646</v>
      </c>
      <c r="C66">
        <f>SUMIFS('Gridlab Battery Data (Old)'!$F$3:$F$51,'Gridlab Battery Data (Old)'!$A$3:$A$51,Calculations!A66)*$G$10*1000</f>
        <v>5042.0649284684996</v>
      </c>
      <c r="D66">
        <f>ROUND(SUMIFS('Gridlab Battery Data (Old)'!$B$3:$B$51,'Gridlab Battery Data (Old)'!$A$3:$A$51,Calculations!A66),2)</f>
        <v>29.5</v>
      </c>
    </row>
    <row r="67" spans="1:4" x14ac:dyDescent="0.25">
      <c r="A67" s="16" t="s">
        <v>60</v>
      </c>
      <c r="B67">
        <f>SUMIFS('Gridlab Battery Data (Old)'!$F$3:$F$51,'Gridlab Battery Data (Old)'!$A$3:$A$51,Calculations!A67)*$G$7*1000</f>
        <v>1298.8557712660281</v>
      </c>
      <c r="C67">
        <f>SUMIFS('Gridlab Battery Data (Old)'!$F$3:$F$51,'Gridlab Battery Data (Old)'!$A$3:$A$51,Calculations!A67)*$G$10*1000</f>
        <v>16547.224601654998</v>
      </c>
      <c r="D67">
        <f>ROUND(SUMIFS('Gridlab Battery Data (Old)'!$B$3:$B$51,'Gridlab Battery Data (Old)'!$A$3:$A$51,Calculations!A67),2)</f>
        <v>1</v>
      </c>
    </row>
    <row r="68" spans="1:4" x14ac:dyDescent="0.25">
      <c r="A68" s="16" t="s">
        <v>62</v>
      </c>
      <c r="B68">
        <f>SUMIFS('Gridlab Battery Data (Old)'!$F$3:$F$51,'Gridlab Battery Data (Old)'!$A$3:$A$51,Calculations!A68)*$G$7*1000</f>
        <v>456.16536000539725</v>
      </c>
      <c r="C68">
        <f>SUMIFS('Gridlab Battery Data (Old)'!$F$3:$F$51,'Gridlab Battery Data (Old)'!$A$3:$A$51,Calculations!A68)*$G$10*1000</f>
        <v>5811.4771743644988</v>
      </c>
      <c r="D68">
        <f>ROUND(SUMIFS('Gridlab Battery Data (Old)'!$B$3:$B$51,'Gridlab Battery Data (Old)'!$A$3:$A$51,Calculations!A68),2)</f>
        <v>1</v>
      </c>
    </row>
    <row r="69" spans="1:4" x14ac:dyDescent="0.25">
      <c r="A69" s="16" t="s">
        <v>64</v>
      </c>
      <c r="B69">
        <f>SUMIFS('Gridlab Battery Data (Old)'!$F$3:$F$51,'Gridlab Battery Data (Old)'!$A$3:$A$51,Calculations!A69)*$G$7*1000</f>
        <v>563.9790921746262</v>
      </c>
      <c r="C69">
        <f>SUMIFS('Gridlab Battery Data (Old)'!$F$3:$F$51,'Gridlab Battery Data (Old)'!$A$3:$A$51,Calculations!A69)*$G$10*1000</f>
        <v>7185.0076931594995</v>
      </c>
      <c r="D69">
        <f>ROUND(SUMIFS('Gridlab Battery Data (Old)'!$B$3:$B$51,'Gridlab Battery Data (Old)'!$A$3:$A$51,Calculations!A69),2)</f>
        <v>0</v>
      </c>
    </row>
    <row r="70" spans="1:4" x14ac:dyDescent="0.25">
      <c r="A70" s="16" t="s">
        <v>66</v>
      </c>
      <c r="B70">
        <f>SUMIFS('Gridlab Battery Data (Old)'!$F$3:$F$51,'Gridlab Battery Data (Old)'!$A$3:$A$51,Calculations!A70)*$G$7*1000</f>
        <v>1007.4959002972572</v>
      </c>
      <c r="C70">
        <f>SUMIFS('Gridlab Battery Data (Old)'!$F$3:$F$51,'Gridlab Battery Data (Old)'!$A$3:$A$51,Calculations!A70)*$G$10*1000</f>
        <v>12835.344243968999</v>
      </c>
      <c r="D70">
        <f>ROUND(SUMIFS('Gridlab Battery Data (Old)'!$B$3:$B$51,'Gridlab Battery Data (Old)'!$A$3:$A$51,Calculations!A70),2)</f>
        <v>2.2000000000000002</v>
      </c>
    </row>
    <row r="71" spans="1:4" x14ac:dyDescent="0.25">
      <c r="A71" s="16" t="s">
        <v>69</v>
      </c>
      <c r="B71">
        <f>SUMIFS('Gridlab Battery Data (Old)'!$F$3:$F$51,'Gridlab Battery Data (Old)'!$A$3:$A$51,Calculations!A71)*$G$7*1000</f>
        <v>333.9942684579799</v>
      </c>
      <c r="C71">
        <f>SUMIFS('Gridlab Battery Data (Old)'!$F$3:$F$51,'Gridlab Battery Data (Old)'!$A$3:$A$51,Calculations!A71)*$G$10*1000</f>
        <v>4255.0360849169992</v>
      </c>
      <c r="D71">
        <f>ROUND(SUMIFS('Gridlab Battery Data (Old)'!$B$3:$B$51,'Gridlab Battery Data (Old)'!$A$3:$A$51,Calculations!A71),2)</f>
        <v>0</v>
      </c>
    </row>
    <row r="72" spans="1:4" x14ac:dyDescent="0.25">
      <c r="A72" s="16" t="s">
        <v>72</v>
      </c>
      <c r="B72">
        <f>SUMIFS('Gridlab Battery Data (Old)'!$F$3:$F$51,'Gridlab Battery Data (Old)'!$A$3:$A$51,Calculations!A72)*$G$7*1000</f>
        <v>141.94100873281616</v>
      </c>
      <c r="C72">
        <f>SUMIFS('Gridlab Battery Data (Old)'!$F$3:$F$51,'Gridlab Battery Data (Old)'!$A$3:$A$51,Calculations!A72)*$G$10*1000</f>
        <v>1808.3068217789996</v>
      </c>
      <c r="D72">
        <f>ROUND(SUMIFS('Gridlab Battery Data (Old)'!$B$3:$B$51,'Gridlab Battery Data (Old)'!$A$3:$A$51,Calculations!A72),2)</f>
        <v>0</v>
      </c>
    </row>
    <row r="73" spans="1:4" x14ac:dyDescent="0.25">
      <c r="A73" s="16" t="s">
        <v>75</v>
      </c>
      <c r="B73">
        <f>SUMIFS('Gridlab Battery Data (Old)'!$F$3:$F$51,'Gridlab Battery Data (Old)'!$A$3:$A$51,Calculations!A73)*$G$7*1000</f>
        <v>380.23377895103334</v>
      </c>
      <c r="C73">
        <f>SUMIFS('Gridlab Battery Data (Old)'!$F$3:$F$51,'Gridlab Battery Data (Old)'!$A$3:$A$51,Calculations!A73)*$G$10*1000</f>
        <v>4844.1204024569988</v>
      </c>
      <c r="D73">
        <f>ROUND(SUMIFS('Gridlab Battery Data (Old)'!$B$3:$B$51,'Gridlab Battery Data (Old)'!$A$3:$A$51,Calculations!A73),2)</f>
        <v>10</v>
      </c>
    </row>
    <row r="74" spans="1:4" x14ac:dyDescent="0.25">
      <c r="A74" s="16" t="s">
        <v>77</v>
      </c>
      <c r="B74">
        <f>SUMIFS('Gridlab Battery Data (Old)'!$F$3:$F$51,'Gridlab Battery Data (Old)'!$A$3:$A$51,Calculations!A74)*$G$7*1000</f>
        <v>76.786155272344018</v>
      </c>
      <c r="C74">
        <f>SUMIFS('Gridlab Battery Data (Old)'!$F$3:$F$51,'Gridlab Battery Data (Old)'!$A$3:$A$51,Calculations!A74)*$G$10*1000</f>
        <v>978.24391722149983</v>
      </c>
      <c r="D74">
        <f>ROUND(SUMIFS('Gridlab Battery Data (Old)'!$B$3:$B$51,'Gridlab Battery Data (Old)'!$A$3:$A$51,Calculations!A74),2)</f>
        <v>0</v>
      </c>
    </row>
    <row r="75" spans="1:4" x14ac:dyDescent="0.25">
      <c r="A75" s="16" t="s">
        <v>80</v>
      </c>
      <c r="B75">
        <f>SUMIFS('Gridlab Battery Data (Old)'!$F$3:$F$51,'Gridlab Battery Data (Old)'!$A$3:$A$51,Calculations!A75)*$G$7*1000</f>
        <v>235.48162351095189</v>
      </c>
      <c r="C75">
        <f>SUMIFS('Gridlab Battery Data (Old)'!$F$3:$F$51,'Gridlab Battery Data (Old)'!$A$3:$A$51,Calculations!A75)*$G$10*1000</f>
        <v>2999.9999999999995</v>
      </c>
      <c r="D75">
        <f>ROUND(SUMIFS('Gridlab Battery Data (Old)'!$B$3:$B$51,'Gridlab Battery Data (Old)'!$A$3:$A$51,Calculations!A75),2)</f>
        <v>320.8</v>
      </c>
    </row>
    <row r="76" spans="1:4" x14ac:dyDescent="0.25">
      <c r="A76" s="16" t="s">
        <v>83</v>
      </c>
      <c r="B76">
        <f>SUMIFS('Gridlab Battery Data (Old)'!$F$3:$F$51,'Gridlab Battery Data (Old)'!$A$3:$A$51,Calculations!A76)*$G$7*1000</f>
        <v>451.64099798691859</v>
      </c>
      <c r="C76">
        <f>SUMIFS('Gridlab Battery Data (Old)'!$F$3:$F$51,'Gridlab Battery Data (Old)'!$A$3:$A$51,Calculations!A76)*$G$10*1000</f>
        <v>5753.8374916874991</v>
      </c>
      <c r="D76">
        <f>ROUND(SUMIFS('Gridlab Battery Data (Old)'!$B$3:$B$51,'Gridlab Battery Data (Old)'!$A$3:$A$51,Calculations!A76),2)</f>
        <v>3.6</v>
      </c>
    </row>
    <row r="77" spans="1:4" x14ac:dyDescent="0.25">
      <c r="A77" s="16" t="s">
        <v>85</v>
      </c>
      <c r="B77">
        <f>SUMIFS('Gridlab Battery Data (Old)'!$F$3:$F$51,'Gridlab Battery Data (Old)'!$A$3:$A$51,Calculations!A77)*$G$7*1000</f>
        <v>649.40414423467803</v>
      </c>
      <c r="C77">
        <f>SUMIFS('Gridlab Battery Data (Old)'!$F$3:$F$51,'Gridlab Battery Data (Old)'!$A$3:$A$51,Calculations!A77)*$G$10*1000</f>
        <v>8273.3098390304986</v>
      </c>
      <c r="D77">
        <f>ROUND(SUMIFS('Gridlab Battery Data (Old)'!$B$3:$B$51,'Gridlab Battery Data (Old)'!$A$3:$A$51,Calculations!A77),2)</f>
        <v>254</v>
      </c>
    </row>
    <row r="78" spans="1:4" x14ac:dyDescent="0.25">
      <c r="A78" s="16" t="s">
        <v>87</v>
      </c>
      <c r="B78">
        <f>SUMIFS('Gridlab Battery Data (Old)'!$F$3:$F$51,'Gridlab Battery Data (Old)'!$A$3:$A$51,Calculations!A78)*$G$7*1000</f>
        <v>2088.8974619505761</v>
      </c>
      <c r="C78">
        <f>SUMIFS('Gridlab Battery Data (Old)'!$F$3:$F$51,'Gridlab Battery Data (Old)'!$A$3:$A$51,Calculations!A78)*$G$10*1000</f>
        <v>26612.235351605996</v>
      </c>
      <c r="D78">
        <f>ROUND(SUMIFS('Gridlab Battery Data (Old)'!$B$3:$B$51,'Gridlab Battery Data (Old)'!$A$3:$A$51,Calculations!A78),2)</f>
        <v>1</v>
      </c>
    </row>
    <row r="79" spans="1:4" x14ac:dyDescent="0.25">
      <c r="A79" s="16" t="s">
        <v>89</v>
      </c>
      <c r="B79">
        <f>SUMIFS('Gridlab Battery Data (Old)'!$F$3:$F$51,'Gridlab Battery Data (Old)'!$A$3:$A$51,Calculations!A79)*$G$7*1000</f>
        <v>78.985659323150202</v>
      </c>
      <c r="C79">
        <f>SUMIFS('Gridlab Battery Data (Old)'!$F$3:$F$51,'Gridlab Battery Data (Old)'!$A$3:$A$51,Calculations!A79)*$G$10*1000</f>
        <v>1006.2652636604998</v>
      </c>
      <c r="D79">
        <f>ROUND(SUMIFS('Gridlab Battery Data (Old)'!$B$3:$B$51,'Gridlab Battery Data (Old)'!$A$3:$A$51,Calculations!A79),2)</f>
        <v>0</v>
      </c>
    </row>
    <row r="80" spans="1:4" x14ac:dyDescent="0.25">
      <c r="A80" s="16" t="s">
        <v>91</v>
      </c>
      <c r="B80">
        <f>SUMIFS('Gridlab Battery Data (Old)'!$F$3:$F$51,'Gridlab Battery Data (Old)'!$A$3:$A$51,Calculations!A80)*$G$7*1000</f>
        <v>2037.8761861162782</v>
      </c>
      <c r="C80">
        <f>SUMIFS('Gridlab Battery Data (Old)'!$F$3:$F$51,'Gridlab Battery Data (Old)'!$A$3:$A$51,Calculations!A80)*$G$10*1000</f>
        <v>25962.232072280996</v>
      </c>
      <c r="D80">
        <f>ROUND(SUMIFS('Gridlab Battery Data (Old)'!$B$3:$B$51,'Gridlab Battery Data (Old)'!$A$3:$A$51,Calculations!A80),2)</f>
        <v>53</v>
      </c>
    </row>
    <row r="81" spans="1:4" x14ac:dyDescent="0.25">
      <c r="A81" s="16" t="s">
        <v>93</v>
      </c>
      <c r="B81">
        <f>SUMIFS('Gridlab Battery Data (Old)'!$F$3:$F$51,'Gridlab Battery Data (Old)'!$A$3:$A$51,Calculations!A81)*$G$7*1000</f>
        <v>621.52644475165141</v>
      </c>
      <c r="C81">
        <f>SUMIFS('Gridlab Battery Data (Old)'!$F$3:$F$51,'Gridlab Battery Data (Old)'!$A$3:$A$51,Calculations!A81)*$G$10*1000</f>
        <v>7918.1521957199993</v>
      </c>
      <c r="D81">
        <f>ROUND(SUMIFS('Gridlab Battery Data (Old)'!$B$3:$B$51,'Gridlab Battery Data (Old)'!$A$3:$A$51,Calculations!A81),2)</f>
        <v>0</v>
      </c>
    </row>
    <row r="82" spans="1:4" x14ac:dyDescent="0.25">
      <c r="A82" s="16" t="s">
        <v>95</v>
      </c>
      <c r="B82">
        <f>SUMIFS('Gridlab Battery Data (Old)'!$F$3:$F$51,'Gridlab Battery Data (Old)'!$A$3:$A$51,Calculations!A82)*$G$7*1000</f>
        <v>584.20005007259886</v>
      </c>
      <c r="C82">
        <f>SUMIFS('Gridlab Battery Data (Old)'!$F$3:$F$51,'Gridlab Battery Data (Old)'!$A$3:$A$51,Calculations!A82)*$G$10*1000</f>
        <v>7442.6196154379995</v>
      </c>
      <c r="D82">
        <f>ROUND(SUMIFS('Gridlab Battery Data (Old)'!$B$3:$B$51,'Gridlab Battery Data (Old)'!$A$3:$A$51,Calculations!A82),2)</f>
        <v>30.14</v>
      </c>
    </row>
    <row r="83" spans="1:4" x14ac:dyDescent="0.25">
      <c r="A83" s="16" t="s">
        <v>97</v>
      </c>
      <c r="B83">
        <f>SUMIFS('Gridlab Battery Data (Old)'!$F$3:$F$51,'Gridlab Battery Data (Old)'!$A$3:$A$51,Calculations!A83)*$G$7*1000</f>
        <v>734.79882317025078</v>
      </c>
      <c r="C83">
        <f>SUMIFS('Gridlab Battery Data (Old)'!$F$3:$F$51,'Gridlab Battery Data (Old)'!$A$3:$A$51,Calculations!A83)*$G$10*1000</f>
        <v>9361.2250359239988</v>
      </c>
      <c r="D83">
        <f>ROUND(SUMIFS('Gridlab Battery Data (Old)'!$B$3:$B$51,'Gridlab Battery Data (Old)'!$A$3:$A$51,Calculations!A83),2)</f>
        <v>30.4</v>
      </c>
    </row>
    <row r="84" spans="1:4" x14ac:dyDescent="0.25">
      <c r="A84" s="16" t="s">
        <v>99</v>
      </c>
      <c r="B84">
        <f>SUMIFS('Gridlab Battery Data (Old)'!$F$3:$F$51,'Gridlab Battery Data (Old)'!$A$3:$A$51,Calculations!A84)*$G$7*1000</f>
        <v>93.879027867938987</v>
      </c>
      <c r="C84">
        <f>SUMIFS('Gridlab Battery Data (Old)'!$F$3:$F$51,'Gridlab Battery Data (Old)'!$A$3:$A$51,Calculations!A84)*$G$10*1000</f>
        <v>1196.0045094165</v>
      </c>
      <c r="D84">
        <f>ROUND(SUMIFS('Gridlab Battery Data (Old)'!$B$3:$B$51,'Gridlab Battery Data (Old)'!$A$3:$A$51,Calculations!A84),2)</f>
        <v>0</v>
      </c>
    </row>
    <row r="85" spans="1:4" x14ac:dyDescent="0.25">
      <c r="A85" s="16" t="s">
        <v>101</v>
      </c>
      <c r="B85">
        <f>SUMIFS('Gridlab Battery Data (Old)'!$F$3:$F$51,'Gridlab Battery Data (Old)'!$A$3:$A$51,Calculations!A85)*$G$7*1000</f>
        <v>1357.0293994415704</v>
      </c>
      <c r="C85">
        <f>SUMIFS('Gridlab Battery Data (Old)'!$F$3:$F$51,'Gridlab Battery Data (Old)'!$A$3:$A$51,Calculations!A85)*$G$10*1000</f>
        <v>17288.347759906497</v>
      </c>
      <c r="D85">
        <f>ROUND(SUMIFS('Gridlab Battery Data (Old)'!$B$3:$B$51,'Gridlab Battery Data (Old)'!$A$3:$A$51,Calculations!A85),2)</f>
        <v>4</v>
      </c>
    </row>
    <row r="86" spans="1:4" x14ac:dyDescent="0.25">
      <c r="A86" s="16" t="s">
        <v>103</v>
      </c>
      <c r="B86">
        <f>SUMIFS('Gridlab Battery Data (Old)'!$F$3:$F$51,'Gridlab Battery Data (Old)'!$A$3:$A$51,Calculations!A86)*$G$7*1000</f>
        <v>161.32636846030783</v>
      </c>
      <c r="C86">
        <f>SUMIFS('Gridlab Battery Data (Old)'!$F$3:$F$51,'Gridlab Battery Data (Old)'!$A$3:$A$51,Calculations!A86)*$G$10*1000</f>
        <v>2055.2733506969994</v>
      </c>
      <c r="D86">
        <f>ROUND(SUMIFS('Gridlab Battery Data (Old)'!$B$3:$B$51,'Gridlab Battery Data (Old)'!$A$3:$A$51,Calculations!A86),2)</f>
        <v>0</v>
      </c>
    </row>
    <row r="87" spans="1:4" x14ac:dyDescent="0.25">
      <c r="A87" s="16" t="s">
        <v>105</v>
      </c>
      <c r="B87">
        <f>SUMIFS('Gridlab Battery Data (Old)'!$F$3:$F$51,'Gridlab Battery Data (Old)'!$A$3:$A$51,Calculations!A87)*$G$7*1000</f>
        <v>504.16433045196572</v>
      </c>
      <c r="C87">
        <f>SUMIFS('Gridlab Battery Data (Old)'!$F$3:$F$51,'Gridlab Battery Data (Old)'!$A$3:$A$51,Calculations!A87)*$G$10*1000</f>
        <v>6422.9767435994991</v>
      </c>
      <c r="D87">
        <f>ROUND(SUMIFS('Gridlab Battery Data (Old)'!$B$3:$B$51,'Gridlab Battery Data (Old)'!$A$3:$A$51,Calculations!A87),2)</f>
        <v>0</v>
      </c>
    </row>
    <row r="88" spans="1:4" x14ac:dyDescent="0.25">
      <c r="A88" s="16" t="s">
        <v>107</v>
      </c>
      <c r="B88">
        <f>SUMIFS('Gridlab Battery Data (Old)'!$F$3:$F$51,'Gridlab Battery Data (Old)'!$A$3:$A$51,Calculations!A88)*$G$7*1000</f>
        <v>4414.0832227364426</v>
      </c>
      <c r="C88">
        <f>SUMIFS('Gridlab Battery Data (Old)'!$F$3:$F$51,'Gridlab Battery Data (Old)'!$A$3:$A$51,Calculations!A88)*$G$10*1000</f>
        <v>56234.747623919997</v>
      </c>
      <c r="D88">
        <f>ROUND(SUMIFS('Gridlab Battery Data (Old)'!$B$3:$B$51,'Gridlab Battery Data (Old)'!$A$3:$A$51,Calculations!A88),2)</f>
        <v>105.2</v>
      </c>
    </row>
    <row r="89" spans="1:4" x14ac:dyDescent="0.25">
      <c r="A89" s="16" t="s">
        <v>109</v>
      </c>
      <c r="B89">
        <f>SUMIFS('Gridlab Battery Data (Old)'!$F$3:$F$51,'Gridlab Battery Data (Old)'!$A$3:$A$51,Calculations!A89)*$G$7*1000</f>
        <v>123.63174256148407</v>
      </c>
      <c r="C89">
        <f>SUMIFS('Gridlab Battery Data (Old)'!$F$3:$F$51,'Gridlab Battery Data (Old)'!$A$3:$A$51,Calculations!A89)*$G$10*1000</f>
        <v>1575.0495607874998</v>
      </c>
      <c r="D89">
        <f>ROUND(SUMIFS('Gridlab Battery Data (Old)'!$B$3:$B$51,'Gridlab Battery Data (Old)'!$A$3:$A$51,Calculations!A89),2)</f>
        <v>0</v>
      </c>
    </row>
    <row r="90" spans="1:4" x14ac:dyDescent="0.25">
      <c r="A90" s="16" t="s">
        <v>111</v>
      </c>
      <c r="B90">
        <f>SUMIFS('Gridlab Battery Data (Old)'!$F$3:$F$51,'Gridlab Battery Data (Old)'!$A$3:$A$51,Calculations!A90)*$G$7*1000</f>
        <v>5.4582916538419699</v>
      </c>
      <c r="C90">
        <f>SUMIFS('Gridlab Battery Data (Old)'!$F$3:$F$51,'Gridlab Battery Data (Old)'!$A$3:$A$51,Calculations!A90)*$G$10*1000</f>
        <v>69.537803915999987</v>
      </c>
      <c r="D90">
        <f>ROUND(SUMIFS('Gridlab Battery Data (Old)'!$B$3:$B$51,'Gridlab Battery Data (Old)'!$A$3:$A$51,Calculations!A90),2)</f>
        <v>2</v>
      </c>
    </row>
    <row r="91" spans="1:4" x14ac:dyDescent="0.25">
      <c r="A91" s="16" t="s">
        <v>113</v>
      </c>
      <c r="B91">
        <f>SUMIFS('Gridlab Battery Data (Old)'!$F$3:$F$51,'Gridlab Battery Data (Old)'!$A$3:$A$51,Calculations!A91)*$G$7*1000</f>
        <v>704.49340349121462</v>
      </c>
      <c r="C91">
        <f>SUMIFS('Gridlab Battery Data (Old)'!$F$3:$F$51,'Gridlab Battery Data (Old)'!$A$3:$A$51,Calculations!A91)*$G$10*1000</f>
        <v>8975.1386072609985</v>
      </c>
      <c r="D91">
        <f>ROUND(SUMIFS('Gridlab Battery Data (Old)'!$B$3:$B$51,'Gridlab Battery Data (Old)'!$A$3:$A$51,Calculations!A91),2)</f>
        <v>0</v>
      </c>
    </row>
    <row r="92" spans="1:4" x14ac:dyDescent="0.25">
      <c r="A92" s="16" t="s">
        <v>115</v>
      </c>
      <c r="B92">
        <f>SUMIFS('Gridlab Battery Data (Old)'!$F$3:$F$51,'Gridlab Battery Data (Old)'!$A$3:$A$51,Calculations!A92)*$G$7*1000</f>
        <v>807.98096929123949</v>
      </c>
      <c r="C92">
        <f>SUMIFS('Gridlab Battery Data (Old)'!$F$3:$F$51,'Gridlab Battery Data (Old)'!$A$3:$A$51,Calculations!A92)*$G$10*1000</f>
        <v>10293.554425748998</v>
      </c>
      <c r="D92">
        <f>ROUND(SUMIFS('Gridlab Battery Data (Old)'!$B$3:$B$51,'Gridlab Battery Data (Old)'!$A$3:$A$51,Calculations!A92),2)</f>
        <v>89.78</v>
      </c>
    </row>
    <row r="93" spans="1:4" x14ac:dyDescent="0.25">
      <c r="A93" s="16" t="s">
        <v>117</v>
      </c>
      <c r="B93">
        <f>SUMIFS('Gridlab Battery Data (Old)'!$F$3:$F$51,'Gridlab Battery Data (Old)'!$A$3:$A$51,Calculations!A93)*$G$7*1000</f>
        <v>143.61119284707135</v>
      </c>
      <c r="C93">
        <f>SUMIFS('Gridlab Battery Data (Old)'!$F$3:$F$51,'Gridlab Battery Data (Old)'!$A$3:$A$51,Calculations!A93)*$G$10*1000</f>
        <v>1829.5847128859996</v>
      </c>
      <c r="D93">
        <f>ROUND(SUMIFS('Gridlab Battery Data (Old)'!$B$3:$B$51,'Gridlab Battery Data (Old)'!$A$3:$A$51,Calculations!A93),2)</f>
        <v>65.5</v>
      </c>
    </row>
    <row r="94" spans="1:4" x14ac:dyDescent="0.25">
      <c r="A94" s="16" t="s">
        <v>119</v>
      </c>
      <c r="B94">
        <f>SUMIFS('Gridlab Battery Data (Old)'!$F$3:$F$51,'Gridlab Battery Data (Old)'!$A$3:$A$51,Calculations!A94)*$G$7*1000</f>
        <v>824.57657320523526</v>
      </c>
      <c r="C94">
        <f>SUMIFS('Gridlab Battery Data (Old)'!$F$3:$F$51,'Gridlab Battery Data (Old)'!$A$3:$A$51,Calculations!A94)*$G$10*1000</f>
        <v>10504.979890715998</v>
      </c>
      <c r="D94">
        <f>ROUND(SUMIFS('Gridlab Battery Data (Old)'!$B$3:$B$51,'Gridlab Battery Data (Old)'!$A$3:$A$51,Calculations!A94),2)</f>
        <v>0</v>
      </c>
    </row>
    <row r="95" spans="1:4" x14ac:dyDescent="0.25">
      <c r="A95" s="16" t="s">
        <v>121</v>
      </c>
      <c r="B95">
        <f>SUMIFS('Gridlab Battery Data (Old)'!$F$3:$F$51,'Gridlab Battery Data (Old)'!$A$3:$A$51,Calculations!A95)*$G$7*1000</f>
        <v>998.49274509153554</v>
      </c>
      <c r="C95">
        <f>SUMIFS('Gridlab Battery Data (Old)'!$F$3:$F$51,'Gridlab Battery Data (Old)'!$A$3:$A$51,Calculations!A95)*$G$10*1000</f>
        <v>12720.645418581</v>
      </c>
      <c r="D95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0"/>
  <sheetViews>
    <sheetView workbookViewId="0">
      <selection activeCell="E21" sqref="E21"/>
    </sheetView>
  </sheetViews>
  <sheetFormatPr defaultColWidth="9" defaultRowHeight="15" x14ac:dyDescent="0.25"/>
  <cols>
    <col min="1" max="1" width="26.85546875" customWidth="1"/>
  </cols>
  <sheetData>
    <row r="1" spans="1:3" x14ac:dyDescent="0.25">
      <c r="A1" s="3" t="s">
        <v>151</v>
      </c>
    </row>
    <row r="2" spans="1:3" x14ac:dyDescent="0.25">
      <c r="B2">
        <v>2019</v>
      </c>
      <c r="C2">
        <v>2050</v>
      </c>
    </row>
    <row r="3" spans="1:3" x14ac:dyDescent="0.25">
      <c r="A3" t="s">
        <v>152</v>
      </c>
      <c r="B3">
        <v>1000</v>
      </c>
      <c r="C3">
        <v>100000</v>
      </c>
    </row>
    <row r="11" spans="1:3" x14ac:dyDescent="0.25">
      <c r="B11" s="3"/>
    </row>
    <row r="12" spans="1:3" x14ac:dyDescent="0.25">
      <c r="A12" s="3"/>
    </row>
    <row r="14" spans="1:3" x14ac:dyDescent="0.25">
      <c r="B14" s="3"/>
      <c r="C14" s="3"/>
    </row>
    <row r="15" spans="1:3" x14ac:dyDescent="0.25">
      <c r="A15" s="3"/>
    </row>
    <row r="17" spans="2:33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2:33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2:33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2:33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workbookViewId="0">
      <selection activeCell="B2" sqref="B2"/>
    </sheetView>
  </sheetViews>
  <sheetFormatPr defaultColWidth="8.85546875" defaultRowHeight="15" x14ac:dyDescent="0.25"/>
  <cols>
    <col min="1" max="1" width="33.140625" customWidth="1"/>
    <col min="2" max="2" width="9" customWidth="1"/>
  </cols>
  <sheetData>
    <row r="1" spans="1:33" x14ac:dyDescent="0.25">
      <c r="A1" s="5" t="s">
        <v>153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13</v>
      </c>
      <c r="B2" s="4">
        <f>Calculations!B37</f>
        <v>1</v>
      </c>
      <c r="C2" s="4">
        <f>Calculations!C37</f>
        <v>26.148682730525806</v>
      </c>
      <c r="D2" s="4">
        <f>Calculations!D37</f>
        <v>51.297365461051612</v>
      </c>
      <c r="E2" s="4">
        <f>Calculations!E37</f>
        <v>76.446048191577418</v>
      </c>
      <c r="F2" s="4">
        <f>Calculations!F37</f>
        <v>101.59473092210322</v>
      </c>
      <c r="G2" s="4">
        <f>Calculations!G37</f>
        <v>126.74341365262903</v>
      </c>
      <c r="H2" s="4">
        <f>Calculations!H37</f>
        <v>151.89209638315484</v>
      </c>
      <c r="I2" s="4">
        <f>Calculations!I37</f>
        <v>177.04077911368063</v>
      </c>
      <c r="J2" s="4">
        <f>Calculations!J37</f>
        <v>202.18946184420645</v>
      </c>
      <c r="K2" s="4">
        <f>Calculations!K37</f>
        <v>227.33814457473227</v>
      </c>
      <c r="L2" s="4">
        <f>Calculations!L37</f>
        <v>252.48682730525809</v>
      </c>
      <c r="M2" s="4">
        <f>Calculations!M37</f>
        <v>277.63551003578391</v>
      </c>
      <c r="N2" s="4">
        <f>Calculations!N37</f>
        <v>302.78419276630973</v>
      </c>
      <c r="O2" s="4">
        <f>Calculations!O37</f>
        <v>327.93287549683555</v>
      </c>
      <c r="P2" s="4">
        <f>Calculations!P37</f>
        <v>353.08155822736137</v>
      </c>
      <c r="Q2" s="4">
        <f>Calculations!Q37</f>
        <v>378.23024095788719</v>
      </c>
      <c r="R2" s="4">
        <f>Calculations!R37</f>
        <v>403.3789236884129</v>
      </c>
      <c r="S2" s="4">
        <f>Calculations!S37</f>
        <v>416.82488781135999</v>
      </c>
      <c r="T2" s="4">
        <f>Calculations!T37</f>
        <v>430.27085193430707</v>
      </c>
      <c r="U2" s="4">
        <f>Calculations!U37</f>
        <v>443.71681605725416</v>
      </c>
      <c r="V2" s="4">
        <f>Calculations!V37</f>
        <v>457.16278018020125</v>
      </c>
      <c r="W2" s="4">
        <f>Calculations!W37</f>
        <v>470.60874430314834</v>
      </c>
      <c r="X2" s="4">
        <f>Calculations!X37</f>
        <v>484.05470842609543</v>
      </c>
      <c r="Y2" s="4">
        <f>Calculations!Y37</f>
        <v>497.50067254904252</v>
      </c>
      <c r="Z2" s="4">
        <f>Calculations!Z37</f>
        <v>510.94663667198961</v>
      </c>
      <c r="AA2" s="4">
        <f>Calculations!AA37</f>
        <v>524.3926007949367</v>
      </c>
      <c r="AB2" s="4">
        <f>Calculations!AB37</f>
        <v>537.83856491788379</v>
      </c>
      <c r="AC2" s="4">
        <f>Calculations!AC37</f>
        <v>551.28452904083088</v>
      </c>
      <c r="AD2" s="4">
        <f>Calculations!AD37</f>
        <v>564.73049316377796</v>
      </c>
      <c r="AE2" s="4">
        <f>Calculations!AE37</f>
        <v>578.17645728672505</v>
      </c>
      <c r="AF2" s="4">
        <f>Calculations!AF37</f>
        <v>591.62242140967214</v>
      </c>
      <c r="AG2" s="4">
        <f>Calculations!AG37</f>
        <v>605.06838553261935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2"/>
  <sheetViews>
    <sheetView topLeftCell="X1" workbookViewId="0">
      <selection activeCell="AG5" sqref="AG5"/>
    </sheetView>
  </sheetViews>
  <sheetFormatPr defaultColWidth="8.85546875" defaultRowHeight="15" x14ac:dyDescent="0.25"/>
  <cols>
    <col min="1" max="1" width="47.140625" customWidth="1"/>
    <col min="2" max="2" width="12.85546875" bestFit="1" customWidth="1"/>
    <col min="3" max="33" width="10.42578125" bestFit="1" customWidth="1"/>
  </cols>
  <sheetData>
    <row r="1" spans="1:33" x14ac:dyDescent="0.25">
      <c r="A1" s="5" t="s">
        <v>153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154</v>
      </c>
      <c r="B2" s="4">
        <f>Calculations!B40</f>
        <v>1</v>
      </c>
      <c r="C2" s="4">
        <f>Calculations!C40</f>
        <v>235.63058530729177</v>
      </c>
      <c r="D2" s="4">
        <f>Calculations!D40</f>
        <v>470.26117061458353</v>
      </c>
      <c r="E2" s="4">
        <f>Calculations!E40</f>
        <v>704.8917559218753</v>
      </c>
      <c r="F2" s="4">
        <f>Calculations!F40</f>
        <v>939.52234122916707</v>
      </c>
      <c r="G2" s="4">
        <f>Calculations!G40</f>
        <v>1174.1529265364588</v>
      </c>
      <c r="H2" s="4">
        <f>Calculations!H40</f>
        <v>1408.7835118437506</v>
      </c>
      <c r="I2" s="4">
        <f>Calculations!I40</f>
        <v>1643.4140971510424</v>
      </c>
      <c r="J2" s="4">
        <f>Calculations!J40</f>
        <v>1878.0446824583341</v>
      </c>
      <c r="K2" s="4">
        <f>Calculations!K40</f>
        <v>2112.6752677656259</v>
      </c>
      <c r="L2" s="4">
        <f>Calculations!L40</f>
        <v>2347.3058530729177</v>
      </c>
      <c r="M2" s="4">
        <f>Calculations!M40</f>
        <v>2581.9364383802094</v>
      </c>
      <c r="N2" s="4">
        <f>Calculations!N40</f>
        <v>2816.5670236875012</v>
      </c>
      <c r="O2" s="4">
        <f>Calculations!O40</f>
        <v>3051.197608994793</v>
      </c>
      <c r="P2" s="4">
        <f>Calculations!P40</f>
        <v>3285.8281943020847</v>
      </c>
      <c r="Q2" s="4">
        <f>Calculations!Q40</f>
        <v>3520.4587796093765</v>
      </c>
      <c r="R2" s="4">
        <f>Calculations!R40</f>
        <v>3755.0893649166683</v>
      </c>
      <c r="S2" s="4">
        <f>Calculations!S40</f>
        <v>4003.2520983948953</v>
      </c>
      <c r="T2" s="4">
        <f>Calculations!T40</f>
        <v>4251.4148318731222</v>
      </c>
      <c r="U2" s="4">
        <f>Calculations!U40</f>
        <v>4499.5775653513492</v>
      </c>
      <c r="V2" s="4">
        <f>Calculations!V40</f>
        <v>4747.7402988295762</v>
      </c>
      <c r="W2" s="4">
        <f>Calculations!W40</f>
        <v>4995.9030323078032</v>
      </c>
      <c r="X2" s="4">
        <f>Calculations!X40</f>
        <v>5244.0657657860302</v>
      </c>
      <c r="Y2" s="4">
        <f>Calculations!Y40</f>
        <v>5492.2284992642572</v>
      </c>
      <c r="Z2" s="4">
        <f>Calculations!Z40</f>
        <v>5740.3912327424841</v>
      </c>
      <c r="AA2" s="4">
        <f>Calculations!AA40</f>
        <v>5988.5539662207111</v>
      </c>
      <c r="AB2" s="4">
        <f>Calculations!AB40</f>
        <v>6236.7166996989381</v>
      </c>
      <c r="AC2" s="4">
        <f>Calculations!AC40</f>
        <v>6484.8794331771651</v>
      </c>
      <c r="AD2" s="4">
        <f>Calculations!AD40</f>
        <v>6733.0421666553921</v>
      </c>
      <c r="AE2" s="4">
        <f>Calculations!AE40</f>
        <v>6981.204900133619</v>
      </c>
      <c r="AF2" s="4">
        <f>Calculations!AF40</f>
        <v>7229.367633611846</v>
      </c>
      <c r="AG2" s="4">
        <f>Calculations!AG40</f>
        <v>7477.5303670900757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B3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11.42578125" customWidth="1"/>
    <col min="2" max="2" width="12.42578125" customWidth="1"/>
    <col min="3" max="3" width="9.140625" customWidth="1"/>
  </cols>
  <sheetData>
    <row r="1" spans="1:2" x14ac:dyDescent="0.25">
      <c r="A1" s="5" t="s">
        <v>153</v>
      </c>
      <c r="B1" t="s">
        <v>151</v>
      </c>
    </row>
    <row r="2" spans="1:2" x14ac:dyDescent="0.25">
      <c r="A2" t="s">
        <v>155</v>
      </c>
      <c r="B2" s="4">
        <f>BGBSC!D2</f>
        <v>51.297365461051612</v>
      </c>
    </row>
    <row r="3" spans="1:2" x14ac:dyDescent="0.25">
      <c r="B3" s="4"/>
    </row>
  </sheetData>
  <pageMargins left="0.7" right="0.7" top="0.75" bottom="0.75" header="0.3" footer="0.3"/>
  <pageSetup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B2"/>
  <sheetViews>
    <sheetView workbookViewId="0">
      <selection activeCell="A12" sqref="A12"/>
    </sheetView>
  </sheetViews>
  <sheetFormatPr defaultRowHeight="15" x14ac:dyDescent="0.25"/>
  <cols>
    <col min="1" max="1" width="28.140625" customWidth="1"/>
  </cols>
  <sheetData>
    <row r="1" spans="1:2" x14ac:dyDescent="0.25">
      <c r="A1" s="5" t="s">
        <v>156</v>
      </c>
      <c r="B1" s="18" t="s">
        <v>157</v>
      </c>
    </row>
    <row r="2" spans="1:2" ht="30" customHeight="1" x14ac:dyDescent="0.25">
      <c r="A2" s="19" t="s">
        <v>158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  <vt:lpstr>GBDSD</vt:lpstr>
      <vt:lpstr>GBDSD!gigwatts_to_megawatts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2014-08-26T20:23:01Z</dcterms:created>
  <dcterms:modified xsi:type="dcterms:W3CDTF">2023-09-29T17:45:49Z</dcterms:modified>
</cp:coreProperties>
</file>