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MPCbS\"/>
    </mc:Choice>
  </mc:AlternateContent>
  <xr:revisionPtr revIDLastSave="0" documentId="13_ncr:1_{8069F442-A8B1-4FBD-B26E-B0AD5FC41AC3}" xr6:coauthVersionLast="47" xr6:coauthVersionMax="47" xr10:uidLastSave="{00000000-0000-0000-0000-000000000000}"/>
  <bookViews>
    <workbookView xWindow="1170" yWindow="1170" windowWidth="21600" windowHeight="12645" firstSheet="6" activeTab="10" xr2:uid="{00000000-000D-0000-FFFF-FFFF00000000}"/>
  </bookViews>
  <sheets>
    <sheet name="About" sheetId="1" r:id="rId1"/>
    <sheet name="Population by state" sheetId="2" r:id="rId2"/>
    <sheet name="solar PV" sheetId="3" r:id="rId3"/>
    <sheet name="solar thermal" sheetId="4" r:id="rId4"/>
    <sheet name="offshore wind" sheetId="5" r:id="rId5"/>
    <sheet name="onshore wind" sheetId="6" r:id="rId6"/>
    <sheet name="bio" sheetId="7" r:id="rId7"/>
    <sheet name="geothermal" sheetId="8" r:id="rId8"/>
    <sheet name="hydro" sheetId="9" r:id="rId9"/>
    <sheet name="Data" sheetId="10" r:id="rId10"/>
    <sheet name="MPCb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1" l="1"/>
  <c r="B22" i="11"/>
  <c r="B20" i="11"/>
  <c r="B19" i="11"/>
  <c r="B18" i="11"/>
  <c r="B13" i="11"/>
  <c r="B24" i="11" s="1"/>
  <c r="B12" i="11"/>
  <c r="B17" i="11" s="1"/>
  <c r="B5" i="11"/>
  <c r="B4" i="11"/>
  <c r="B25" i="11" s="1"/>
  <c r="B3" i="11"/>
  <c r="B2" i="11"/>
  <c r="B14" i="11" s="1"/>
  <c r="E36" i="10"/>
  <c r="E37" i="10" s="1"/>
  <c r="B23" i="10"/>
  <c r="B22" i="10"/>
  <c r="B21" i="10"/>
  <c r="B20" i="10"/>
  <c r="B19" i="10"/>
  <c r="B18" i="10"/>
  <c r="E9" i="10"/>
  <c r="B17" i="10" s="1"/>
  <c r="H98" i="9"/>
  <c r="F83" i="9"/>
  <c r="F82" i="9"/>
  <c r="B81" i="9"/>
  <c r="F81" i="9" s="1"/>
  <c r="B80" i="9"/>
  <c r="F80" i="9" s="1"/>
  <c r="H100" i="9" s="1"/>
  <c r="B79" i="9"/>
  <c r="F79" i="9" s="1"/>
  <c r="B78" i="9"/>
  <c r="F78" i="9" s="1"/>
  <c r="B77" i="9"/>
  <c r="F77" i="9" s="1"/>
  <c r="B76" i="9"/>
  <c r="F76" i="9" s="1"/>
  <c r="F75" i="9"/>
  <c r="H106" i="9" s="1"/>
  <c r="B75" i="9"/>
  <c r="F74" i="9"/>
  <c r="B74" i="9"/>
  <c r="F73" i="9"/>
  <c r="H86" i="9" s="1"/>
  <c r="B73" i="9"/>
  <c r="H72" i="9"/>
  <c r="B72" i="9"/>
  <c r="F72" i="9" s="1"/>
  <c r="F71" i="9"/>
  <c r="H76" i="9" s="1"/>
  <c r="F70" i="9"/>
  <c r="F69" i="9"/>
  <c r="F68" i="9"/>
  <c r="H112" i="9" s="1"/>
  <c r="C68" i="9"/>
  <c r="B68" i="9"/>
  <c r="F67" i="9"/>
  <c r="H96" i="9" s="1"/>
  <c r="C67" i="9"/>
  <c r="B67" i="9"/>
  <c r="C66" i="9"/>
  <c r="B66" i="9"/>
  <c r="F66" i="9" s="1"/>
  <c r="C65" i="9"/>
  <c r="B65" i="9"/>
  <c r="F65" i="9" s="1"/>
  <c r="H82" i="9" s="1"/>
  <c r="F4" i="9"/>
  <c r="C52" i="9" s="1"/>
  <c r="D52" i="9" s="1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2" i="8"/>
  <c r="C11" i="8"/>
  <c r="C10" i="8"/>
  <c r="C9" i="8"/>
  <c r="C8" i="8"/>
  <c r="C7" i="8"/>
  <c r="C6" i="8"/>
  <c r="C5" i="8"/>
  <c r="C4" i="8"/>
  <c r="C3" i="8"/>
  <c r="G4" i="7"/>
  <c r="C52" i="7" s="1"/>
  <c r="D52" i="7" s="1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A1" i="6"/>
  <c r="B1" i="6" s="1"/>
  <c r="C1" i="6" s="1"/>
  <c r="B7" i="11" s="1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A1" i="4"/>
  <c r="B1" i="4" s="1"/>
  <c r="B9" i="11" s="1"/>
  <c r="D53" i="3"/>
  <c r="C53" i="3"/>
  <c r="B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53" i="3" s="1"/>
  <c r="E7" i="3"/>
  <c r="E6" i="3"/>
  <c r="E5" i="3"/>
  <c r="E4" i="3"/>
  <c r="E3" i="3"/>
  <c r="A1" i="3"/>
  <c r="B1" i="3" s="1"/>
  <c r="B8" i="11" s="1"/>
  <c r="E56" i="2"/>
  <c r="D56" i="2"/>
  <c r="E55" i="2"/>
  <c r="D55" i="2"/>
  <c r="E54" i="2"/>
  <c r="D54" i="2"/>
  <c r="D53" i="2"/>
  <c r="E53" i="2" s="1"/>
  <c r="E52" i="2"/>
  <c r="D52" i="2"/>
  <c r="E51" i="2"/>
  <c r="D51" i="2"/>
  <c r="E50" i="2"/>
  <c r="D50" i="2"/>
  <c r="D49" i="2"/>
  <c r="E49" i="2" s="1"/>
  <c r="E48" i="2"/>
  <c r="D48" i="2"/>
  <c r="E47" i="2"/>
  <c r="D47" i="2"/>
  <c r="E46" i="2"/>
  <c r="D46" i="2"/>
  <c r="D45" i="2"/>
  <c r="E45" i="2" s="1"/>
  <c r="E44" i="2"/>
  <c r="D44" i="2"/>
  <c r="E43" i="2"/>
  <c r="D43" i="2"/>
  <c r="E42" i="2"/>
  <c r="D42" i="2"/>
  <c r="D41" i="2"/>
  <c r="E41" i="2" s="1"/>
  <c r="E40" i="2"/>
  <c r="D40" i="2"/>
  <c r="E39" i="2"/>
  <c r="D39" i="2"/>
  <c r="E38" i="2"/>
  <c r="D38" i="2"/>
  <c r="D37" i="2"/>
  <c r="E37" i="2" s="1"/>
  <c r="E36" i="2"/>
  <c r="D36" i="2"/>
  <c r="E35" i="2"/>
  <c r="D35" i="2"/>
  <c r="E34" i="2"/>
  <c r="D34" i="2"/>
  <c r="D33" i="2"/>
  <c r="E33" i="2" s="1"/>
  <c r="E32" i="2"/>
  <c r="D32" i="2"/>
  <c r="E31" i="2"/>
  <c r="D31" i="2"/>
  <c r="E30" i="2"/>
  <c r="D30" i="2"/>
  <c r="D29" i="2"/>
  <c r="E29" i="2" s="1"/>
  <c r="E28" i="2"/>
  <c r="D28" i="2"/>
  <c r="E27" i="2"/>
  <c r="D27" i="2"/>
  <c r="E26" i="2"/>
  <c r="D26" i="2"/>
  <c r="D25" i="2"/>
  <c r="E25" i="2" s="1"/>
  <c r="E24" i="2"/>
  <c r="D24" i="2"/>
  <c r="E23" i="2"/>
  <c r="D23" i="2"/>
  <c r="E22" i="2"/>
  <c r="D22" i="2"/>
  <c r="D21" i="2"/>
  <c r="E21" i="2" s="1"/>
  <c r="E20" i="2"/>
  <c r="D20" i="2"/>
  <c r="E19" i="2"/>
  <c r="D19" i="2"/>
  <c r="E18" i="2"/>
  <c r="D18" i="2"/>
  <c r="D17" i="2"/>
  <c r="E17" i="2" s="1"/>
  <c r="E16" i="2"/>
  <c r="D16" i="2"/>
  <c r="E15" i="2"/>
  <c r="D15" i="2"/>
  <c r="E14" i="2"/>
  <c r="D14" i="2"/>
  <c r="D13" i="2"/>
  <c r="E13" i="2" s="1"/>
  <c r="E12" i="2"/>
  <c r="D12" i="2"/>
  <c r="E11" i="2"/>
  <c r="D11" i="2"/>
  <c r="E10" i="2"/>
  <c r="D10" i="2"/>
  <c r="D9" i="2"/>
  <c r="E9" i="2" s="1"/>
  <c r="E8" i="2"/>
  <c r="D8" i="2"/>
  <c r="E7" i="2"/>
  <c r="D7" i="2"/>
  <c r="E6" i="2"/>
  <c r="D6" i="2"/>
  <c r="B2" i="1"/>
  <c r="A1" i="9" s="1"/>
  <c r="H71" i="9" l="1"/>
  <c r="H83" i="9"/>
  <c r="H93" i="9"/>
  <c r="H70" i="9"/>
  <c r="H109" i="9"/>
  <c r="H101" i="9"/>
  <c r="B1" i="9"/>
  <c r="B6" i="11" s="1"/>
  <c r="H66" i="9"/>
  <c r="H94" i="9"/>
  <c r="H91" i="9"/>
  <c r="H69" i="9"/>
  <c r="C29" i="7"/>
  <c r="D29" i="7" s="1"/>
  <c r="H85" i="9"/>
  <c r="C6" i="7"/>
  <c r="D6" i="7" s="1"/>
  <c r="C10" i="7"/>
  <c r="D10" i="7" s="1"/>
  <c r="C14" i="7"/>
  <c r="D14" i="7" s="1"/>
  <c r="C18" i="7"/>
  <c r="D18" i="7" s="1"/>
  <c r="C22" i="7"/>
  <c r="D22" i="7" s="1"/>
  <c r="C26" i="7"/>
  <c r="D26" i="7" s="1"/>
  <c r="C30" i="7"/>
  <c r="D30" i="7" s="1"/>
  <c r="C34" i="7"/>
  <c r="D34" i="7" s="1"/>
  <c r="C38" i="7"/>
  <c r="D38" i="7" s="1"/>
  <c r="C42" i="7"/>
  <c r="D42" i="7" s="1"/>
  <c r="C46" i="7"/>
  <c r="D46" i="7" s="1"/>
  <c r="C50" i="7"/>
  <c r="D50" i="7" s="1"/>
  <c r="A1" i="8"/>
  <c r="B1" i="8" s="1"/>
  <c r="B11" i="11" s="1"/>
  <c r="C6" i="9"/>
  <c r="D6" i="9" s="1"/>
  <c r="C10" i="9"/>
  <c r="D10" i="9" s="1"/>
  <c r="C14" i="9"/>
  <c r="D14" i="9" s="1"/>
  <c r="C18" i="9"/>
  <c r="D18" i="9" s="1"/>
  <c r="C22" i="9"/>
  <c r="D22" i="9" s="1"/>
  <c r="C26" i="9"/>
  <c r="D26" i="9" s="1"/>
  <c r="C30" i="9"/>
  <c r="D30" i="9" s="1"/>
  <c r="C34" i="9"/>
  <c r="D34" i="9" s="1"/>
  <c r="C38" i="9"/>
  <c r="D38" i="9" s="1"/>
  <c r="C42" i="9"/>
  <c r="D42" i="9" s="1"/>
  <c r="C46" i="9"/>
  <c r="D46" i="9" s="1"/>
  <c r="C50" i="9"/>
  <c r="D50" i="9" s="1"/>
  <c r="C54" i="9"/>
  <c r="D54" i="9" s="1"/>
  <c r="C9" i="7"/>
  <c r="D9" i="7" s="1"/>
  <c r="C53" i="7"/>
  <c r="D53" i="7" s="1"/>
  <c r="C9" i="9"/>
  <c r="D9" i="9" s="1"/>
  <c r="A1" i="7"/>
  <c r="C21" i="7"/>
  <c r="D21" i="7" s="1"/>
  <c r="C45" i="7"/>
  <c r="D45" i="7" s="1"/>
  <c r="C33" i="9"/>
  <c r="D33" i="9" s="1"/>
  <c r="A1" i="5"/>
  <c r="B1" i="5" s="1"/>
  <c r="B15" i="11" s="1"/>
  <c r="C7" i="7"/>
  <c r="D7" i="7" s="1"/>
  <c r="C11" i="7"/>
  <c r="D11" i="7" s="1"/>
  <c r="C15" i="7"/>
  <c r="D15" i="7" s="1"/>
  <c r="C19" i="7"/>
  <c r="D19" i="7" s="1"/>
  <c r="C23" i="7"/>
  <c r="D23" i="7" s="1"/>
  <c r="C27" i="7"/>
  <c r="D27" i="7" s="1"/>
  <c r="C31" i="7"/>
  <c r="D31" i="7" s="1"/>
  <c r="C35" i="7"/>
  <c r="D35" i="7" s="1"/>
  <c r="C39" i="7"/>
  <c r="D39" i="7" s="1"/>
  <c r="C43" i="7"/>
  <c r="D43" i="7" s="1"/>
  <c r="C47" i="7"/>
  <c r="D47" i="7" s="1"/>
  <c r="C51" i="7"/>
  <c r="D51" i="7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5" i="7"/>
  <c r="D5" i="7" s="1"/>
  <c r="C17" i="7"/>
  <c r="D17" i="7" s="1"/>
  <c r="C33" i="7"/>
  <c r="D33" i="7" s="1"/>
  <c r="C41" i="7"/>
  <c r="D41" i="7" s="1"/>
  <c r="C13" i="9"/>
  <c r="D13" i="9" s="1"/>
  <c r="C25" i="9"/>
  <c r="D25" i="9" s="1"/>
  <c r="C53" i="9"/>
  <c r="D53" i="9" s="1"/>
  <c r="C4" i="7"/>
  <c r="D4" i="7" s="1"/>
  <c r="B16" i="11"/>
  <c r="C13" i="7"/>
  <c r="D13" i="7" s="1"/>
  <c r="C25" i="7"/>
  <c r="D25" i="7" s="1"/>
  <c r="C37" i="7"/>
  <c r="D37" i="7" s="1"/>
  <c r="C49" i="7"/>
  <c r="D49" i="7" s="1"/>
  <c r="C5" i="9"/>
  <c r="D5" i="9" s="1"/>
  <c r="C17" i="9"/>
  <c r="D17" i="9" s="1"/>
  <c r="C21" i="9"/>
  <c r="D21" i="9" s="1"/>
  <c r="C29" i="9"/>
  <c r="D29" i="9" s="1"/>
  <c r="C37" i="9"/>
  <c r="D37" i="9" s="1"/>
  <c r="C41" i="9"/>
  <c r="D41" i="9" s="1"/>
  <c r="C45" i="9"/>
  <c r="D45" i="9" s="1"/>
  <c r="C49" i="9"/>
  <c r="D49" i="9" s="1"/>
  <c r="C8" i="7"/>
  <c r="D8" i="7" s="1"/>
  <c r="C12" i="7"/>
  <c r="D12" i="7" s="1"/>
  <c r="C16" i="7"/>
  <c r="D16" i="7" s="1"/>
  <c r="C20" i="7"/>
  <c r="D20" i="7" s="1"/>
  <c r="C24" i="7"/>
  <c r="D24" i="7" s="1"/>
  <c r="C28" i="7"/>
  <c r="D28" i="7" s="1"/>
  <c r="C32" i="7"/>
  <c r="D32" i="7" s="1"/>
  <c r="C36" i="7"/>
  <c r="D36" i="7" s="1"/>
  <c r="C40" i="7"/>
  <c r="D40" i="7" s="1"/>
  <c r="C44" i="7"/>
  <c r="D44" i="7" s="1"/>
  <c r="C48" i="7"/>
  <c r="D48" i="7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B1" i="7" l="1"/>
  <c r="B10" i="11" s="1"/>
  <c r="B21" i="11" s="1"/>
</calcChain>
</file>

<file path=xl/sharedStrings.xml><?xml version="1.0" encoding="utf-8"?>
<sst xmlns="http://schemas.openxmlformats.org/spreadsheetml/2006/main" count="914" uniqueCount="279">
  <si>
    <t>MPCbS Max Potential Capacity by Source</t>
  </si>
  <si>
    <t>Colorado</t>
  </si>
  <si>
    <t>State</t>
  </si>
  <si>
    <t>Alabama</t>
  </si>
  <si>
    <t>AL</t>
  </si>
  <si>
    <t>Source:</t>
  </si>
  <si>
    <t>Solar, Wind, Biomass</t>
  </si>
  <si>
    <t>Alaska</t>
  </si>
  <si>
    <t>AK</t>
  </si>
  <si>
    <t>National Renewable Energy Laboratory</t>
  </si>
  <si>
    <t>Arizona</t>
  </si>
  <si>
    <t>AZ</t>
  </si>
  <si>
    <t>Arkansas</t>
  </si>
  <si>
    <t>AR</t>
  </si>
  <si>
    <t>U.S. Renewable Energy Technical Potentials: A GIS-Based Analysis</t>
  </si>
  <si>
    <t>California</t>
  </si>
  <si>
    <t>CA</t>
  </si>
  <si>
    <t>http://www.nrel.gov/docs/fy12osti/51946.pdf</t>
  </si>
  <si>
    <t>CO</t>
  </si>
  <si>
    <t>Page iv, Table ES-1</t>
  </si>
  <si>
    <t>Connecticut</t>
  </si>
  <si>
    <t>CT</t>
  </si>
  <si>
    <t>Delaware</t>
  </si>
  <si>
    <t>DE</t>
  </si>
  <si>
    <t>Hydropower</t>
  </si>
  <si>
    <t>Florida</t>
  </si>
  <si>
    <t>FL</t>
  </si>
  <si>
    <t>US Department of Energy</t>
  </si>
  <si>
    <t>Georgia</t>
  </si>
  <si>
    <t>GA</t>
  </si>
  <si>
    <t>Hawaii</t>
  </si>
  <si>
    <t>HI</t>
  </si>
  <si>
    <t>Chapter 3: Assessment of National Hydropower Potential</t>
  </si>
  <si>
    <t>Idaho</t>
  </si>
  <si>
    <t>ID</t>
  </si>
  <si>
    <t>https://energy.gov/sites/prod/files/2016/10/f33/Hydropower-Vision-Chapter-3-10212016.pdf</t>
  </si>
  <si>
    <t>Illinois</t>
  </si>
  <si>
    <t>IL</t>
  </si>
  <si>
    <t>Figures O3-3 and O3-8</t>
  </si>
  <si>
    <t>Indiana</t>
  </si>
  <si>
    <t>IN</t>
  </si>
  <si>
    <t>Iowa</t>
  </si>
  <si>
    <t>IA</t>
  </si>
  <si>
    <t>Municipal Solid Waste</t>
  </si>
  <si>
    <t>Kansas</t>
  </si>
  <si>
    <t>KS</t>
  </si>
  <si>
    <t>U.S. Environmental Protection Agency</t>
  </si>
  <si>
    <t>Kentucky</t>
  </si>
  <si>
    <t>KY</t>
  </si>
  <si>
    <t>Louisiana</t>
  </si>
  <si>
    <t>LA</t>
  </si>
  <si>
    <t>National Overview: Facts and Figures on Materials, Wastes and Recycling</t>
  </si>
  <si>
    <t>Maine</t>
  </si>
  <si>
    <t>ME</t>
  </si>
  <si>
    <t>https://www.epa.gov/facts-and-figures-about-materials-waste-and-recycling/national-overview-facts-and-figures-materials</t>
  </si>
  <si>
    <t>Maryland</t>
  </si>
  <si>
    <t>MD</t>
  </si>
  <si>
    <t>Massachusetts</t>
  </si>
  <si>
    <t>MA</t>
  </si>
  <si>
    <t>We also use start year MSW capacity from elec/SYC</t>
  </si>
  <si>
    <t>Michigan</t>
  </si>
  <si>
    <t>MI</t>
  </si>
  <si>
    <t>Minnesota</t>
  </si>
  <si>
    <t>MN</t>
  </si>
  <si>
    <t>Notes:</t>
  </si>
  <si>
    <t>Mississippi</t>
  </si>
  <si>
    <t>MS</t>
  </si>
  <si>
    <t>These maximums reflect the available resource potential for hydro, wind, solar, and biomass power.</t>
  </si>
  <si>
    <t>Missouri</t>
  </si>
  <si>
    <t>MO</t>
  </si>
  <si>
    <t>Maximums for fossil fuels and nuclear are not imposed, as these power types are unlikely to</t>
  </si>
  <si>
    <t>Montana</t>
  </si>
  <si>
    <t>MT</t>
  </si>
  <si>
    <t>be geographically resource-constrained. (An arbitrarily high number is chosen here, to ensure</t>
  </si>
  <si>
    <t>Nebraska</t>
  </si>
  <si>
    <t>NE</t>
  </si>
  <si>
    <t>this limit doesn't come into play for these electricity sources.)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</si>
  <si>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</si>
  <si>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</si>
  <si>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</si>
  <si>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</si>
  <si>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</si>
  <si>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</si>
  <si>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</si>
  <si>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</si>
  <si>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</si>
  <si>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</si>
  <si>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</si>
  <si>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</si>
  <si>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</si>
  <si>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</si>
  <si>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</si>
  <si>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</si>
  <si>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</si>
  <si>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</si>
  <si>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</si>
  <si>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</si>
  <si>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</si>
  <si>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</si>
  <si>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</si>
  <si>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</si>
  <si>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</si>
  <si>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</si>
  <si>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</si>
  <si>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</si>
  <si>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</si>
  <si>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</si>
  <si>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</si>
  <si>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</si>
  <si>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</si>
  <si>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</si>
  <si>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</si>
  <si>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</si>
  <si>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</si>
  <si>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</si>
  <si>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</si>
  <si>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</si>
  <si>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</si>
  <si>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</si>
  <si>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</si>
  <si>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</si>
  <si>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</si>
  <si>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</si>
  <si>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</si>
  <si>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</si>
  <si>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</si>
  <si>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</si>
  <si>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</si>
  <si>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</si>
  <si>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</si>
  <si>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</si>
  <si>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</si>
  <si>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</si>
  <si>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</si>
  <si>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</si>
  <si>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</si>
  <si>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</si>
  <si>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</si>
  <si>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</si>
  <si>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</si>
  <si>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</si>
  <si>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</si>
  <si>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</si>
  <si>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</si>
  <si>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</si>
  <si>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</si>
  <si>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</si>
  <si>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</si>
  <si>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</si>
  <si>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</si>
  <si>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</si>
  <si>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</si>
  <si>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</si>
  <si>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</si>
  <si>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</si>
  <si>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</si>
  <si>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</si>
  <si>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</si>
  <si>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</si>
  <si>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</si>
  <si>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</si>
  <si>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</si>
  <si>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</si>
  <si>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</si>
  <si>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</si>
  <si>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</si>
  <si>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</si>
  <si>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</si>
  <si>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</si>
  <si>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</si>
  <si>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</si>
  <si>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</si>
  <si>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</si>
  <si>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</si>
  <si>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</si>
  <si>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</si>
  <si>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</si>
  <si>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</si>
  <si>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</si>
  <si>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</si>
  <si>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</si>
  <si>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</si>
  <si>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</si>
  <si>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</si>
  <si>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</si>
  <si>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</si>
  <si>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</si>
  <si>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</si>
  <si>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</si>
  <si>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</si>
  <si>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</si>
  <si>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</si>
  <si>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</si>
  <si>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</si>
  <si>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</si>
  <si>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</si>
  <si>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</si>
  <si>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</si>
  <si>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</si>
  <si>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</si>
  <si>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</si>
  <si>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</si>
  <si>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</si>
  <si>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</si>
  <si>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</si>
  <si>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</si>
  <si>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</si>
  <si>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</si>
  <si>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</si>
  <si>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</si>
  <si>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</si>
  <si>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</si>
  <si>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</si>
  <si>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</si>
  <si>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</si>
  <si>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</si>
  <si>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</si>
  <si>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</si>
  <si>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Table ES-1 from NREL</t>
  </si>
  <si>
    <t>Technology</t>
  </si>
  <si>
    <t>Potential Capacity (GW)</t>
  </si>
  <si>
    <t>Hydro</t>
  </si>
  <si>
    <t>Capacity (GW)</t>
  </si>
  <si>
    <t>Urban utility-scale PV</t>
  </si>
  <si>
    <t>Existing Fleet</t>
  </si>
  <si>
    <t>See Figure O3-8</t>
  </si>
  <si>
    <t>Rural utility-scale PV</t>
  </si>
  <si>
    <t>Modeled Potential - Upgrades and optimization of Existing Hydropower Plants</t>
  </si>
  <si>
    <t>See Table O3-3</t>
  </si>
  <si>
    <t>Rooftop PV</t>
  </si>
  <si>
    <t>Technical Potential - Powering of Non-Powered Dams</t>
  </si>
  <si>
    <t>Concentrating Solar</t>
  </si>
  <si>
    <t>Technical Potential - Powering Existing Canals and Conduits</t>
  </si>
  <si>
    <t>Onshore wind</t>
  </si>
  <si>
    <t>Technical Potential - New Stream-Reach Development</t>
  </si>
  <si>
    <t>Offshore wind</t>
  </si>
  <si>
    <t>Biopower</t>
  </si>
  <si>
    <t>Total Potential</t>
  </si>
  <si>
    <t>Hydrothermal power systems</t>
  </si>
  <si>
    <t>Enhanced geothermal systems</t>
  </si>
  <si>
    <t>The max potential hydropower estimate here is substantially lower than</t>
  </si>
  <si>
    <t>the actual deployed hydropower in the model's start year.  It is likely that</t>
  </si>
  <si>
    <t>Red = not used in model</t>
  </si>
  <si>
    <t>this hydropower statistics is wrong, or is referring to a subset of total</t>
  </si>
  <si>
    <t>hydropower.  Accordingly, we use a different, better source for</t>
  </si>
  <si>
    <t>Electricity Source (model subscript)</t>
  </si>
  <si>
    <t>Potential Capacity (MW)</t>
  </si>
  <si>
    <t>hydropower potential (above).</t>
  </si>
  <si>
    <t>hydro</t>
  </si>
  <si>
    <t>onshore wind</t>
  </si>
  <si>
    <t>solar PV</t>
  </si>
  <si>
    <t>solar thermal</t>
  </si>
  <si>
    <t>Start Year Capacity (MW)</t>
  </si>
  <si>
    <t>biomass</t>
  </si>
  <si>
    <t>geothermal</t>
  </si>
  <si>
    <t>offshore wind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</si>
  <si>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</si>
  <si>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</si>
  <si>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</si>
  <si>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</si>
  <si>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Electricity Source</t>
  </si>
  <si>
    <t>Max Potential Capacity (MW)</t>
  </si>
  <si>
    <t>hard coal</t>
  </si>
  <si>
    <t>natural gas steam turbine</t>
  </si>
  <si>
    <t>natural gas combined cycle</t>
  </si>
  <si>
    <t>nuclear</t>
  </si>
  <si>
    <t>petroleum</t>
  </si>
  <si>
    <t>natural gas peaker</t>
  </si>
  <si>
    <t>lignite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</si>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</sst>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/>
    <xf numFmtId="0" fontId="4" fillId="0" borderId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4" xfId="3" applyFont="1" applyBorder="1" applyAlignment="1">
      <alignment vertical="center"/>
    </xf>
    <xf numFmtId="0" fontId="20" fillId="0" borderId="5" xfId="3" applyFont="1" applyBorder="1" applyAlignment="1">
      <alignment horizontal="center" vertical="center"/>
    </xf>
    <xf numFmtId="0" fontId="21" fillId="0" borderId="4" xfId="3" applyFont="1" applyBorder="1" applyAlignment="1">
      <alignment horizontal="center" vertical="center"/>
    </xf>
    <xf numFmtId="1" fontId="21" fillId="0" borderId="5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6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1" xfId="3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4">
    <cellStyle name="Hyperlink" xfId="2" builtinId="8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" sqref="B3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0</v>
      </c>
      <c r="B1" s="23" t="s">
        <v>1</v>
      </c>
      <c r="C1" s="24">
        <v>45194</v>
      </c>
      <c r="H1" s="25" t="s">
        <v>2</v>
      </c>
      <c r="I1" s="25" t="s">
        <v>2</v>
      </c>
    </row>
    <row r="2" spans="1:9" x14ac:dyDescent="0.25">
      <c r="B2" s="26" t="str">
        <f>LOOKUP(B1,H2:I51,I2:I51)</f>
        <v>CO</v>
      </c>
      <c r="H2" s="27" t="s">
        <v>3</v>
      </c>
      <c r="I2" s="27" t="s">
        <v>4</v>
      </c>
    </row>
    <row r="3" spans="1:9" x14ac:dyDescent="0.25">
      <c r="A3" s="1" t="s">
        <v>5</v>
      </c>
      <c r="B3" s="2" t="s">
        <v>6</v>
      </c>
      <c r="H3" s="27" t="s">
        <v>7</v>
      </c>
      <c r="I3" s="27" t="s">
        <v>8</v>
      </c>
    </row>
    <row r="4" spans="1:9" x14ac:dyDescent="0.25">
      <c r="B4" t="s">
        <v>9</v>
      </c>
      <c r="H4" s="27" t="s">
        <v>10</v>
      </c>
      <c r="I4" s="27" t="s">
        <v>11</v>
      </c>
    </row>
    <row r="5" spans="1:9" x14ac:dyDescent="0.25">
      <c r="B5" s="4">
        <v>2012</v>
      </c>
      <c r="H5" s="27" t="s">
        <v>12</v>
      </c>
      <c r="I5" s="27" t="s">
        <v>13</v>
      </c>
    </row>
    <row r="6" spans="1:9" x14ac:dyDescent="0.25">
      <c r="B6" t="s">
        <v>14</v>
      </c>
      <c r="H6" s="27" t="s">
        <v>15</v>
      </c>
      <c r="I6" s="27" t="s">
        <v>16</v>
      </c>
    </row>
    <row r="7" spans="1:9" x14ac:dyDescent="0.25">
      <c r="B7" s="5" t="s">
        <v>17</v>
      </c>
      <c r="H7" s="27" t="s">
        <v>1</v>
      </c>
      <c r="I7" s="27" t="s">
        <v>18</v>
      </c>
    </row>
    <row r="8" spans="1:9" x14ac:dyDescent="0.25">
      <c r="B8" t="s">
        <v>19</v>
      </c>
      <c r="H8" s="27" t="s">
        <v>20</v>
      </c>
      <c r="I8" s="27" t="s">
        <v>21</v>
      </c>
    </row>
    <row r="9" spans="1:9" x14ac:dyDescent="0.25">
      <c r="H9" s="27" t="s">
        <v>22</v>
      </c>
      <c r="I9" s="27" t="s">
        <v>23</v>
      </c>
    </row>
    <row r="10" spans="1:9" x14ac:dyDescent="0.25">
      <c r="B10" s="3" t="s">
        <v>24</v>
      </c>
      <c r="H10" s="27" t="s">
        <v>25</v>
      </c>
      <c r="I10" s="27" t="s">
        <v>26</v>
      </c>
    </row>
    <row r="11" spans="1:9" x14ac:dyDescent="0.25">
      <c r="B11" t="s">
        <v>27</v>
      </c>
      <c r="H11" s="27" t="s">
        <v>28</v>
      </c>
      <c r="I11" s="27" t="s">
        <v>29</v>
      </c>
    </row>
    <row r="12" spans="1:9" x14ac:dyDescent="0.25">
      <c r="B12" s="4">
        <v>2016</v>
      </c>
      <c r="H12" s="27" t="s">
        <v>30</v>
      </c>
      <c r="I12" s="27" t="s">
        <v>31</v>
      </c>
    </row>
    <row r="13" spans="1:9" x14ac:dyDescent="0.25">
      <c r="B13" t="s">
        <v>32</v>
      </c>
      <c r="H13" s="27" t="s">
        <v>33</v>
      </c>
      <c r="I13" s="27" t="s">
        <v>34</v>
      </c>
    </row>
    <row r="14" spans="1:9" x14ac:dyDescent="0.25">
      <c r="B14" s="5" t="s">
        <v>35</v>
      </c>
      <c r="H14" s="27" t="s">
        <v>36</v>
      </c>
      <c r="I14" s="27" t="s">
        <v>37</v>
      </c>
    </row>
    <row r="15" spans="1:9" x14ac:dyDescent="0.25">
      <c r="B15" t="s">
        <v>38</v>
      </c>
      <c r="H15" s="27" t="s">
        <v>39</v>
      </c>
      <c r="I15" s="27" t="s">
        <v>40</v>
      </c>
    </row>
    <row r="16" spans="1:9" x14ac:dyDescent="0.25">
      <c r="H16" s="27" t="s">
        <v>41</v>
      </c>
      <c r="I16" s="27" t="s">
        <v>42</v>
      </c>
    </row>
    <row r="17" spans="1:9" x14ac:dyDescent="0.25">
      <c r="B17" s="2" t="s">
        <v>43</v>
      </c>
      <c r="H17" s="27" t="s">
        <v>44</v>
      </c>
      <c r="I17" s="27" t="s">
        <v>45</v>
      </c>
    </row>
    <row r="18" spans="1:9" x14ac:dyDescent="0.25">
      <c r="B18" t="s">
        <v>46</v>
      </c>
      <c r="H18" s="27" t="s">
        <v>47</v>
      </c>
      <c r="I18" s="27" t="s">
        <v>48</v>
      </c>
    </row>
    <row r="19" spans="1:9" x14ac:dyDescent="0.25">
      <c r="B19" s="4">
        <v>2016</v>
      </c>
      <c r="H19" s="27" t="s">
        <v>49</v>
      </c>
      <c r="I19" s="27" t="s">
        <v>50</v>
      </c>
    </row>
    <row r="20" spans="1:9" x14ac:dyDescent="0.25">
      <c r="B20" t="s">
        <v>51</v>
      </c>
      <c r="H20" s="27" t="s">
        <v>52</v>
      </c>
      <c r="I20" s="27" t="s">
        <v>53</v>
      </c>
    </row>
    <row r="21" spans="1:9" x14ac:dyDescent="0.25">
      <c r="B21" s="5" t="s">
        <v>54</v>
      </c>
      <c r="H21" s="27" t="s">
        <v>55</v>
      </c>
      <c r="I21" s="27" t="s">
        <v>56</v>
      </c>
    </row>
    <row r="22" spans="1:9" x14ac:dyDescent="0.25">
      <c r="H22" s="27" t="s">
        <v>57</v>
      </c>
      <c r="I22" s="27" t="s">
        <v>58</v>
      </c>
    </row>
    <row r="23" spans="1:9" x14ac:dyDescent="0.25">
      <c r="B23" s="19" t="s">
        <v>59</v>
      </c>
      <c r="H23" s="27" t="s">
        <v>60</v>
      </c>
      <c r="I23" s="27" t="s">
        <v>61</v>
      </c>
    </row>
    <row r="24" spans="1:9" x14ac:dyDescent="0.25">
      <c r="H24" s="27" t="s">
        <v>62</v>
      </c>
      <c r="I24" s="27" t="s">
        <v>63</v>
      </c>
    </row>
    <row r="25" spans="1:9" x14ac:dyDescent="0.25">
      <c r="A25" s="1" t="s">
        <v>64</v>
      </c>
      <c r="H25" s="27" t="s">
        <v>65</v>
      </c>
      <c r="I25" s="27" t="s">
        <v>66</v>
      </c>
    </row>
    <row r="26" spans="1:9" x14ac:dyDescent="0.25">
      <c r="A26" t="s">
        <v>67</v>
      </c>
      <c r="H26" s="27" t="s">
        <v>68</v>
      </c>
      <c r="I26" s="27" t="s">
        <v>69</v>
      </c>
    </row>
    <row r="27" spans="1:9" x14ac:dyDescent="0.25">
      <c r="A27" t="s">
        <v>70</v>
      </c>
      <c r="H27" s="27" t="s">
        <v>71</v>
      </c>
      <c r="I27" s="27" t="s">
        <v>72</v>
      </c>
    </row>
    <row r="28" spans="1:9" x14ac:dyDescent="0.25">
      <c r="A28" t="s">
        <v>73</v>
      </c>
      <c r="H28" s="27" t="s">
        <v>74</v>
      </c>
      <c r="I28" s="27" t="s">
        <v>75</v>
      </c>
    </row>
    <row r="29" spans="1:9" x14ac:dyDescent="0.25">
      <c r="A29" t="s">
        <v>76</v>
      </c>
      <c r="H29" s="27" t="s">
        <v>77</v>
      </c>
      <c r="I29" s="27" t="s">
        <v>78</v>
      </c>
    </row>
    <row r="30" spans="1:9" x14ac:dyDescent="0.25">
      <c r="H30" s="27" t="s">
        <v>79</v>
      </c>
      <c r="I30" s="27" t="s">
        <v>80</v>
      </c>
    </row>
    <row r="31" spans="1:9" x14ac:dyDescent="0.25">
      <c r="H31" s="27" t="s">
        <v>81</v>
      </c>
      <c r="I31" s="27" t="s">
        <v>82</v>
      </c>
    </row>
    <row r="32" spans="1:9" x14ac:dyDescent="0.25">
      <c r="H32" s="27" t="s">
        <v>83</v>
      </c>
      <c r="I32" s="27" t="s">
        <v>84</v>
      </c>
    </row>
    <row r="33" spans="8:9" x14ac:dyDescent="0.25">
      <c r="H33" s="27" t="s">
        <v>85</v>
      </c>
      <c r="I33" s="27" t="s">
        <v>86</v>
      </c>
    </row>
    <row r="34" spans="8:9" x14ac:dyDescent="0.25">
      <c r="H34" s="27" t="s">
        <v>87</v>
      </c>
      <c r="I34" s="27" t="s">
        <v>88</v>
      </c>
    </row>
    <row r="35" spans="8:9" x14ac:dyDescent="0.25">
      <c r="H35" s="27" t="s">
        <v>89</v>
      </c>
      <c r="I35" s="27" t="s">
        <v>90</v>
      </c>
    </row>
    <row r="36" spans="8:9" x14ac:dyDescent="0.25">
      <c r="H36" s="27" t="s">
        <v>91</v>
      </c>
      <c r="I36" s="27" t="s">
        <v>92</v>
      </c>
    </row>
    <row r="37" spans="8:9" x14ac:dyDescent="0.25">
      <c r="H37" s="27" t="s">
        <v>93</v>
      </c>
      <c r="I37" s="27" t="s">
        <v>94</v>
      </c>
    </row>
    <row r="38" spans="8:9" x14ac:dyDescent="0.25">
      <c r="H38" s="27" t="s">
        <v>95</v>
      </c>
      <c r="I38" s="27" t="s">
        <v>96</v>
      </c>
    </row>
    <row r="39" spans="8:9" x14ac:dyDescent="0.25">
      <c r="H39" s="27" t="s">
        <v>97</v>
      </c>
      <c r="I39" s="27" t="s">
        <v>98</v>
      </c>
    </row>
    <row r="40" spans="8:9" x14ac:dyDescent="0.25">
      <c r="H40" s="27" t="s">
        <v>99</v>
      </c>
      <c r="I40" s="27" t="s">
        <v>100</v>
      </c>
    </row>
    <row r="41" spans="8:9" x14ac:dyDescent="0.25">
      <c r="H41" s="27" t="s">
        <v>101</v>
      </c>
      <c r="I41" s="27" t="s">
        <v>102</v>
      </c>
    </row>
    <row r="42" spans="8:9" x14ac:dyDescent="0.25">
      <c r="H42" s="27" t="s">
        <v>103</v>
      </c>
      <c r="I42" s="27" t="s">
        <v>104</v>
      </c>
    </row>
    <row r="43" spans="8:9" x14ac:dyDescent="0.25">
      <c r="H43" s="27" t="s">
        <v>105</v>
      </c>
      <c r="I43" s="27" t="s">
        <v>106</v>
      </c>
    </row>
    <row r="44" spans="8:9" x14ac:dyDescent="0.25">
      <c r="H44" s="27" t="s">
        <v>107</v>
      </c>
      <c r="I44" s="27" t="s">
        <v>108</v>
      </c>
    </row>
    <row r="45" spans="8:9" x14ac:dyDescent="0.25">
      <c r="H45" s="27" t="s">
        <v>109</v>
      </c>
      <c r="I45" s="27" t="s">
        <v>110</v>
      </c>
    </row>
    <row r="46" spans="8:9" x14ac:dyDescent="0.25">
      <c r="H46" s="27" t="s">
        <v>111</v>
      </c>
      <c r="I46" s="27" t="s">
        <v>112</v>
      </c>
    </row>
    <row r="47" spans="8:9" x14ac:dyDescent="0.25">
      <c r="H47" s="27" t="s">
        <v>113</v>
      </c>
      <c r="I47" s="27" t="s">
        <v>114</v>
      </c>
    </row>
    <row r="48" spans="8:9" x14ac:dyDescent="0.25">
      <c r="H48" s="27" t="s">
        <v>115</v>
      </c>
      <c r="I48" s="27" t="s">
        <v>116</v>
      </c>
    </row>
    <row r="49" spans="8:9" x14ac:dyDescent="0.25">
      <c r="H49" s="27" t="s">
        <v>117</v>
      </c>
      <c r="I49" s="27" t="s">
        <v>118</v>
      </c>
    </row>
    <row r="50" spans="8:9" x14ac:dyDescent="0.25">
      <c r="H50" s="27" t="s">
        <v>119</v>
      </c>
      <c r="I50" s="27" t="s">
        <v>120</v>
      </c>
    </row>
    <row r="51" spans="8:9" x14ac:dyDescent="0.25">
      <c r="H51" s="27" t="s">
        <v>121</v>
      </c>
      <c r="I51" s="27" t="s">
        <v>122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218</v>
      </c>
    </row>
    <row r="2" spans="1:9" x14ac:dyDescent="0.25">
      <c r="A2" s="2" t="s">
        <v>219</v>
      </c>
      <c r="B2" s="7" t="s">
        <v>220</v>
      </c>
      <c r="D2" s="2" t="s">
        <v>221</v>
      </c>
      <c r="E2" s="2" t="s">
        <v>222</v>
      </c>
      <c r="F2" s="2" t="s">
        <v>132</v>
      </c>
    </row>
    <row r="3" spans="1:9" x14ac:dyDescent="0.25">
      <c r="A3" t="s">
        <v>223</v>
      </c>
      <c r="B3">
        <v>1200</v>
      </c>
      <c r="D3" t="s">
        <v>224</v>
      </c>
      <c r="E3" s="8">
        <v>101.2</v>
      </c>
      <c r="F3" t="s">
        <v>225</v>
      </c>
    </row>
    <row r="4" spans="1:9" x14ac:dyDescent="0.25">
      <c r="A4" t="s">
        <v>226</v>
      </c>
      <c r="B4">
        <v>153000</v>
      </c>
      <c r="D4" t="s">
        <v>227</v>
      </c>
      <c r="E4" s="8">
        <v>6.9</v>
      </c>
      <c r="F4" t="s">
        <v>228</v>
      </c>
    </row>
    <row r="5" spans="1:9" x14ac:dyDescent="0.25">
      <c r="A5" t="s">
        <v>229</v>
      </c>
      <c r="B5">
        <v>664</v>
      </c>
      <c r="D5" t="s">
        <v>230</v>
      </c>
      <c r="E5">
        <v>12</v>
      </c>
      <c r="F5" t="s">
        <v>228</v>
      </c>
    </row>
    <row r="6" spans="1:9" x14ac:dyDescent="0.25">
      <c r="A6" t="s">
        <v>231</v>
      </c>
      <c r="B6">
        <v>38000</v>
      </c>
      <c r="D6" s="6" t="s">
        <v>232</v>
      </c>
      <c r="E6" s="6">
        <v>2</v>
      </c>
      <c r="F6" t="s">
        <v>228</v>
      </c>
    </row>
    <row r="7" spans="1:9" x14ac:dyDescent="0.25">
      <c r="A7" t="s">
        <v>233</v>
      </c>
      <c r="B7">
        <v>11000</v>
      </c>
      <c r="D7" s="6" t="s">
        <v>234</v>
      </c>
      <c r="E7" s="6">
        <v>65.5</v>
      </c>
      <c r="F7" t="s">
        <v>228</v>
      </c>
    </row>
    <row r="8" spans="1:9" x14ac:dyDescent="0.25">
      <c r="A8" t="s">
        <v>235</v>
      </c>
      <c r="B8">
        <v>4200</v>
      </c>
      <c r="I8" s="8"/>
    </row>
    <row r="9" spans="1:9" x14ac:dyDescent="0.25">
      <c r="A9" t="s">
        <v>236</v>
      </c>
      <c r="B9">
        <v>62</v>
      </c>
      <c r="D9" s="1" t="s">
        <v>237</v>
      </c>
      <c r="E9" s="9">
        <f>SUM(E3:E7)</f>
        <v>187.60000000000002</v>
      </c>
    </row>
    <row r="10" spans="1:9" x14ac:dyDescent="0.25">
      <c r="A10" t="s">
        <v>238</v>
      </c>
      <c r="B10" s="10">
        <v>38</v>
      </c>
      <c r="E10" s="6"/>
    </row>
    <row r="11" spans="1:9" x14ac:dyDescent="0.25">
      <c r="A11" t="s">
        <v>239</v>
      </c>
      <c r="B11">
        <v>4000</v>
      </c>
      <c r="E11" s="6"/>
    </row>
    <row r="12" spans="1:9" x14ac:dyDescent="0.25">
      <c r="A12" t="s">
        <v>24</v>
      </c>
      <c r="B12" s="10">
        <v>60</v>
      </c>
      <c r="D12" t="s">
        <v>240</v>
      </c>
    </row>
    <row r="13" spans="1:9" x14ac:dyDescent="0.25">
      <c r="D13" t="s">
        <v>241</v>
      </c>
    </row>
    <row r="14" spans="1:9" x14ac:dyDescent="0.25">
      <c r="A14" s="10" t="s">
        <v>242</v>
      </c>
      <c r="D14" t="s">
        <v>243</v>
      </c>
    </row>
    <row r="15" spans="1:9" x14ac:dyDescent="0.25">
      <c r="D15" t="s">
        <v>244</v>
      </c>
    </row>
    <row r="16" spans="1:9" x14ac:dyDescent="0.25">
      <c r="A16" s="2" t="s">
        <v>245</v>
      </c>
      <c r="B16" s="2" t="s">
        <v>246</v>
      </c>
      <c r="D16" s="6" t="s">
        <v>247</v>
      </c>
    </row>
    <row r="17" spans="1:6" x14ac:dyDescent="0.25">
      <c r="A17" s="11" t="s">
        <v>248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249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250</v>
      </c>
      <c r="B19" s="11">
        <f>SUM(B3:B5)*1000</f>
        <v>154864000</v>
      </c>
      <c r="D19" s="2" t="s">
        <v>43</v>
      </c>
      <c r="E19" s="15"/>
      <c r="F19" s="2" t="s">
        <v>132</v>
      </c>
    </row>
    <row r="20" spans="1:6" x14ac:dyDescent="0.25">
      <c r="A20" s="11" t="s">
        <v>251</v>
      </c>
      <c r="B20" s="11">
        <f>B6*1000</f>
        <v>38000000</v>
      </c>
      <c r="D20" t="s">
        <v>252</v>
      </c>
      <c r="E20" s="14">
        <v>1820</v>
      </c>
      <c r="F20" s="17" t="s">
        <v>134</v>
      </c>
    </row>
    <row r="21" spans="1:6" x14ac:dyDescent="0.25">
      <c r="A21" s="11" t="s">
        <v>253</v>
      </c>
      <c r="B21" s="11">
        <f>B9*1000</f>
        <v>62000</v>
      </c>
    </row>
    <row r="22" spans="1:6" x14ac:dyDescent="0.25">
      <c r="A22" s="11" t="s">
        <v>254</v>
      </c>
      <c r="B22" s="11">
        <f>B11*1000</f>
        <v>4000000</v>
      </c>
      <c r="D22" s="1" t="s">
        <v>135</v>
      </c>
    </row>
    <row r="23" spans="1:6" x14ac:dyDescent="0.25">
      <c r="A23" s="11" t="s">
        <v>255</v>
      </c>
      <c r="B23" s="11">
        <f>B8*1000</f>
        <v>4200000</v>
      </c>
      <c r="D23" t="s">
        <v>136</v>
      </c>
      <c r="E23" s="8">
        <v>262.39999999999998</v>
      </c>
      <c r="F23" s="13" t="s">
        <v>137</v>
      </c>
    </row>
    <row r="24" spans="1:6" x14ac:dyDescent="0.25">
      <c r="D24" t="s">
        <v>138</v>
      </c>
      <c r="E24" s="16">
        <v>33.57</v>
      </c>
      <c r="F24" s="13" t="s">
        <v>137</v>
      </c>
    </row>
    <row r="25" spans="1:6" x14ac:dyDescent="0.25">
      <c r="A25" t="s">
        <v>256</v>
      </c>
      <c r="D25" t="s">
        <v>139</v>
      </c>
      <c r="E25">
        <v>67.8</v>
      </c>
      <c r="F25" s="13" t="s">
        <v>137</v>
      </c>
    </row>
    <row r="26" spans="1:6" x14ac:dyDescent="0.25">
      <c r="A26" t="s">
        <v>257</v>
      </c>
      <c r="D26" t="s">
        <v>140</v>
      </c>
      <c r="E26">
        <v>23.4</v>
      </c>
      <c r="F26" s="13" t="s">
        <v>137</v>
      </c>
    </row>
    <row r="27" spans="1:6" x14ac:dyDescent="0.25">
      <c r="A27" t="s">
        <v>258</v>
      </c>
      <c r="D27" t="s">
        <v>141</v>
      </c>
      <c r="E27">
        <v>137.69999999999999</v>
      </c>
      <c r="F27" s="13" t="s">
        <v>137</v>
      </c>
    </row>
    <row r="28" spans="1:6" x14ac:dyDescent="0.25">
      <c r="A28" t="s">
        <v>259</v>
      </c>
    </row>
    <row r="29" spans="1:6" x14ac:dyDescent="0.25">
      <c r="D29" t="s">
        <v>143</v>
      </c>
      <c r="E29" s="18">
        <v>0.83199999999999996</v>
      </c>
      <c r="F29" s="13" t="s">
        <v>137</v>
      </c>
    </row>
    <row r="30" spans="1:6" x14ac:dyDescent="0.25">
      <c r="D30" s="19" t="s">
        <v>144</v>
      </c>
    </row>
    <row r="32" spans="1:6" x14ac:dyDescent="0.25">
      <c r="D32" t="s">
        <v>145</v>
      </c>
    </row>
    <row r="33" spans="4:5" x14ac:dyDescent="0.25">
      <c r="D33" t="s">
        <v>146</v>
      </c>
    </row>
    <row r="34" spans="4:5" x14ac:dyDescent="0.25">
      <c r="D34" t="s">
        <v>147</v>
      </c>
    </row>
    <row r="36" spans="4:5" x14ac:dyDescent="0.25">
      <c r="D36" t="s">
        <v>148</v>
      </c>
      <c r="E36" s="20">
        <f>E27*E29/E24</f>
        <v>3.4127613941018762</v>
      </c>
    </row>
    <row r="37" spans="4:5" x14ac:dyDescent="0.25">
      <c r="D37" t="s">
        <v>129</v>
      </c>
      <c r="E37" s="21">
        <f>E20*(1+E36)</f>
        <v>8031.2257372654149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B25"/>
  <sheetViews>
    <sheetView tabSelected="1" workbookViewId="0">
      <selection activeCell="B1" sqref="B1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260</v>
      </c>
      <c r="B1" s="1" t="s">
        <v>261</v>
      </c>
    </row>
    <row r="2" spans="1:2" x14ac:dyDescent="0.25">
      <c r="A2" t="s">
        <v>262</v>
      </c>
      <c r="B2" s="14">
        <f>9*10^12</f>
        <v>9000000000000</v>
      </c>
    </row>
    <row r="3" spans="1:2" x14ac:dyDescent="0.25">
      <c r="A3" t="s">
        <v>263</v>
      </c>
      <c r="B3" s="14">
        <f>9*10^12</f>
        <v>9000000000000</v>
      </c>
    </row>
    <row r="4" spans="1:2" x14ac:dyDescent="0.25">
      <c r="A4" t="s">
        <v>264</v>
      </c>
      <c r="B4" s="14">
        <f>9*10^12</f>
        <v>9000000000000</v>
      </c>
    </row>
    <row r="5" spans="1:2" x14ac:dyDescent="0.25">
      <c r="A5" t="s">
        <v>265</v>
      </c>
      <c r="B5" s="14">
        <f>9*10^12</f>
        <v>9000000000000</v>
      </c>
    </row>
    <row r="6" spans="1:2" x14ac:dyDescent="0.25">
      <c r="A6" t="s">
        <v>248</v>
      </c>
      <c r="B6">
        <f>hydro!B1</f>
        <v>1778.3105022831051</v>
      </c>
    </row>
    <row r="7" spans="1:2" x14ac:dyDescent="0.25">
      <c r="A7" t="s">
        <v>249</v>
      </c>
      <c r="B7">
        <f>'onshore wind'!C1</f>
        <v>395377</v>
      </c>
    </row>
    <row r="8" spans="1:2" x14ac:dyDescent="0.25">
      <c r="A8" t="s">
        <v>250</v>
      </c>
      <c r="B8">
        <f>'solar PV'!B1</f>
        <v>4545000</v>
      </c>
    </row>
    <row r="9" spans="1:2" x14ac:dyDescent="0.25">
      <c r="A9" t="s">
        <v>251</v>
      </c>
      <c r="B9">
        <f>'solar thermal'!B1</f>
        <v>3098000</v>
      </c>
    </row>
    <row r="10" spans="1:2" x14ac:dyDescent="0.25">
      <c r="A10" t="s">
        <v>253</v>
      </c>
      <c r="B10">
        <f>bio!B1</f>
        <v>674.82061317677756</v>
      </c>
    </row>
    <row r="11" spans="1:2" x14ac:dyDescent="0.25">
      <c r="A11" t="s">
        <v>254</v>
      </c>
      <c r="B11">
        <f>geothermal!B1</f>
        <v>159000</v>
      </c>
    </row>
    <row r="12" spans="1:2" x14ac:dyDescent="0.25">
      <c r="A12" t="s">
        <v>266</v>
      </c>
      <c r="B12" s="14">
        <f>9*10^12</f>
        <v>9000000000000</v>
      </c>
    </row>
    <row r="13" spans="1:2" x14ac:dyDescent="0.25">
      <c r="A13" t="s">
        <v>267</v>
      </c>
      <c r="B13" s="14">
        <f>9*10^12</f>
        <v>9000000000000</v>
      </c>
    </row>
    <row r="14" spans="1:2" x14ac:dyDescent="0.25">
      <c r="A14" t="s">
        <v>268</v>
      </c>
      <c r="B14" s="14">
        <f>B2</f>
        <v>9000000000000</v>
      </c>
    </row>
    <row r="15" spans="1:2" x14ac:dyDescent="0.25">
      <c r="A15" t="s">
        <v>255</v>
      </c>
      <c r="B15">
        <f>'offshore wind'!B1</f>
        <v>0</v>
      </c>
    </row>
    <row r="16" spans="1:2" x14ac:dyDescent="0.25">
      <c r="A16" t="s">
        <v>269</v>
      </c>
      <c r="B16" s="14">
        <f>B12</f>
        <v>9000000000000</v>
      </c>
    </row>
    <row r="17" spans="1:2" x14ac:dyDescent="0.25">
      <c r="A17" t="s">
        <v>270</v>
      </c>
      <c r="B17" s="14">
        <f>B12</f>
        <v>9000000000000</v>
      </c>
    </row>
    <row r="18" spans="1:2" x14ac:dyDescent="0.25">
      <c r="A18" t="s">
        <v>271</v>
      </c>
      <c r="B18" s="14">
        <f>SUMIFS('Population by state'!E6:E56,'Population by state'!B6:B56,About!B1)</f>
        <v>141.12519823169657</v>
      </c>
    </row>
    <row r="19" spans="1:2" x14ac:dyDescent="0.25">
      <c r="A19" t="s">
        <v>272</v>
      </c>
      <c r="B19" s="14">
        <f>9*10^12</f>
        <v>9000000000000</v>
      </c>
    </row>
    <row r="20" spans="1:2" x14ac:dyDescent="0.25">
      <c r="A20" t="s">
        <v>273</v>
      </c>
      <c r="B20" s="14">
        <f>9*10^12</f>
        <v>9000000000000</v>
      </c>
    </row>
    <row r="21" spans="1:2" x14ac:dyDescent="0.25">
      <c r="A21" t="s">
        <v>274</v>
      </c>
      <c r="B21" s="14">
        <f>B10</f>
        <v>674.82061317677756</v>
      </c>
    </row>
    <row r="22" spans="1:2" x14ac:dyDescent="0.25">
      <c r="A22" t="s">
        <v>275</v>
      </c>
      <c r="B22" s="14">
        <f>9*10^12</f>
        <v>9000000000000</v>
      </c>
    </row>
    <row r="23" spans="1:2" x14ac:dyDescent="0.25">
      <c r="A23" t="s">
        <v>276</v>
      </c>
      <c r="B23" s="14">
        <f>9*10^12</f>
        <v>9000000000000</v>
      </c>
    </row>
    <row r="24" spans="1:2" x14ac:dyDescent="0.25">
      <c r="A24" s="22" t="s">
        <v>277</v>
      </c>
      <c r="B24" s="14">
        <f>B13</f>
        <v>9000000000000</v>
      </c>
    </row>
    <row r="25" spans="1:2" x14ac:dyDescent="0.25">
      <c r="A25" s="22" t="s">
        <v>278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 customWidth="1"/>
    <col min="8" max="8" width="42.85546875" style="28" customWidth="1"/>
    <col min="9" max="9" width="14.42578125" style="28" customWidth="1"/>
    <col min="10" max="10" width="23.85546875" style="28" customWidth="1"/>
    <col min="11" max="15" width="14.42578125" style="28" customWidth="1"/>
    <col min="16" max="16384" width="14.42578125" style="28"/>
  </cols>
  <sheetData>
    <row r="1" spans="1:10" ht="15" customHeight="1" x14ac:dyDescent="0.3">
      <c r="A1" s="76" t="s">
        <v>123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85" customHeight="1" x14ac:dyDescent="0.25">
      <c r="A2" s="77" t="s">
        <v>124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85" customHeight="1" x14ac:dyDescent="0.25">
      <c r="A3" s="78" t="s">
        <v>125</v>
      </c>
      <c r="B3" s="78" t="s">
        <v>126</v>
      </c>
      <c r="C3" s="79" t="s">
        <v>127</v>
      </c>
      <c r="D3" s="75"/>
      <c r="E3" s="75"/>
      <c r="F3" s="75"/>
      <c r="G3" s="29"/>
      <c r="H3" s="29"/>
      <c r="I3" s="29"/>
      <c r="J3" s="29"/>
    </row>
    <row r="4" spans="1:10" ht="14.85" customHeight="1" x14ac:dyDescent="0.25">
      <c r="A4" s="75"/>
      <c r="B4" s="75"/>
      <c r="C4" s="30">
        <v>2020</v>
      </c>
      <c r="D4" s="31" t="s">
        <v>128</v>
      </c>
      <c r="E4" s="32" t="s">
        <v>129</v>
      </c>
      <c r="F4" s="31"/>
      <c r="G4" s="29"/>
      <c r="H4" s="29"/>
      <c r="I4" s="29"/>
      <c r="J4" s="29"/>
    </row>
    <row r="5" spans="1:10" ht="14.85" customHeight="1" x14ac:dyDescent="0.25">
      <c r="A5" s="33"/>
      <c r="B5" s="34" t="s">
        <v>130</v>
      </c>
      <c r="C5" s="35">
        <v>332527548</v>
      </c>
      <c r="D5" s="36"/>
      <c r="F5" s="36"/>
      <c r="G5" s="29"/>
      <c r="H5" s="37" t="s">
        <v>131</v>
      </c>
      <c r="I5" s="37"/>
      <c r="J5" s="29" t="s">
        <v>132</v>
      </c>
    </row>
    <row r="6" spans="1:10" ht="14.85" customHeight="1" x14ac:dyDescent="0.25">
      <c r="A6" s="30">
        <v>1</v>
      </c>
      <c r="B6" s="29" t="s">
        <v>3</v>
      </c>
      <c r="C6" s="38">
        <v>4911278</v>
      </c>
      <c r="D6" s="39">
        <f t="shared" ref="D6:D37" si="0">C6/$C$5</f>
        <v>1.4769537229438807E-2</v>
      </c>
      <c r="E6" s="32">
        <f t="shared" ref="E6:E37" si="1">$I$23*D6</f>
        <v>118.61415348962306</v>
      </c>
      <c r="F6" s="40"/>
      <c r="G6" s="29"/>
      <c r="H6" s="29" t="s">
        <v>133</v>
      </c>
      <c r="I6" s="29">
        <v>1820</v>
      </c>
      <c r="J6" s="29" t="s">
        <v>134</v>
      </c>
    </row>
    <row r="7" spans="1:10" ht="14.85" customHeight="1" x14ac:dyDescent="0.25">
      <c r="A7" s="41">
        <v>2</v>
      </c>
      <c r="B7" s="33" t="s">
        <v>7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85" customHeight="1" x14ac:dyDescent="0.25">
      <c r="A8" s="30">
        <v>4</v>
      </c>
      <c r="B8" s="29" t="s">
        <v>10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135</v>
      </c>
      <c r="I8" s="29"/>
      <c r="J8" s="29"/>
    </row>
    <row r="9" spans="1:10" ht="14.85" customHeight="1" x14ac:dyDescent="0.25">
      <c r="A9" s="41">
        <v>5</v>
      </c>
      <c r="B9" s="33" t="s">
        <v>12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136</v>
      </c>
      <c r="I9" s="29">
        <v>262.39999999999998</v>
      </c>
      <c r="J9" s="29" t="s">
        <v>137</v>
      </c>
    </row>
    <row r="10" spans="1:10" ht="14.85" customHeight="1" x14ac:dyDescent="0.25">
      <c r="A10" s="30">
        <v>6</v>
      </c>
      <c r="B10" s="29" t="s">
        <v>15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138</v>
      </c>
      <c r="I10" s="29">
        <v>33.57</v>
      </c>
      <c r="J10" s="29" t="s">
        <v>137</v>
      </c>
    </row>
    <row r="11" spans="1:10" ht="14.85" customHeight="1" x14ac:dyDescent="0.25">
      <c r="A11" s="41">
        <v>8</v>
      </c>
      <c r="B11" s="33" t="s">
        <v>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139</v>
      </c>
      <c r="I11" s="29">
        <v>67.8</v>
      </c>
      <c r="J11" s="29" t="s">
        <v>137</v>
      </c>
    </row>
    <row r="12" spans="1:10" ht="14.85" customHeight="1" x14ac:dyDescent="0.25">
      <c r="A12" s="30">
        <v>9</v>
      </c>
      <c r="B12" s="29" t="s">
        <v>20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140</v>
      </c>
      <c r="I12" s="29">
        <v>23.4</v>
      </c>
      <c r="J12" s="29" t="s">
        <v>137</v>
      </c>
    </row>
    <row r="13" spans="1:10" ht="14.85" customHeight="1" x14ac:dyDescent="0.25">
      <c r="A13" s="41">
        <v>10</v>
      </c>
      <c r="B13" s="33" t="s">
        <v>22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141</v>
      </c>
      <c r="I13" s="29">
        <v>137.69999999999999</v>
      </c>
      <c r="J13" s="29" t="s">
        <v>137</v>
      </c>
    </row>
    <row r="14" spans="1:10" ht="14.85" customHeight="1" x14ac:dyDescent="0.25">
      <c r="A14" s="30">
        <v>11</v>
      </c>
      <c r="B14" s="29" t="s">
        <v>142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85" customHeight="1" x14ac:dyDescent="0.25">
      <c r="A15" s="41">
        <v>12</v>
      </c>
      <c r="B15" s="33" t="s">
        <v>25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143</v>
      </c>
      <c r="I15" s="43">
        <v>0.83199999999999996</v>
      </c>
      <c r="J15" s="29" t="s">
        <v>137</v>
      </c>
    </row>
    <row r="16" spans="1:10" ht="14.85" customHeight="1" x14ac:dyDescent="0.25">
      <c r="A16" s="30">
        <v>13</v>
      </c>
      <c r="B16" s="29" t="s">
        <v>28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144</v>
      </c>
      <c r="I16" s="29"/>
      <c r="J16" s="29"/>
    </row>
    <row r="17" spans="1:10" ht="14.85" customHeight="1" x14ac:dyDescent="0.25">
      <c r="A17" s="41">
        <v>15</v>
      </c>
      <c r="B17" s="33" t="s">
        <v>30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85" customHeight="1" x14ac:dyDescent="0.25">
      <c r="A18" s="30">
        <v>16</v>
      </c>
      <c r="B18" s="29" t="s">
        <v>33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145</v>
      </c>
      <c r="I18" s="29"/>
      <c r="J18" s="29"/>
    </row>
    <row r="19" spans="1:10" ht="14.85" customHeight="1" x14ac:dyDescent="0.25">
      <c r="A19" s="41">
        <v>17</v>
      </c>
      <c r="B19" s="33" t="s">
        <v>36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146</v>
      </c>
      <c r="I19" s="29"/>
      <c r="J19" s="29"/>
    </row>
    <row r="20" spans="1:10" ht="14.85" customHeight="1" x14ac:dyDescent="0.25">
      <c r="A20" s="30">
        <v>18</v>
      </c>
      <c r="B20" s="29" t="s">
        <v>39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147</v>
      </c>
      <c r="I20" s="29"/>
      <c r="J20" s="29"/>
    </row>
    <row r="21" spans="1:10" ht="14.85" customHeight="1" x14ac:dyDescent="0.25">
      <c r="A21" s="41">
        <v>19</v>
      </c>
      <c r="B21" s="33" t="s">
        <v>41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85" customHeight="1" x14ac:dyDescent="0.25">
      <c r="A22" s="30">
        <v>20</v>
      </c>
      <c r="B22" s="29" t="s">
        <v>44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148</v>
      </c>
      <c r="I22" s="44">
        <v>3.41</v>
      </c>
      <c r="J22" s="29"/>
    </row>
    <row r="23" spans="1:10" ht="14.85" customHeight="1" x14ac:dyDescent="0.25">
      <c r="A23" s="41">
        <v>21</v>
      </c>
      <c r="B23" s="33" t="s">
        <v>47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129</v>
      </c>
      <c r="I23" s="29">
        <v>8031</v>
      </c>
      <c r="J23" s="29"/>
    </row>
    <row r="24" spans="1:10" ht="14.85" customHeight="1" x14ac:dyDescent="0.25">
      <c r="A24" s="30">
        <v>22</v>
      </c>
      <c r="B24" s="29" t="s">
        <v>49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85" customHeight="1" x14ac:dyDescent="0.25">
      <c r="A25" s="41">
        <v>23</v>
      </c>
      <c r="B25" s="33" t="s">
        <v>52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85" customHeight="1" x14ac:dyDescent="0.25">
      <c r="A26" s="30">
        <v>24</v>
      </c>
      <c r="B26" s="29" t="s">
        <v>55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85" customHeight="1" x14ac:dyDescent="0.25">
      <c r="A27" s="41">
        <v>25</v>
      </c>
      <c r="B27" s="33" t="s">
        <v>57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85" customHeight="1" x14ac:dyDescent="0.25">
      <c r="A28" s="30">
        <v>26</v>
      </c>
      <c r="B28" s="29" t="s">
        <v>60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85" customHeight="1" x14ac:dyDescent="0.25">
      <c r="A29" s="41">
        <v>27</v>
      </c>
      <c r="B29" s="33" t="s">
        <v>62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85" customHeight="1" x14ac:dyDescent="0.25">
      <c r="A30" s="30">
        <v>28</v>
      </c>
      <c r="B30" s="29" t="s">
        <v>65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85" customHeight="1" x14ac:dyDescent="0.25">
      <c r="A31" s="41">
        <v>29</v>
      </c>
      <c r="B31" s="33" t="s">
        <v>68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85" customHeight="1" x14ac:dyDescent="0.25">
      <c r="A32" s="30">
        <v>30</v>
      </c>
      <c r="B32" s="29" t="s">
        <v>71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85" customHeight="1" x14ac:dyDescent="0.25">
      <c r="A33" s="41">
        <v>31</v>
      </c>
      <c r="B33" s="33" t="s">
        <v>74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85" customHeight="1" x14ac:dyDescent="0.25">
      <c r="A34" s="30">
        <v>32</v>
      </c>
      <c r="B34" s="29" t="s">
        <v>77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85" customHeight="1" x14ac:dyDescent="0.25">
      <c r="A35" s="41">
        <v>33</v>
      </c>
      <c r="B35" s="33" t="s">
        <v>79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85" customHeight="1" x14ac:dyDescent="0.25">
      <c r="A36" s="30">
        <v>34</v>
      </c>
      <c r="B36" s="29" t="s">
        <v>81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85" customHeight="1" x14ac:dyDescent="0.25">
      <c r="A37" s="41">
        <v>35</v>
      </c>
      <c r="B37" s="33" t="s">
        <v>83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85" customHeight="1" x14ac:dyDescent="0.25">
      <c r="A38" s="30">
        <v>36</v>
      </c>
      <c r="B38" s="29" t="s">
        <v>85</v>
      </c>
      <c r="C38" s="38">
        <v>20031150</v>
      </c>
      <c r="D38" s="39">
        <f t="shared" ref="D38:D69" si="2">C38/$C$5</f>
        <v>6.023906927554766E-2</v>
      </c>
      <c r="E38" s="32">
        <f t="shared" ref="E38:E69" si="3">$I$23*D38</f>
        <v>483.77996535192324</v>
      </c>
      <c r="F38" s="40"/>
      <c r="G38" s="29"/>
      <c r="H38" s="29"/>
      <c r="I38" s="29"/>
      <c r="J38" s="29"/>
    </row>
    <row r="39" spans="1:10" ht="14.85" customHeight="1" x14ac:dyDescent="0.25">
      <c r="A39" s="41">
        <v>37</v>
      </c>
      <c r="B39" s="33" t="s">
        <v>87</v>
      </c>
      <c r="C39" s="42">
        <v>10568033</v>
      </c>
      <c r="D39" s="39">
        <f t="shared" si="2"/>
        <v>3.1780924809273248E-2</v>
      </c>
      <c r="E39" s="32">
        <f t="shared" si="3"/>
        <v>255.23260714327344</v>
      </c>
      <c r="F39" s="40"/>
      <c r="G39" s="29"/>
      <c r="H39" s="29"/>
      <c r="I39" s="29"/>
      <c r="J39" s="29"/>
    </row>
    <row r="40" spans="1:10" ht="14.85" customHeight="1" x14ac:dyDescent="0.25">
      <c r="A40" s="30">
        <v>38</v>
      </c>
      <c r="B40" s="29" t="s">
        <v>89</v>
      </c>
      <c r="C40" s="38">
        <v>789403</v>
      </c>
      <c r="D40" s="39">
        <f t="shared" si="2"/>
        <v>2.3739476766598596E-3</v>
      </c>
      <c r="E40" s="32">
        <f t="shared" si="3"/>
        <v>19.065173791255333</v>
      </c>
      <c r="F40" s="40"/>
      <c r="G40" s="29"/>
      <c r="H40" s="29"/>
      <c r="I40" s="29"/>
      <c r="J40" s="29"/>
    </row>
    <row r="41" spans="1:10" ht="14.85" customHeight="1" x14ac:dyDescent="0.25">
      <c r="A41" s="41">
        <v>39</v>
      </c>
      <c r="B41" s="33" t="s">
        <v>91</v>
      </c>
      <c r="C41" s="42">
        <v>11705262</v>
      </c>
      <c r="D41" s="39">
        <f t="shared" si="2"/>
        <v>3.5200879056191757E-2</v>
      </c>
      <c r="E41" s="32">
        <f t="shared" si="3"/>
        <v>282.69825970027603</v>
      </c>
      <c r="F41" s="40"/>
      <c r="G41" s="29"/>
      <c r="H41" s="29"/>
      <c r="I41" s="29"/>
      <c r="J41" s="29"/>
    </row>
    <row r="42" spans="1:10" ht="14.85" customHeight="1" x14ac:dyDescent="0.25">
      <c r="A42" s="30">
        <v>40</v>
      </c>
      <c r="B42" s="29" t="s">
        <v>93</v>
      </c>
      <c r="C42" s="38">
        <v>4001180</v>
      </c>
      <c r="D42" s="39">
        <f t="shared" si="2"/>
        <v>1.2032627143420911E-2</v>
      </c>
      <c r="E42" s="32">
        <f t="shared" si="3"/>
        <v>96.634028588813337</v>
      </c>
      <c r="F42" s="40"/>
      <c r="G42" s="29"/>
      <c r="H42" s="29"/>
      <c r="I42" s="29"/>
      <c r="J42" s="29"/>
    </row>
    <row r="43" spans="1:10" ht="14.85" customHeight="1" x14ac:dyDescent="0.25">
      <c r="A43" s="41">
        <v>41</v>
      </c>
      <c r="B43" s="33" t="s">
        <v>95</v>
      </c>
      <c r="C43" s="42">
        <v>4267534</v>
      </c>
      <c r="D43" s="39">
        <f t="shared" si="2"/>
        <v>1.2833625441462673E-2</v>
      </c>
      <c r="E43" s="32">
        <f t="shared" si="3"/>
        <v>103.06684592038673</v>
      </c>
      <c r="F43" s="40"/>
      <c r="G43" s="29"/>
      <c r="H43" s="29"/>
      <c r="I43" s="29"/>
      <c r="J43" s="29"/>
    </row>
    <row r="44" spans="1:10" ht="14.85" customHeight="1" x14ac:dyDescent="0.25">
      <c r="A44" s="30">
        <v>42</v>
      </c>
      <c r="B44" s="29" t="s">
        <v>97</v>
      </c>
      <c r="C44" s="38">
        <v>12844885</v>
      </c>
      <c r="D44" s="39">
        <f t="shared" si="2"/>
        <v>3.8628032706631572E-2</v>
      </c>
      <c r="E44" s="32">
        <f t="shared" si="3"/>
        <v>310.22173066695814</v>
      </c>
      <c r="F44" s="40"/>
      <c r="G44" s="29"/>
      <c r="H44" s="29"/>
      <c r="I44" s="29"/>
      <c r="J44" s="29"/>
    </row>
    <row r="45" spans="1:10" ht="14.85" customHeight="1" x14ac:dyDescent="0.25">
      <c r="A45" s="41">
        <v>44</v>
      </c>
      <c r="B45" s="33" t="s">
        <v>99</v>
      </c>
      <c r="C45" s="42">
        <v>1062334</v>
      </c>
      <c r="D45" s="39">
        <f t="shared" si="2"/>
        <v>3.1947247871325236E-3</v>
      </c>
      <c r="E45" s="32">
        <f t="shared" si="3"/>
        <v>25.656834765461298</v>
      </c>
      <c r="F45" s="40"/>
      <c r="G45" s="29"/>
      <c r="H45" s="29"/>
      <c r="I45" s="29"/>
      <c r="J45" s="29"/>
    </row>
    <row r="46" spans="1:10" ht="14.85" customHeight="1" x14ac:dyDescent="0.25">
      <c r="A46" s="30">
        <v>45</v>
      </c>
      <c r="B46" s="29" t="s">
        <v>101</v>
      </c>
      <c r="C46" s="38">
        <v>5184564</v>
      </c>
      <c r="D46" s="39">
        <f t="shared" si="2"/>
        <v>1.5591381920634136E-2</v>
      </c>
      <c r="E46" s="32">
        <f t="shared" si="3"/>
        <v>125.21438820461275</v>
      </c>
      <c r="F46" s="40"/>
      <c r="G46" s="29"/>
      <c r="H46" s="29"/>
      <c r="I46" s="29"/>
      <c r="J46" s="29"/>
    </row>
    <row r="47" spans="1:10" ht="14.85" customHeight="1" x14ac:dyDescent="0.25">
      <c r="A47" s="41">
        <v>46</v>
      </c>
      <c r="B47" s="33" t="s">
        <v>103</v>
      </c>
      <c r="C47" s="42">
        <v>891688</v>
      </c>
      <c r="D47" s="39">
        <f t="shared" si="2"/>
        <v>2.6815462519213596E-3</v>
      </c>
      <c r="E47" s="32">
        <f t="shared" si="3"/>
        <v>21.535497949180439</v>
      </c>
      <c r="F47" s="40"/>
      <c r="G47" s="29"/>
      <c r="H47" s="29"/>
      <c r="I47" s="29"/>
      <c r="J47" s="29"/>
    </row>
    <row r="48" spans="1:10" ht="14.85" customHeight="1" x14ac:dyDescent="0.25">
      <c r="A48" s="30">
        <v>47</v>
      </c>
      <c r="B48" s="29" t="s">
        <v>105</v>
      </c>
      <c r="C48" s="38">
        <v>6861856</v>
      </c>
      <c r="D48" s="39">
        <f t="shared" si="2"/>
        <v>2.0635451231848016E-2</v>
      </c>
      <c r="E48" s="32">
        <f t="shared" si="3"/>
        <v>165.72330884297142</v>
      </c>
      <c r="F48" s="40"/>
      <c r="G48" s="29"/>
      <c r="H48" s="29"/>
      <c r="I48" s="29"/>
      <c r="J48" s="29"/>
    </row>
    <row r="49" spans="1:10" ht="14.85" customHeight="1" x14ac:dyDescent="0.25">
      <c r="A49" s="41">
        <v>48</v>
      </c>
      <c r="B49" s="33" t="s">
        <v>107</v>
      </c>
      <c r="C49" s="42">
        <v>29604099</v>
      </c>
      <c r="D49" s="39">
        <f t="shared" si="2"/>
        <v>8.9027508181066556E-2</v>
      </c>
      <c r="E49" s="32">
        <f t="shared" si="3"/>
        <v>714.97991820214554</v>
      </c>
      <c r="F49" s="40"/>
      <c r="G49" s="29"/>
      <c r="H49" s="29"/>
      <c r="I49" s="29"/>
      <c r="J49" s="29"/>
    </row>
    <row r="50" spans="1:10" ht="14.85" customHeight="1" x14ac:dyDescent="0.25">
      <c r="A50" s="30">
        <v>49</v>
      </c>
      <c r="B50" s="29" t="s">
        <v>109</v>
      </c>
      <c r="C50" s="38">
        <v>3240569</v>
      </c>
      <c r="D50" s="39">
        <f t="shared" si="2"/>
        <v>9.7452647742736799E-3</v>
      </c>
      <c r="E50" s="32">
        <f t="shared" si="3"/>
        <v>78.264221402191922</v>
      </c>
      <c r="F50" s="40"/>
      <c r="G50" s="29"/>
      <c r="H50" s="29"/>
      <c r="I50" s="29"/>
      <c r="J50" s="29"/>
    </row>
    <row r="51" spans="1:10" ht="14.85" customHeight="1" x14ac:dyDescent="0.25">
      <c r="A51" s="41">
        <v>50</v>
      </c>
      <c r="B51" s="33" t="s">
        <v>111</v>
      </c>
      <c r="C51" s="42">
        <v>622868</v>
      </c>
      <c r="D51" s="39">
        <f t="shared" si="2"/>
        <v>1.8731320269441255E-3</v>
      </c>
      <c r="E51" s="32">
        <f t="shared" si="3"/>
        <v>15.043123308388273</v>
      </c>
      <c r="F51" s="40"/>
      <c r="G51" s="29"/>
      <c r="H51" s="29"/>
      <c r="I51" s="29"/>
      <c r="J51" s="29"/>
    </row>
    <row r="52" spans="1:10" ht="14.85" customHeight="1" x14ac:dyDescent="0.25">
      <c r="A52" s="30">
        <v>51</v>
      </c>
      <c r="B52" s="29" t="s">
        <v>113</v>
      </c>
      <c r="C52" s="38">
        <v>8655021</v>
      </c>
      <c r="D52" s="39">
        <f t="shared" si="2"/>
        <v>2.602798189820953E-2</v>
      </c>
      <c r="E52" s="32">
        <f t="shared" si="3"/>
        <v>209.03072262452073</v>
      </c>
      <c r="F52" s="40"/>
      <c r="G52" s="29"/>
      <c r="H52" s="29"/>
      <c r="I52" s="29"/>
      <c r="J52" s="29"/>
    </row>
    <row r="53" spans="1:10" ht="14.85" customHeight="1" x14ac:dyDescent="0.25">
      <c r="A53" s="41">
        <v>53</v>
      </c>
      <c r="B53" s="33" t="s">
        <v>115</v>
      </c>
      <c r="C53" s="42">
        <v>7681818</v>
      </c>
      <c r="D53" s="39">
        <f t="shared" si="2"/>
        <v>2.3101298061476698E-2</v>
      </c>
      <c r="E53" s="32">
        <f t="shared" si="3"/>
        <v>185.52652473171935</v>
      </c>
      <c r="F53" s="40"/>
      <c r="G53" s="29"/>
      <c r="H53" s="29"/>
      <c r="I53" s="29"/>
      <c r="J53" s="29"/>
    </row>
    <row r="54" spans="1:10" ht="14.85" customHeight="1" x14ac:dyDescent="0.25">
      <c r="A54" s="30">
        <v>54</v>
      </c>
      <c r="B54" s="29" t="s">
        <v>117</v>
      </c>
      <c r="C54" s="38">
        <v>1801966</v>
      </c>
      <c r="D54" s="39">
        <f t="shared" si="2"/>
        <v>5.4189976464746915E-3</v>
      </c>
      <c r="E54" s="32">
        <f t="shared" si="3"/>
        <v>43.51997009883825</v>
      </c>
      <c r="F54" s="40"/>
      <c r="G54" s="29"/>
      <c r="H54" s="29"/>
      <c r="I54" s="29"/>
      <c r="J54" s="29"/>
    </row>
    <row r="55" spans="1:10" ht="14.85" customHeight="1" x14ac:dyDescent="0.25">
      <c r="A55" s="41">
        <v>55</v>
      </c>
      <c r="B55" s="33" t="s">
        <v>119</v>
      </c>
      <c r="C55" s="42">
        <v>5837176</v>
      </c>
      <c r="D55" s="39">
        <f t="shared" si="2"/>
        <v>1.7553962175789417E-2</v>
      </c>
      <c r="E55" s="32">
        <f t="shared" si="3"/>
        <v>140.97587023376479</v>
      </c>
      <c r="F55" s="40"/>
      <c r="G55" s="29"/>
      <c r="H55" s="29"/>
      <c r="I55" s="29"/>
      <c r="J55" s="29"/>
    </row>
    <row r="56" spans="1:10" ht="14.85" customHeight="1" x14ac:dyDescent="0.25">
      <c r="A56" s="30">
        <v>56</v>
      </c>
      <c r="B56" s="29" t="s">
        <v>121</v>
      </c>
      <c r="C56" s="38">
        <v>585380</v>
      </c>
      <c r="D56" s="39">
        <f t="shared" si="2"/>
        <v>1.7603955026306572E-3</v>
      </c>
      <c r="E56" s="32">
        <f t="shared" si="3"/>
        <v>14.137736281626808</v>
      </c>
      <c r="F56" s="40"/>
      <c r="G56" s="29"/>
      <c r="H56" s="29"/>
      <c r="I56" s="29"/>
      <c r="J56" s="29"/>
    </row>
    <row r="57" spans="1:10" ht="14.85" customHeight="1" x14ac:dyDescent="0.25">
      <c r="A57" s="74" t="s">
        <v>149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31" width="14.42578125" style="28" customWidth="1"/>
    <col min="32" max="16384" width="14.42578125" style="28"/>
  </cols>
  <sheetData>
    <row r="1" spans="1:10" ht="15.75" customHeight="1" x14ac:dyDescent="0.25">
      <c r="A1" s="45" t="str">
        <f>About!B2</f>
        <v>CO</v>
      </c>
      <c r="B1" s="32">
        <f>SUMIFS(E3:E52,A3:A52,A1)</f>
        <v>4545000</v>
      </c>
    </row>
    <row r="2" spans="1:10" ht="21" customHeight="1" x14ac:dyDescent="0.35">
      <c r="A2" s="45" t="s">
        <v>2</v>
      </c>
      <c r="B2" s="45" t="s">
        <v>150</v>
      </c>
      <c r="C2" s="45" t="s">
        <v>151</v>
      </c>
      <c r="D2" s="45" t="s">
        <v>152</v>
      </c>
      <c r="E2" s="45" t="s">
        <v>153</v>
      </c>
      <c r="F2" s="45"/>
      <c r="I2" s="46"/>
      <c r="J2" s="46"/>
    </row>
    <row r="3" spans="1:10" ht="21" customHeight="1" x14ac:dyDescent="0.35">
      <c r="A3" s="45" t="s">
        <v>4</v>
      </c>
      <c r="B3" s="45">
        <v>13</v>
      </c>
      <c r="C3" s="45">
        <v>20</v>
      </c>
      <c r="D3" s="45">
        <v>2115</v>
      </c>
      <c r="E3" s="47">
        <f t="shared" ref="E3:E34" si="0">SUM(B3:D3)*1000</f>
        <v>2148000</v>
      </c>
      <c r="I3" s="48"/>
      <c r="J3" s="48"/>
    </row>
    <row r="4" spans="1:10" ht="21" customHeight="1" x14ac:dyDescent="0.35">
      <c r="A4" s="45" t="s">
        <v>8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customHeight="1" x14ac:dyDescent="0.35">
      <c r="A5" s="45" t="s">
        <v>11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customHeight="1" x14ac:dyDescent="0.35">
      <c r="A6" s="45" t="s">
        <v>13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customHeight="1" x14ac:dyDescent="0.35">
      <c r="A7" s="45" t="s">
        <v>16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customHeight="1" x14ac:dyDescent="0.35">
      <c r="A8" s="45" t="s">
        <v>18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customHeight="1" x14ac:dyDescent="0.35">
      <c r="A9" s="45" t="s">
        <v>21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customHeight="1" x14ac:dyDescent="0.35">
      <c r="A10" s="45" t="s">
        <v>23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customHeight="1" x14ac:dyDescent="0.35">
      <c r="A11" s="45" t="s">
        <v>26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customHeight="1" x14ac:dyDescent="0.35">
      <c r="A12" s="45" t="s">
        <v>29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customHeight="1" x14ac:dyDescent="0.35">
      <c r="A13" s="45" t="s">
        <v>31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customHeight="1" x14ac:dyDescent="0.35">
      <c r="A14" s="45" t="s">
        <v>34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customHeight="1" x14ac:dyDescent="0.35">
      <c r="A15" s="45" t="s">
        <v>37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customHeight="1" x14ac:dyDescent="0.35">
      <c r="A16" s="45" t="s">
        <v>40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customHeight="1" x14ac:dyDescent="0.35">
      <c r="A17" s="45" t="s">
        <v>42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customHeight="1" x14ac:dyDescent="0.35">
      <c r="A18" s="45" t="s">
        <v>45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customHeight="1" x14ac:dyDescent="0.35">
      <c r="A19" s="45" t="s">
        <v>48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customHeight="1" x14ac:dyDescent="0.35">
      <c r="A20" s="45" t="s">
        <v>50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53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56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58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61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63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66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69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72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75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78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80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82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84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86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88</v>
      </c>
      <c r="B35" s="45">
        <v>23</v>
      </c>
      <c r="C35" s="45">
        <v>38</v>
      </c>
      <c r="D35" s="32">
        <v>2347</v>
      </c>
      <c r="E35" s="47">
        <f t="shared" ref="E35:E66" si="1">SUM(B35:D35)*1000</f>
        <v>2408000</v>
      </c>
      <c r="I35" s="48"/>
      <c r="J35" s="48"/>
    </row>
    <row r="36" spans="1:10" ht="15.75" customHeight="1" x14ac:dyDescent="0.35">
      <c r="A36" s="45" t="s">
        <v>90</v>
      </c>
      <c r="B36" s="45">
        <v>2</v>
      </c>
      <c r="C36" s="45">
        <v>3</v>
      </c>
      <c r="D36" s="45">
        <v>5483</v>
      </c>
      <c r="E36" s="47">
        <f t="shared" si="1"/>
        <v>5488000</v>
      </c>
      <c r="I36" s="48"/>
      <c r="J36" s="48"/>
    </row>
    <row r="37" spans="1:10" ht="15.75" customHeight="1" x14ac:dyDescent="0.35">
      <c r="A37" s="45" t="s">
        <v>92</v>
      </c>
      <c r="B37" s="45">
        <v>27</v>
      </c>
      <c r="C37" s="45">
        <v>57</v>
      </c>
      <c r="D37" s="45">
        <v>2396</v>
      </c>
      <c r="E37" s="47">
        <f t="shared" si="1"/>
        <v>2480000</v>
      </c>
      <c r="I37" s="48"/>
      <c r="J37" s="48"/>
    </row>
    <row r="38" spans="1:10" ht="15.75" customHeight="1" x14ac:dyDescent="0.35">
      <c r="A38" s="45" t="s">
        <v>94</v>
      </c>
      <c r="B38" s="45">
        <v>9</v>
      </c>
      <c r="C38" s="45">
        <v>26</v>
      </c>
      <c r="D38" s="45">
        <v>4783</v>
      </c>
      <c r="E38" s="47">
        <f t="shared" si="1"/>
        <v>4818000</v>
      </c>
      <c r="I38" s="48"/>
      <c r="J38" s="48"/>
    </row>
    <row r="39" spans="1:10" ht="15.75" customHeight="1" x14ac:dyDescent="0.35">
      <c r="A39" s="45" t="s">
        <v>96</v>
      </c>
      <c r="B39" s="45">
        <v>8</v>
      </c>
      <c r="C39" s="45">
        <v>13</v>
      </c>
      <c r="D39" s="45">
        <v>1885</v>
      </c>
      <c r="E39" s="47">
        <f t="shared" si="1"/>
        <v>1906000</v>
      </c>
      <c r="I39" s="48"/>
      <c r="J39" s="48"/>
    </row>
    <row r="40" spans="1:10" ht="15.75" customHeight="1" x14ac:dyDescent="0.35">
      <c r="A40" s="45" t="s">
        <v>98</v>
      </c>
      <c r="B40" s="45">
        <v>20</v>
      </c>
      <c r="C40" s="45">
        <v>36</v>
      </c>
      <c r="D40" s="45">
        <v>357</v>
      </c>
      <c r="E40" s="47">
        <f t="shared" si="1"/>
        <v>413000</v>
      </c>
      <c r="I40" s="48"/>
      <c r="J40" s="48"/>
    </row>
    <row r="41" spans="1:10" ht="15.75" customHeight="1" x14ac:dyDescent="0.35">
      <c r="A41" s="45" t="s">
        <v>100</v>
      </c>
      <c r="B41" s="45">
        <v>2</v>
      </c>
      <c r="C41" s="45">
        <v>1</v>
      </c>
      <c r="D41" s="45">
        <v>9</v>
      </c>
      <c r="E41" s="47">
        <f t="shared" si="1"/>
        <v>12000</v>
      </c>
      <c r="I41" s="48"/>
      <c r="J41" s="48"/>
    </row>
    <row r="42" spans="1:10" ht="15.75" customHeight="1" x14ac:dyDescent="0.35">
      <c r="A42" s="45" t="s">
        <v>102</v>
      </c>
      <c r="B42" s="45">
        <v>12</v>
      </c>
      <c r="C42" s="45">
        <v>19</v>
      </c>
      <c r="D42" s="45">
        <v>1555</v>
      </c>
      <c r="E42" s="47">
        <f t="shared" si="1"/>
        <v>1586000</v>
      </c>
      <c r="I42" s="48"/>
      <c r="J42" s="48"/>
    </row>
    <row r="43" spans="1:10" ht="15.75" customHeight="1" x14ac:dyDescent="0.35">
      <c r="A43" s="45" t="s">
        <v>104</v>
      </c>
      <c r="B43" s="45">
        <v>2</v>
      </c>
      <c r="C43" s="45">
        <v>2</v>
      </c>
      <c r="D43" s="45">
        <v>5345</v>
      </c>
      <c r="E43" s="47">
        <f t="shared" si="1"/>
        <v>5349000</v>
      </c>
      <c r="I43" s="48"/>
      <c r="J43" s="48"/>
    </row>
    <row r="44" spans="1:10" ht="15.75" customHeight="1" x14ac:dyDescent="0.35">
      <c r="A44" s="45" t="s">
        <v>106</v>
      </c>
      <c r="B44" s="45">
        <v>16</v>
      </c>
      <c r="C44" s="45">
        <v>29</v>
      </c>
      <c r="D44" s="45">
        <v>1267</v>
      </c>
      <c r="E44" s="47">
        <f t="shared" si="1"/>
        <v>1312000</v>
      </c>
      <c r="I44" s="48"/>
      <c r="J44" s="48"/>
    </row>
    <row r="45" spans="1:10" ht="15.75" customHeight="1" x14ac:dyDescent="0.35">
      <c r="A45" s="45" t="s">
        <v>108</v>
      </c>
      <c r="B45" s="45">
        <v>60</v>
      </c>
      <c r="C45" s="45">
        <v>154</v>
      </c>
      <c r="D45" s="45">
        <v>20411</v>
      </c>
      <c r="E45" s="47">
        <f t="shared" si="1"/>
        <v>20625000</v>
      </c>
      <c r="I45" s="48"/>
      <c r="J45" s="48"/>
    </row>
    <row r="46" spans="1:10" ht="15.75" customHeight="1" x14ac:dyDescent="0.35">
      <c r="A46" s="45" t="s">
        <v>110</v>
      </c>
      <c r="B46" s="45">
        <v>6</v>
      </c>
      <c r="C46" s="45">
        <v>14</v>
      </c>
      <c r="D46" s="45">
        <v>2390</v>
      </c>
      <c r="E46" s="47">
        <f t="shared" si="1"/>
        <v>2410000</v>
      </c>
      <c r="I46" s="48"/>
      <c r="J46" s="48"/>
    </row>
    <row r="47" spans="1:10" ht="15.75" customHeight="1" x14ac:dyDescent="0.35">
      <c r="A47" s="45" t="s">
        <v>112</v>
      </c>
      <c r="B47" s="45">
        <v>1</v>
      </c>
      <c r="C47" s="45">
        <v>1</v>
      </c>
      <c r="D47" s="45">
        <v>35</v>
      </c>
      <c r="E47" s="47">
        <f t="shared" si="1"/>
        <v>37000</v>
      </c>
      <c r="I47" s="48"/>
      <c r="J47" s="48"/>
    </row>
    <row r="48" spans="1:10" ht="15.75" customHeight="1" x14ac:dyDescent="0.35">
      <c r="A48" s="45" t="s">
        <v>114</v>
      </c>
      <c r="B48" s="45">
        <v>19</v>
      </c>
      <c r="C48" s="45">
        <v>16</v>
      </c>
      <c r="D48" s="45">
        <v>1074</v>
      </c>
      <c r="E48" s="47">
        <f t="shared" si="1"/>
        <v>1109000</v>
      </c>
      <c r="I48" s="48"/>
      <c r="J48" s="48"/>
    </row>
    <row r="49" spans="1:10" ht="15.75" customHeight="1" x14ac:dyDescent="0.35">
      <c r="A49" s="45" t="s">
        <v>116</v>
      </c>
      <c r="B49" s="45">
        <v>13</v>
      </c>
      <c r="C49" s="45">
        <v>19</v>
      </c>
      <c r="D49" s="45">
        <v>996</v>
      </c>
      <c r="E49" s="47">
        <f t="shared" si="1"/>
        <v>1028000</v>
      </c>
      <c r="I49" s="48"/>
      <c r="J49" s="48"/>
    </row>
    <row r="50" spans="1:10" ht="15.75" customHeight="1" x14ac:dyDescent="0.35">
      <c r="A50" s="45" t="s">
        <v>118</v>
      </c>
      <c r="B50" s="45">
        <v>4</v>
      </c>
      <c r="C50" s="45">
        <v>2</v>
      </c>
      <c r="D50" s="45">
        <v>35</v>
      </c>
      <c r="E50" s="47">
        <f t="shared" si="1"/>
        <v>41000</v>
      </c>
      <c r="I50" s="48"/>
      <c r="J50" s="48"/>
    </row>
    <row r="51" spans="1:10" ht="15.75" customHeight="1" x14ac:dyDescent="0.35">
      <c r="A51" s="45" t="s">
        <v>120</v>
      </c>
      <c r="B51" s="45">
        <v>12</v>
      </c>
      <c r="C51" s="45">
        <v>35</v>
      </c>
      <c r="D51" s="45">
        <v>3206</v>
      </c>
      <c r="E51" s="47">
        <f t="shared" si="1"/>
        <v>3253000</v>
      </c>
      <c r="I51" s="48"/>
      <c r="J51" s="48"/>
    </row>
    <row r="52" spans="1:10" ht="15.75" customHeight="1" x14ac:dyDescent="0.35">
      <c r="A52" s="45" t="s">
        <v>122</v>
      </c>
      <c r="B52" s="45">
        <v>1</v>
      </c>
      <c r="C52" s="45">
        <v>4</v>
      </c>
      <c r="D52" s="45">
        <v>2854</v>
      </c>
      <c r="E52" s="47">
        <f t="shared" si="1"/>
        <v>2859000</v>
      </c>
      <c r="I52" s="48"/>
      <c r="J52" s="48"/>
    </row>
    <row r="53" spans="1:10" ht="15.75" customHeight="1" x14ac:dyDescent="0.25">
      <c r="A53" s="50" t="s">
        <v>154</v>
      </c>
      <c r="B53" s="51">
        <f>SUM(B3:B52)</f>
        <v>664</v>
      </c>
      <c r="C53" s="51">
        <f>SUM(C3:C52)</f>
        <v>1218</v>
      </c>
      <c r="D53" s="51">
        <f>SUM(D3:D52)</f>
        <v>152965</v>
      </c>
      <c r="E53" s="52">
        <f>SUM(E3:E52)</f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31" width="14.42578125" style="28" customWidth="1"/>
    <col min="32" max="16384" width="14.42578125" style="28"/>
  </cols>
  <sheetData>
    <row r="1" spans="1:3" ht="15.75" customHeight="1" x14ac:dyDescent="0.25">
      <c r="A1" s="45" t="str">
        <f>About!B2</f>
        <v>CO</v>
      </c>
      <c r="B1" s="32">
        <f>SUMIFS(C3:C53,A3:A53,A1)</f>
        <v>3098000</v>
      </c>
    </row>
    <row r="3" spans="1:3" ht="15.75" customHeight="1" x14ac:dyDescent="0.25">
      <c r="A3" s="45" t="s">
        <v>2</v>
      </c>
      <c r="B3" s="32" t="s">
        <v>155</v>
      </c>
      <c r="C3" s="32" t="s">
        <v>156</v>
      </c>
    </row>
    <row r="4" spans="1:3" ht="15.75" customHeight="1" x14ac:dyDescent="0.25">
      <c r="A4" s="45" t="s">
        <v>4</v>
      </c>
      <c r="B4" s="32">
        <v>0</v>
      </c>
      <c r="C4" s="47">
        <f t="shared" ref="C4:C35" si="0">B4*1000</f>
        <v>0</v>
      </c>
    </row>
    <row r="5" spans="1:3" ht="15.75" customHeight="1" x14ac:dyDescent="0.25">
      <c r="A5" s="45" t="s">
        <v>8</v>
      </c>
      <c r="B5" s="32">
        <v>0</v>
      </c>
      <c r="C5" s="47">
        <f t="shared" si="0"/>
        <v>0</v>
      </c>
    </row>
    <row r="6" spans="1:3" ht="15.75" customHeight="1" x14ac:dyDescent="0.25">
      <c r="A6" s="45" t="s">
        <v>11</v>
      </c>
      <c r="B6" s="32">
        <v>3528</v>
      </c>
      <c r="C6" s="47">
        <f t="shared" si="0"/>
        <v>3528000</v>
      </c>
    </row>
    <row r="7" spans="1:3" ht="15.75" customHeight="1" x14ac:dyDescent="0.25">
      <c r="A7" s="45" t="s">
        <v>13</v>
      </c>
      <c r="B7" s="32">
        <v>0</v>
      </c>
      <c r="C7" s="47">
        <f t="shared" si="0"/>
        <v>0</v>
      </c>
    </row>
    <row r="8" spans="1:3" ht="15.75" customHeight="1" x14ac:dyDescent="0.25">
      <c r="A8" s="45" t="s">
        <v>16</v>
      </c>
      <c r="B8" s="32">
        <v>2726</v>
      </c>
      <c r="C8" s="47">
        <f t="shared" si="0"/>
        <v>2726000</v>
      </c>
    </row>
    <row r="9" spans="1:3" ht="15.75" customHeight="1" x14ac:dyDescent="0.25">
      <c r="A9" s="45" t="s">
        <v>18</v>
      </c>
      <c r="B9" s="32">
        <v>3098</v>
      </c>
      <c r="C9" s="47">
        <f t="shared" si="0"/>
        <v>3098000</v>
      </c>
    </row>
    <row r="10" spans="1:3" ht="15.75" customHeight="1" x14ac:dyDescent="0.25">
      <c r="A10" s="45" t="s">
        <v>21</v>
      </c>
      <c r="B10" s="32">
        <v>0</v>
      </c>
      <c r="C10" s="47">
        <f t="shared" si="0"/>
        <v>0</v>
      </c>
    </row>
    <row r="11" spans="1:3" ht="15.75" customHeight="1" x14ac:dyDescent="0.25">
      <c r="A11" s="45" t="s">
        <v>23</v>
      </c>
      <c r="B11" s="32">
        <v>0</v>
      </c>
      <c r="C11" s="47">
        <f t="shared" si="0"/>
        <v>0</v>
      </c>
    </row>
    <row r="12" spans="1:3" ht="15.75" customHeight="1" x14ac:dyDescent="0.25">
      <c r="A12" s="45" t="s">
        <v>26</v>
      </c>
      <c r="B12" s="32">
        <v>0</v>
      </c>
      <c r="C12" s="47">
        <f t="shared" si="0"/>
        <v>0</v>
      </c>
    </row>
    <row r="13" spans="1:3" ht="15.75" customHeight="1" x14ac:dyDescent="0.25">
      <c r="A13" s="45" t="s">
        <v>29</v>
      </c>
      <c r="B13" s="32">
        <v>0</v>
      </c>
      <c r="C13" s="47">
        <f t="shared" si="0"/>
        <v>0</v>
      </c>
    </row>
    <row r="14" spans="1:3" ht="15.75" customHeight="1" x14ac:dyDescent="0.25">
      <c r="A14" s="45" t="s">
        <v>31</v>
      </c>
      <c r="B14" s="32">
        <v>6</v>
      </c>
      <c r="C14" s="47">
        <f t="shared" si="0"/>
        <v>6000</v>
      </c>
    </row>
    <row r="15" spans="1:3" ht="15.75" customHeight="1" x14ac:dyDescent="0.25">
      <c r="A15" s="45" t="s">
        <v>34</v>
      </c>
      <c r="B15" s="32">
        <v>1267</v>
      </c>
      <c r="C15" s="47">
        <f t="shared" si="0"/>
        <v>1267000</v>
      </c>
    </row>
    <row r="16" spans="1:3" ht="15.75" customHeight="1" x14ac:dyDescent="0.25">
      <c r="A16" s="45" t="s">
        <v>37</v>
      </c>
      <c r="B16" s="32">
        <v>0</v>
      </c>
      <c r="C16" s="47">
        <f t="shared" si="0"/>
        <v>0</v>
      </c>
    </row>
    <row r="17" spans="1:3" ht="15.75" customHeight="1" x14ac:dyDescent="0.25">
      <c r="A17" s="45" t="s">
        <v>40</v>
      </c>
      <c r="B17" s="32">
        <v>0</v>
      </c>
      <c r="C17" s="47">
        <f t="shared" si="0"/>
        <v>0</v>
      </c>
    </row>
    <row r="18" spans="1:3" ht="15.75" customHeight="1" x14ac:dyDescent="0.25">
      <c r="A18" s="45" t="s">
        <v>42</v>
      </c>
      <c r="B18" s="32">
        <v>0</v>
      </c>
      <c r="C18" s="47">
        <f t="shared" si="0"/>
        <v>0</v>
      </c>
    </row>
    <row r="19" spans="1:3" ht="15.75" customHeight="1" x14ac:dyDescent="0.25">
      <c r="A19" s="45" t="s">
        <v>45</v>
      </c>
      <c r="B19" s="32">
        <v>2885</v>
      </c>
      <c r="C19" s="47">
        <f t="shared" si="0"/>
        <v>2885000</v>
      </c>
    </row>
    <row r="20" spans="1:3" ht="15.75" customHeight="1" x14ac:dyDescent="0.25">
      <c r="A20" s="45" t="s">
        <v>48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50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53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56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58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61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63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66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69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72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75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78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80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82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84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86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88</v>
      </c>
      <c r="B36" s="32">
        <v>0</v>
      </c>
      <c r="C36" s="47">
        <f t="shared" ref="C36:C67" si="1">B36*1000</f>
        <v>0</v>
      </c>
    </row>
    <row r="37" spans="1:3" ht="15.75" customHeight="1" x14ac:dyDescent="0.25">
      <c r="A37" s="45" t="s">
        <v>90</v>
      </c>
      <c r="B37" s="32">
        <v>13</v>
      </c>
      <c r="C37" s="47">
        <f t="shared" si="1"/>
        <v>13000</v>
      </c>
    </row>
    <row r="38" spans="1:3" ht="15.75" customHeight="1" x14ac:dyDescent="0.25">
      <c r="A38" s="45" t="s">
        <v>92</v>
      </c>
      <c r="B38" s="32">
        <v>0</v>
      </c>
      <c r="C38" s="47">
        <f t="shared" si="1"/>
        <v>0</v>
      </c>
    </row>
    <row r="39" spans="1:3" ht="15.75" customHeight="1" x14ac:dyDescent="0.25">
      <c r="A39" s="45" t="s">
        <v>94</v>
      </c>
      <c r="B39" s="32">
        <v>1813</v>
      </c>
      <c r="C39" s="47">
        <f t="shared" si="1"/>
        <v>1813000</v>
      </c>
    </row>
    <row r="40" spans="1:3" ht="15.75" customHeight="1" x14ac:dyDescent="0.25">
      <c r="A40" s="45" t="s">
        <v>96</v>
      </c>
      <c r="B40" s="32">
        <v>1017</v>
      </c>
      <c r="C40" s="47">
        <f t="shared" si="1"/>
        <v>1017000</v>
      </c>
    </row>
    <row r="41" spans="1:3" ht="15.75" customHeight="1" x14ac:dyDescent="0.25">
      <c r="A41" s="45" t="s">
        <v>98</v>
      </c>
      <c r="B41" s="32">
        <v>0</v>
      </c>
      <c r="C41" s="47">
        <f t="shared" si="1"/>
        <v>0</v>
      </c>
    </row>
    <row r="42" spans="1:3" ht="15.75" customHeight="1" x14ac:dyDescent="0.25">
      <c r="A42" s="45" t="s">
        <v>100</v>
      </c>
      <c r="B42" s="32">
        <v>0</v>
      </c>
      <c r="C42" s="47">
        <f t="shared" si="1"/>
        <v>0</v>
      </c>
    </row>
    <row r="43" spans="1:3" ht="15.75" customHeight="1" x14ac:dyDescent="0.25">
      <c r="A43" s="45" t="s">
        <v>102</v>
      </c>
      <c r="B43" s="32">
        <v>0</v>
      </c>
      <c r="C43" s="47">
        <f t="shared" si="1"/>
        <v>0</v>
      </c>
    </row>
    <row r="44" spans="1:3" ht="15.75" customHeight="1" x14ac:dyDescent="0.25">
      <c r="A44" s="45" t="s">
        <v>104</v>
      </c>
      <c r="B44" s="32">
        <v>590</v>
      </c>
      <c r="C44" s="47">
        <f t="shared" si="1"/>
        <v>590000</v>
      </c>
    </row>
    <row r="45" spans="1:3" ht="15.75" customHeight="1" x14ac:dyDescent="0.25">
      <c r="A45" s="45" t="s">
        <v>106</v>
      </c>
      <c r="B45" s="32">
        <v>0</v>
      </c>
      <c r="C45" s="47">
        <f t="shared" si="1"/>
        <v>0</v>
      </c>
    </row>
    <row r="46" spans="1:3" ht="15.75" customHeight="1" x14ac:dyDescent="0.25">
      <c r="A46" s="45" t="s">
        <v>108</v>
      </c>
      <c r="B46" s="32">
        <v>7743</v>
      </c>
      <c r="C46" s="47">
        <f t="shared" si="1"/>
        <v>7743000</v>
      </c>
    </row>
    <row r="47" spans="1:3" ht="15.75" customHeight="1" x14ac:dyDescent="0.25">
      <c r="A47" s="45" t="s">
        <v>110</v>
      </c>
      <c r="B47" s="32">
        <v>1638</v>
      </c>
      <c r="C47" s="47">
        <f t="shared" si="1"/>
        <v>1638000</v>
      </c>
    </row>
    <row r="48" spans="1:3" ht="15.75" customHeight="1" x14ac:dyDescent="0.25">
      <c r="A48" s="45" t="s">
        <v>112</v>
      </c>
      <c r="B48" s="32">
        <v>0</v>
      </c>
      <c r="C48" s="47">
        <f t="shared" si="1"/>
        <v>0</v>
      </c>
    </row>
    <row r="49" spans="1:3" ht="15.75" customHeight="1" x14ac:dyDescent="0.25">
      <c r="A49" s="45" t="s">
        <v>114</v>
      </c>
      <c r="B49" s="32">
        <v>0</v>
      </c>
      <c r="C49" s="47">
        <f t="shared" si="1"/>
        <v>0</v>
      </c>
    </row>
    <row r="50" spans="1:3" ht="15.75" customHeight="1" x14ac:dyDescent="0.25">
      <c r="A50" s="45" t="s">
        <v>116</v>
      </c>
      <c r="B50" s="32">
        <v>59</v>
      </c>
      <c r="C50" s="47">
        <f t="shared" si="1"/>
        <v>59000</v>
      </c>
    </row>
    <row r="51" spans="1:3" ht="15.75" customHeight="1" x14ac:dyDescent="0.25">
      <c r="A51" s="45" t="s">
        <v>118</v>
      </c>
      <c r="B51" s="32">
        <v>0</v>
      </c>
      <c r="C51" s="47">
        <f t="shared" si="1"/>
        <v>0</v>
      </c>
    </row>
    <row r="52" spans="1:3" ht="15.75" customHeight="1" x14ac:dyDescent="0.25">
      <c r="A52" s="45" t="s">
        <v>120</v>
      </c>
      <c r="B52" s="32">
        <v>0</v>
      </c>
      <c r="C52" s="47">
        <f t="shared" si="1"/>
        <v>0</v>
      </c>
    </row>
    <row r="53" spans="1:3" ht="15.75" customHeight="1" x14ac:dyDescent="0.25">
      <c r="A53" s="45" t="s">
        <v>122</v>
      </c>
      <c r="B53" s="32">
        <v>1956</v>
      </c>
      <c r="C53" s="47">
        <f t="shared" si="1"/>
        <v>1956000</v>
      </c>
    </row>
    <row r="54" spans="1:3" ht="15.75" customHeight="1" x14ac:dyDescent="0.25">
      <c r="A54" s="50" t="s">
        <v>154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31" width="14.42578125" style="28" customWidth="1"/>
    <col min="32" max="16384" width="14.42578125" style="28"/>
  </cols>
  <sheetData>
    <row r="1" spans="1:3" ht="14.85" customHeight="1" x14ac:dyDescent="0.25">
      <c r="A1" s="32" t="str">
        <f>About!B2</f>
        <v>CO</v>
      </c>
      <c r="B1" s="32">
        <f>SUMIFS(C4:C53,A4:A53,A1)</f>
        <v>0</v>
      </c>
    </row>
    <row r="3" spans="1:3" ht="15.75" customHeight="1" x14ac:dyDescent="0.25">
      <c r="A3" s="45" t="s">
        <v>2</v>
      </c>
      <c r="B3" s="32" t="s">
        <v>157</v>
      </c>
      <c r="C3" s="32" t="s">
        <v>156</v>
      </c>
    </row>
    <row r="4" spans="1:3" ht="15.75" customHeight="1" x14ac:dyDescent="0.25">
      <c r="A4" s="45" t="s">
        <v>4</v>
      </c>
      <c r="C4" s="47">
        <f t="shared" ref="C4:C35" si="0">B4*1000</f>
        <v>0</v>
      </c>
    </row>
    <row r="5" spans="1:3" ht="15.75" customHeight="1" x14ac:dyDescent="0.25">
      <c r="A5" s="45" t="s">
        <v>8</v>
      </c>
      <c r="C5" s="47">
        <f t="shared" si="0"/>
        <v>0</v>
      </c>
    </row>
    <row r="6" spans="1:3" ht="15.75" customHeight="1" x14ac:dyDescent="0.25">
      <c r="A6" s="45" t="s">
        <v>11</v>
      </c>
      <c r="C6" s="47">
        <f t="shared" si="0"/>
        <v>0</v>
      </c>
    </row>
    <row r="7" spans="1:3" ht="15.75" customHeight="1" x14ac:dyDescent="0.25">
      <c r="A7" s="45" t="s">
        <v>13</v>
      </c>
      <c r="C7" s="47">
        <f t="shared" si="0"/>
        <v>0</v>
      </c>
    </row>
    <row r="8" spans="1:3" ht="15.75" customHeight="1" x14ac:dyDescent="0.25">
      <c r="A8" s="45" t="s">
        <v>16</v>
      </c>
      <c r="B8" s="32">
        <v>655</v>
      </c>
      <c r="C8" s="47">
        <f t="shared" si="0"/>
        <v>655000</v>
      </c>
    </row>
    <row r="9" spans="1:3" ht="15.75" customHeight="1" x14ac:dyDescent="0.25">
      <c r="A9" s="45" t="s">
        <v>18</v>
      </c>
      <c r="C9" s="47">
        <f t="shared" si="0"/>
        <v>0</v>
      </c>
    </row>
    <row r="10" spans="1:3" ht="15.75" customHeight="1" x14ac:dyDescent="0.25">
      <c r="A10" s="45" t="s">
        <v>21</v>
      </c>
      <c r="B10" s="32">
        <v>7</v>
      </c>
      <c r="C10" s="47">
        <f t="shared" si="0"/>
        <v>7000</v>
      </c>
    </row>
    <row r="11" spans="1:3" ht="15.75" customHeight="1" x14ac:dyDescent="0.25">
      <c r="A11" s="45" t="s">
        <v>23</v>
      </c>
      <c r="B11" s="32">
        <v>15</v>
      </c>
      <c r="C11" s="47">
        <f t="shared" si="0"/>
        <v>15000</v>
      </c>
    </row>
    <row r="12" spans="1:3" ht="15.75" customHeight="1" x14ac:dyDescent="0.25">
      <c r="A12" s="45" t="s">
        <v>26</v>
      </c>
      <c r="B12" s="32">
        <v>10</v>
      </c>
      <c r="C12" s="47">
        <f t="shared" si="0"/>
        <v>10000</v>
      </c>
    </row>
    <row r="13" spans="1:3" ht="15.75" customHeight="1" x14ac:dyDescent="0.25">
      <c r="A13" s="45" t="s">
        <v>29</v>
      </c>
      <c r="C13" s="47">
        <f t="shared" si="0"/>
        <v>0</v>
      </c>
    </row>
    <row r="14" spans="1:3" ht="15.75" customHeight="1" x14ac:dyDescent="0.25">
      <c r="A14" s="45" t="s">
        <v>31</v>
      </c>
      <c r="C14" s="47">
        <f t="shared" si="0"/>
        <v>0</v>
      </c>
    </row>
    <row r="15" spans="1:3" ht="15.75" customHeight="1" x14ac:dyDescent="0.25">
      <c r="A15" s="45" t="s">
        <v>34</v>
      </c>
      <c r="C15" s="47">
        <f t="shared" si="0"/>
        <v>0</v>
      </c>
    </row>
    <row r="16" spans="1:3" ht="15.75" customHeight="1" x14ac:dyDescent="0.25">
      <c r="A16" s="45" t="s">
        <v>37</v>
      </c>
      <c r="B16" s="32">
        <v>16</v>
      </c>
      <c r="C16" s="47">
        <f t="shared" si="0"/>
        <v>16000</v>
      </c>
    </row>
    <row r="17" spans="1:3" ht="15.75" customHeight="1" x14ac:dyDescent="0.25">
      <c r="A17" s="45" t="s">
        <v>40</v>
      </c>
      <c r="C17" s="47">
        <f t="shared" si="0"/>
        <v>0</v>
      </c>
    </row>
    <row r="18" spans="1:3" ht="15.75" customHeight="1" x14ac:dyDescent="0.25">
      <c r="A18" s="45" t="s">
        <v>42</v>
      </c>
      <c r="C18" s="47">
        <f t="shared" si="0"/>
        <v>0</v>
      </c>
    </row>
    <row r="19" spans="1:3" ht="15.75" customHeight="1" x14ac:dyDescent="0.25">
      <c r="A19" s="45" t="s">
        <v>45</v>
      </c>
      <c r="C19" s="47">
        <f t="shared" si="0"/>
        <v>0</v>
      </c>
    </row>
    <row r="20" spans="1:3" ht="15.75" customHeight="1" x14ac:dyDescent="0.25">
      <c r="A20" s="45" t="s">
        <v>48</v>
      </c>
      <c r="C20" s="47">
        <f t="shared" si="0"/>
        <v>0</v>
      </c>
    </row>
    <row r="21" spans="1:3" ht="15.75" customHeight="1" x14ac:dyDescent="0.25">
      <c r="A21" s="45" t="s">
        <v>50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53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56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58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61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63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66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69</v>
      </c>
      <c r="C28" s="47">
        <f t="shared" si="0"/>
        <v>0</v>
      </c>
    </row>
    <row r="29" spans="1:3" ht="15.75" customHeight="1" x14ac:dyDescent="0.25">
      <c r="A29" s="45" t="s">
        <v>72</v>
      </c>
      <c r="C29" s="47">
        <f t="shared" si="0"/>
        <v>0</v>
      </c>
    </row>
    <row r="30" spans="1:3" ht="15.75" customHeight="1" x14ac:dyDescent="0.25">
      <c r="A30" s="45" t="s">
        <v>75</v>
      </c>
      <c r="C30" s="47">
        <f t="shared" si="0"/>
        <v>0</v>
      </c>
    </row>
    <row r="31" spans="1:3" ht="15.75" customHeight="1" x14ac:dyDescent="0.25">
      <c r="A31" s="45" t="s">
        <v>78</v>
      </c>
      <c r="C31" s="47">
        <f t="shared" si="0"/>
        <v>0</v>
      </c>
    </row>
    <row r="32" spans="1:3" ht="15.75" customHeight="1" x14ac:dyDescent="0.25">
      <c r="A32" s="45" t="s">
        <v>80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82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84</v>
      </c>
      <c r="C34" s="47">
        <f t="shared" si="0"/>
        <v>0</v>
      </c>
    </row>
    <row r="35" spans="1:3" ht="15.75" customHeight="1" x14ac:dyDescent="0.25">
      <c r="A35" s="45" t="s">
        <v>86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88</v>
      </c>
      <c r="B36" s="32">
        <v>306</v>
      </c>
      <c r="C36" s="47">
        <f t="shared" ref="C36:C67" si="1">B36*1000</f>
        <v>306000</v>
      </c>
    </row>
    <row r="37" spans="1:3" ht="15.75" customHeight="1" x14ac:dyDescent="0.25">
      <c r="A37" s="45" t="s">
        <v>90</v>
      </c>
      <c r="C37" s="47">
        <f t="shared" si="1"/>
        <v>0</v>
      </c>
    </row>
    <row r="38" spans="1:3" ht="15.75" customHeight="1" x14ac:dyDescent="0.25">
      <c r="A38" s="45" t="s">
        <v>92</v>
      </c>
      <c r="B38" s="32">
        <v>42</v>
      </c>
      <c r="C38" s="47">
        <f t="shared" si="1"/>
        <v>42000</v>
      </c>
    </row>
    <row r="39" spans="1:3" ht="15.75" customHeight="1" x14ac:dyDescent="0.25">
      <c r="A39" s="45" t="s">
        <v>94</v>
      </c>
      <c r="C39" s="47">
        <f t="shared" si="1"/>
        <v>0</v>
      </c>
    </row>
    <row r="40" spans="1:3" ht="15.75" customHeight="1" x14ac:dyDescent="0.25">
      <c r="A40" s="45" t="s">
        <v>96</v>
      </c>
      <c r="B40" s="32">
        <v>225</v>
      </c>
      <c r="C40" s="47">
        <f t="shared" si="1"/>
        <v>225000</v>
      </c>
    </row>
    <row r="41" spans="1:3" ht="15.75" customHeight="1" x14ac:dyDescent="0.25">
      <c r="A41" s="45" t="s">
        <v>98</v>
      </c>
      <c r="B41" s="32">
        <v>6</v>
      </c>
      <c r="C41" s="47">
        <f t="shared" si="1"/>
        <v>6000</v>
      </c>
    </row>
    <row r="42" spans="1:3" ht="15.75" customHeight="1" x14ac:dyDescent="0.25">
      <c r="A42" s="45" t="s">
        <v>100</v>
      </c>
      <c r="B42" s="32">
        <v>21</v>
      </c>
      <c r="C42" s="47">
        <f t="shared" si="1"/>
        <v>21000</v>
      </c>
    </row>
    <row r="43" spans="1:3" ht="15.75" customHeight="1" x14ac:dyDescent="0.25">
      <c r="A43" s="45" t="s">
        <v>102</v>
      </c>
      <c r="B43" s="32">
        <v>133</v>
      </c>
      <c r="C43" s="47">
        <f t="shared" si="1"/>
        <v>133000</v>
      </c>
    </row>
    <row r="44" spans="1:3" ht="15.75" customHeight="1" x14ac:dyDescent="0.25">
      <c r="A44" s="45" t="s">
        <v>104</v>
      </c>
      <c r="C44" s="47">
        <f t="shared" si="1"/>
        <v>0</v>
      </c>
    </row>
    <row r="45" spans="1:3" ht="15.75" customHeight="1" x14ac:dyDescent="0.25">
      <c r="A45" s="45" t="s">
        <v>106</v>
      </c>
      <c r="C45" s="47">
        <f t="shared" si="1"/>
        <v>0</v>
      </c>
    </row>
    <row r="46" spans="1:3" ht="15.75" customHeight="1" x14ac:dyDescent="0.25">
      <c r="A46" s="45" t="s">
        <v>108</v>
      </c>
      <c r="B46" s="32">
        <v>271</v>
      </c>
      <c r="C46" s="47">
        <f t="shared" si="1"/>
        <v>271000</v>
      </c>
    </row>
    <row r="47" spans="1:3" ht="15.75" customHeight="1" x14ac:dyDescent="0.25">
      <c r="A47" s="45" t="s">
        <v>110</v>
      </c>
      <c r="C47" s="47">
        <f t="shared" si="1"/>
        <v>0</v>
      </c>
    </row>
    <row r="48" spans="1:3" ht="15.75" customHeight="1" x14ac:dyDescent="0.25">
      <c r="A48" s="45" t="s">
        <v>112</v>
      </c>
      <c r="C48" s="47">
        <f t="shared" si="1"/>
        <v>0</v>
      </c>
    </row>
    <row r="49" spans="1:3" ht="15.75" customHeight="1" x14ac:dyDescent="0.25">
      <c r="A49" s="45" t="s">
        <v>114</v>
      </c>
      <c r="B49" s="32">
        <v>89</v>
      </c>
      <c r="C49" s="47">
        <f t="shared" si="1"/>
        <v>89000</v>
      </c>
    </row>
    <row r="50" spans="1:3" ht="15.75" customHeight="1" x14ac:dyDescent="0.25">
      <c r="A50" s="45" t="s">
        <v>116</v>
      </c>
      <c r="C50" s="47">
        <f t="shared" si="1"/>
        <v>0</v>
      </c>
    </row>
    <row r="51" spans="1:3" ht="15.75" customHeight="1" x14ac:dyDescent="0.25">
      <c r="A51" s="45" t="s">
        <v>118</v>
      </c>
      <c r="C51" s="47">
        <f t="shared" si="1"/>
        <v>0</v>
      </c>
    </row>
    <row r="52" spans="1:3" ht="15.75" customHeight="1" x14ac:dyDescent="0.25">
      <c r="A52" s="45" t="s">
        <v>120</v>
      </c>
      <c r="C52" s="47">
        <f t="shared" si="1"/>
        <v>0</v>
      </c>
    </row>
    <row r="53" spans="1:3" ht="15.75" customHeight="1" x14ac:dyDescent="0.25">
      <c r="A53" s="45" t="s">
        <v>122</v>
      </c>
      <c r="C53" s="47">
        <f t="shared" si="1"/>
        <v>0</v>
      </c>
    </row>
    <row r="54" spans="1:3" ht="15.75" customHeight="1" x14ac:dyDescent="0.25">
      <c r="A54" s="50" t="s">
        <v>154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31" width="14.42578125" style="28" customWidth="1"/>
    <col min="32" max="16384" width="14.42578125" style="28"/>
  </cols>
  <sheetData>
    <row r="1" spans="1:14" ht="14.85" customHeight="1" x14ac:dyDescent="0.25">
      <c r="A1" s="32" t="str">
        <f>About!B1</f>
        <v>Colorado</v>
      </c>
      <c r="B1" s="32" t="str">
        <f>LOOKUP(A1,M4:N53,N4:N53)</f>
        <v>CO</v>
      </c>
      <c r="C1" s="32">
        <f>SUMIFS(L5:L52,A5:A52,B1)</f>
        <v>395377</v>
      </c>
    </row>
    <row r="3" spans="1:14" ht="21" customHeight="1" x14ac:dyDescent="0.35">
      <c r="A3" s="53"/>
      <c r="B3" s="80" t="s">
        <v>158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2</v>
      </c>
      <c r="N3" s="46" t="s">
        <v>2</v>
      </c>
    </row>
    <row r="4" spans="1:14" ht="21" customHeight="1" x14ac:dyDescent="0.35">
      <c r="A4" s="54" t="s">
        <v>2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154</v>
      </c>
      <c r="M4" s="48" t="s">
        <v>3</v>
      </c>
      <c r="N4" s="48" t="s">
        <v>4</v>
      </c>
    </row>
    <row r="5" spans="1:14" ht="21" customHeight="1" x14ac:dyDescent="0.35">
      <c r="A5" s="56" t="s">
        <v>4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7</v>
      </c>
      <c r="N5" s="48" t="s">
        <v>8</v>
      </c>
    </row>
    <row r="6" spans="1:14" ht="21" customHeight="1" x14ac:dyDescent="0.35">
      <c r="A6" s="56" t="s">
        <v>13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</v>
      </c>
      <c r="N6" s="48" t="s">
        <v>11</v>
      </c>
    </row>
    <row r="7" spans="1:14" ht="21" customHeight="1" x14ac:dyDescent="0.35">
      <c r="A7" s="56" t="s">
        <v>11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12</v>
      </c>
      <c r="N7" s="48" t="s">
        <v>13</v>
      </c>
    </row>
    <row r="8" spans="1:14" ht="21" customHeight="1" x14ac:dyDescent="0.35">
      <c r="A8" s="56" t="s">
        <v>16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15</v>
      </c>
      <c r="N8" s="48" t="s">
        <v>16</v>
      </c>
    </row>
    <row r="9" spans="1:14" ht="21" customHeight="1" x14ac:dyDescent="0.35">
      <c r="A9" s="56" t="s">
        <v>18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</v>
      </c>
      <c r="N9" s="48" t="s">
        <v>18</v>
      </c>
    </row>
    <row r="10" spans="1:14" ht="21" customHeight="1" x14ac:dyDescent="0.35">
      <c r="A10" s="56" t="s">
        <v>21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20</v>
      </c>
      <c r="N10" s="48" t="s">
        <v>21</v>
      </c>
    </row>
    <row r="11" spans="1:14" ht="21" customHeight="1" x14ac:dyDescent="0.35">
      <c r="A11" s="56" t="s">
        <v>23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22</v>
      </c>
      <c r="N11" s="48" t="s">
        <v>23</v>
      </c>
    </row>
    <row r="12" spans="1:14" ht="21" customHeight="1" x14ac:dyDescent="0.35">
      <c r="A12" s="56" t="s">
        <v>26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25</v>
      </c>
      <c r="N12" s="48" t="s">
        <v>26</v>
      </c>
    </row>
    <row r="13" spans="1:14" ht="21" customHeight="1" x14ac:dyDescent="0.35">
      <c r="A13" s="56" t="s">
        <v>29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28</v>
      </c>
      <c r="N13" s="48" t="s">
        <v>29</v>
      </c>
    </row>
    <row r="14" spans="1:14" ht="21" customHeight="1" x14ac:dyDescent="0.35">
      <c r="A14" s="56" t="s">
        <v>42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30</v>
      </c>
      <c r="N14" s="48" t="s">
        <v>31</v>
      </c>
    </row>
    <row r="15" spans="1:14" ht="21" customHeight="1" x14ac:dyDescent="0.35">
      <c r="A15" s="56" t="s">
        <v>34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33</v>
      </c>
      <c r="N15" s="48" t="s">
        <v>34</v>
      </c>
    </row>
    <row r="16" spans="1:14" ht="21" customHeight="1" x14ac:dyDescent="0.35">
      <c r="A16" s="56" t="s">
        <v>37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36</v>
      </c>
      <c r="N16" s="48" t="s">
        <v>37</v>
      </c>
    </row>
    <row r="17" spans="1:14" ht="21" customHeight="1" x14ac:dyDescent="0.35">
      <c r="A17" s="56" t="s">
        <v>40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39</v>
      </c>
      <c r="N17" s="48" t="s">
        <v>40</v>
      </c>
    </row>
    <row r="18" spans="1:14" ht="21" customHeight="1" x14ac:dyDescent="0.35">
      <c r="A18" s="56" t="s">
        <v>45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41</v>
      </c>
      <c r="N18" s="48" t="s">
        <v>42</v>
      </c>
    </row>
    <row r="19" spans="1:14" ht="21" customHeight="1" x14ac:dyDescent="0.35">
      <c r="A19" s="56" t="s">
        <v>48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44</v>
      </c>
      <c r="N19" s="48" t="s">
        <v>45</v>
      </c>
    </row>
    <row r="20" spans="1:14" ht="21" customHeight="1" x14ac:dyDescent="0.35">
      <c r="A20" s="56" t="s">
        <v>50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47</v>
      </c>
      <c r="N20" s="48" t="s">
        <v>48</v>
      </c>
    </row>
    <row r="21" spans="1:14" ht="15.75" customHeight="1" x14ac:dyDescent="0.35">
      <c r="A21" s="56" t="s">
        <v>58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49</v>
      </c>
      <c r="N21" s="48" t="s">
        <v>50</v>
      </c>
    </row>
    <row r="22" spans="1:14" ht="15.75" customHeight="1" x14ac:dyDescent="0.35">
      <c r="A22" s="56" t="s">
        <v>56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52</v>
      </c>
      <c r="N22" s="48" t="s">
        <v>53</v>
      </c>
    </row>
    <row r="23" spans="1:14" ht="15.75" customHeight="1" x14ac:dyDescent="0.35">
      <c r="A23" s="56" t="s">
        <v>53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55</v>
      </c>
      <c r="N23" s="48" t="s">
        <v>56</v>
      </c>
    </row>
    <row r="24" spans="1:14" ht="15.75" customHeight="1" x14ac:dyDescent="0.35">
      <c r="A24" s="56" t="s">
        <v>61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57</v>
      </c>
      <c r="N24" s="48" t="s">
        <v>58</v>
      </c>
    </row>
    <row r="25" spans="1:14" ht="15.75" customHeight="1" x14ac:dyDescent="0.35">
      <c r="A25" s="56" t="s">
        <v>63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60</v>
      </c>
      <c r="N25" s="48" t="s">
        <v>61</v>
      </c>
    </row>
    <row r="26" spans="1:14" ht="15.75" customHeight="1" x14ac:dyDescent="0.35">
      <c r="A26" s="56" t="s">
        <v>69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62</v>
      </c>
      <c r="N26" s="48" t="s">
        <v>63</v>
      </c>
    </row>
    <row r="27" spans="1:14" ht="15.75" customHeight="1" x14ac:dyDescent="0.35">
      <c r="A27" s="56" t="s">
        <v>66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65</v>
      </c>
      <c r="N27" s="48" t="s">
        <v>66</v>
      </c>
    </row>
    <row r="28" spans="1:14" ht="15.75" customHeight="1" x14ac:dyDescent="0.35">
      <c r="A28" s="56" t="s">
        <v>72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68</v>
      </c>
      <c r="N28" s="48" t="s">
        <v>69</v>
      </c>
    </row>
    <row r="29" spans="1:14" ht="15.75" customHeight="1" x14ac:dyDescent="0.35">
      <c r="A29" s="56" t="s">
        <v>88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71</v>
      </c>
      <c r="N29" s="48" t="s">
        <v>72</v>
      </c>
    </row>
    <row r="30" spans="1:14" ht="15.75" customHeight="1" x14ac:dyDescent="0.35">
      <c r="A30" s="56" t="s">
        <v>90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74</v>
      </c>
      <c r="N30" s="48" t="s">
        <v>75</v>
      </c>
    </row>
    <row r="31" spans="1:14" ht="15.75" customHeight="1" x14ac:dyDescent="0.35">
      <c r="A31" s="56" t="s">
        <v>75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77</v>
      </c>
      <c r="N31" s="48" t="s">
        <v>78</v>
      </c>
    </row>
    <row r="32" spans="1:14" ht="15.75" customHeight="1" x14ac:dyDescent="0.35">
      <c r="A32" s="56" t="s">
        <v>80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79</v>
      </c>
      <c r="N32" s="48" t="s">
        <v>80</v>
      </c>
    </row>
    <row r="33" spans="1:14" ht="15.75" customHeight="1" x14ac:dyDescent="0.35">
      <c r="A33" s="56" t="s">
        <v>82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81</v>
      </c>
      <c r="N33" s="48" t="s">
        <v>82</v>
      </c>
    </row>
    <row r="34" spans="1:14" ht="15.75" customHeight="1" x14ac:dyDescent="0.35">
      <c r="A34" s="56" t="s">
        <v>84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83</v>
      </c>
      <c r="N34" s="48" t="s">
        <v>84</v>
      </c>
    </row>
    <row r="35" spans="1:14" ht="15.75" customHeight="1" x14ac:dyDescent="0.35">
      <c r="A35" s="56" t="s">
        <v>78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85</v>
      </c>
      <c r="N35" s="48" t="s">
        <v>86</v>
      </c>
    </row>
    <row r="36" spans="1:14" ht="15.75" customHeight="1" x14ac:dyDescent="0.35">
      <c r="A36" s="56" t="s">
        <v>86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87</v>
      </c>
      <c r="N36" s="48" t="s">
        <v>88</v>
      </c>
    </row>
    <row r="37" spans="1:14" ht="15.75" customHeight="1" x14ac:dyDescent="0.35">
      <c r="A37" s="56" t="s">
        <v>92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89</v>
      </c>
      <c r="N37" s="48" t="s">
        <v>90</v>
      </c>
    </row>
    <row r="38" spans="1:14" ht="15.75" customHeight="1" x14ac:dyDescent="0.35">
      <c r="A38" s="56" t="s">
        <v>94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91</v>
      </c>
      <c r="N38" s="48" t="s">
        <v>92</v>
      </c>
    </row>
    <row r="39" spans="1:14" ht="15.75" customHeight="1" x14ac:dyDescent="0.35">
      <c r="A39" s="56" t="s">
        <v>96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93</v>
      </c>
      <c r="N39" s="48" t="s">
        <v>94</v>
      </c>
    </row>
    <row r="40" spans="1:14" ht="15.75" customHeight="1" x14ac:dyDescent="0.35">
      <c r="A40" s="56" t="s">
        <v>98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95</v>
      </c>
      <c r="N40" s="48" t="s">
        <v>96</v>
      </c>
    </row>
    <row r="41" spans="1:14" ht="15.75" customHeight="1" x14ac:dyDescent="0.35">
      <c r="A41" s="56" t="s">
        <v>100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97</v>
      </c>
      <c r="N41" s="48" t="s">
        <v>98</v>
      </c>
    </row>
    <row r="42" spans="1:14" ht="15.75" customHeight="1" x14ac:dyDescent="0.35">
      <c r="A42" s="56" t="s">
        <v>102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99</v>
      </c>
      <c r="N42" s="48" t="s">
        <v>100</v>
      </c>
    </row>
    <row r="43" spans="1:14" ht="15.75" customHeight="1" x14ac:dyDescent="0.35">
      <c r="A43" s="56" t="s">
        <v>104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101</v>
      </c>
      <c r="N43" s="48" t="s">
        <v>102</v>
      </c>
    </row>
    <row r="44" spans="1:14" ht="15.75" customHeight="1" x14ac:dyDescent="0.35">
      <c r="A44" s="56" t="s">
        <v>106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103</v>
      </c>
      <c r="N44" s="48" t="s">
        <v>104</v>
      </c>
    </row>
    <row r="45" spans="1:14" ht="15.75" customHeight="1" x14ac:dyDescent="0.35">
      <c r="A45" s="56" t="s">
        <v>108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105</v>
      </c>
      <c r="N45" s="48" t="s">
        <v>106</v>
      </c>
    </row>
    <row r="46" spans="1:14" ht="15.75" customHeight="1" x14ac:dyDescent="0.35">
      <c r="A46" s="56" t="s">
        <v>110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107</v>
      </c>
      <c r="N46" s="48" t="s">
        <v>108</v>
      </c>
    </row>
    <row r="47" spans="1:14" ht="15.75" customHeight="1" x14ac:dyDescent="0.35">
      <c r="A47" s="56" t="s">
        <v>114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109</v>
      </c>
      <c r="N47" s="48" t="s">
        <v>110</v>
      </c>
    </row>
    <row r="48" spans="1:14" ht="15.75" customHeight="1" x14ac:dyDescent="0.35">
      <c r="A48" s="56" t="s">
        <v>112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111</v>
      </c>
      <c r="N48" s="48" t="s">
        <v>112</v>
      </c>
    </row>
    <row r="49" spans="1:14" ht="15.75" customHeight="1" x14ac:dyDescent="0.35">
      <c r="A49" s="56" t="s">
        <v>116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113</v>
      </c>
      <c r="N49" s="48" t="s">
        <v>114</v>
      </c>
    </row>
    <row r="50" spans="1:14" ht="15.75" customHeight="1" x14ac:dyDescent="0.35">
      <c r="A50" s="56" t="s">
        <v>120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115</v>
      </c>
      <c r="N50" s="48" t="s">
        <v>116</v>
      </c>
    </row>
    <row r="51" spans="1:14" ht="15.75" customHeight="1" x14ac:dyDescent="0.35">
      <c r="A51" s="56" t="s">
        <v>118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117</v>
      </c>
      <c r="N51" s="48" t="s">
        <v>118</v>
      </c>
    </row>
    <row r="52" spans="1:14" ht="15.75" customHeight="1" x14ac:dyDescent="0.35">
      <c r="A52" s="56" t="s">
        <v>122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119</v>
      </c>
      <c r="N52" s="48" t="s">
        <v>120</v>
      </c>
    </row>
    <row r="53" spans="1:14" ht="15.75" customHeight="1" x14ac:dyDescent="0.35">
      <c r="M53" s="48" t="s">
        <v>121</v>
      </c>
      <c r="N53" s="48" t="s">
        <v>122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132</v>
      </c>
      <c r="B57" s="58" t="s">
        <v>159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31" width="14.42578125" style="28" customWidth="1"/>
    <col min="32" max="16384" width="14.42578125" style="28"/>
  </cols>
  <sheetData>
    <row r="1" spans="1:7" ht="14.85" customHeight="1" x14ac:dyDescent="0.25">
      <c r="A1" s="32" t="str">
        <f>About!B2</f>
        <v>CO</v>
      </c>
      <c r="B1" s="32">
        <f>SUMIFS(D4:D53,A4:A53,A1)</f>
        <v>674.82061317677756</v>
      </c>
    </row>
    <row r="3" spans="1:7" ht="14.85" customHeight="1" x14ac:dyDescent="0.25">
      <c r="A3" s="32" t="s">
        <v>2</v>
      </c>
      <c r="B3" s="32" t="s">
        <v>160</v>
      </c>
      <c r="C3" s="32" t="s">
        <v>157</v>
      </c>
      <c r="D3" s="32" t="s">
        <v>156</v>
      </c>
      <c r="G3" s="32" t="s">
        <v>161</v>
      </c>
    </row>
    <row r="4" spans="1:7" ht="15.75" customHeight="1" x14ac:dyDescent="0.25">
      <c r="A4" s="45" t="s">
        <v>4</v>
      </c>
      <c r="B4" s="32">
        <v>12727</v>
      </c>
      <c r="C4" s="32">
        <f t="shared" ref="C4:C35" si="0">B4/$G$4</f>
        <v>2.0755055446836268</v>
      </c>
      <c r="D4" s="32">
        <f t="shared" ref="D4:D35" si="1">C4*1000</f>
        <v>2075.5055446836268</v>
      </c>
      <c r="G4" s="32">
        <f>8760*0.7</f>
        <v>6132</v>
      </c>
    </row>
    <row r="5" spans="1:7" ht="15.75" customHeight="1" x14ac:dyDescent="0.25">
      <c r="A5" s="45" t="s">
        <v>8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customHeight="1" x14ac:dyDescent="0.25">
      <c r="A6" s="45" t="s">
        <v>11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customHeight="1" x14ac:dyDescent="0.25">
      <c r="A7" s="45" t="s">
        <v>13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customHeight="1" x14ac:dyDescent="0.25">
      <c r="A8" s="45" t="s">
        <v>16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customHeight="1" x14ac:dyDescent="0.25">
      <c r="A9" s="45" t="s">
        <v>18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customHeight="1" x14ac:dyDescent="0.25">
      <c r="A10" s="45" t="s">
        <v>21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customHeight="1" x14ac:dyDescent="0.25">
      <c r="A11" s="45" t="s">
        <v>23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customHeight="1" x14ac:dyDescent="0.25">
      <c r="A12" s="45" t="s">
        <v>26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customHeight="1" x14ac:dyDescent="0.25">
      <c r="A13" s="45" t="s">
        <v>29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customHeight="1" x14ac:dyDescent="0.25">
      <c r="A14" s="45" t="s">
        <v>31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customHeight="1" x14ac:dyDescent="0.25">
      <c r="A15" s="45" t="s">
        <v>34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customHeight="1" x14ac:dyDescent="0.25">
      <c r="A16" s="45" t="s">
        <v>37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customHeight="1" x14ac:dyDescent="0.25">
      <c r="A17" s="45" t="s">
        <v>40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customHeight="1" x14ac:dyDescent="0.25">
      <c r="A18" s="45" t="s">
        <v>42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customHeight="1" x14ac:dyDescent="0.25">
      <c r="A19" s="45" t="s">
        <v>45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customHeight="1" x14ac:dyDescent="0.25">
      <c r="A20" s="45" t="s">
        <v>48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50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53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56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58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61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63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66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69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72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75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78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80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82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84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86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88</v>
      </c>
      <c r="B36" s="32">
        <v>16650</v>
      </c>
      <c r="C36" s="32">
        <f t="shared" ref="C36:C67" si="2">B36/$G$4</f>
        <v>2.7152641878669277</v>
      </c>
      <c r="D36" s="32">
        <f t="shared" ref="D36:D67" si="3">C36*1000</f>
        <v>2715.2641878669278</v>
      </c>
    </row>
    <row r="37" spans="1:4" ht="15.75" customHeight="1" x14ac:dyDescent="0.25">
      <c r="A37" s="45" t="s">
        <v>90</v>
      </c>
      <c r="B37" s="32">
        <v>8216</v>
      </c>
      <c r="C37" s="32">
        <f t="shared" si="2"/>
        <v>1.3398564905414221</v>
      </c>
      <c r="D37" s="32">
        <f t="shared" si="3"/>
        <v>1339.8564905414221</v>
      </c>
    </row>
    <row r="38" spans="1:4" ht="15.75" customHeight="1" x14ac:dyDescent="0.25">
      <c r="A38" s="45" t="s">
        <v>92</v>
      </c>
      <c r="B38" s="32">
        <v>14372</v>
      </c>
      <c r="C38" s="32">
        <f t="shared" si="2"/>
        <v>2.3437703848662754</v>
      </c>
      <c r="D38" s="32">
        <f t="shared" si="3"/>
        <v>2343.7703848662754</v>
      </c>
    </row>
    <row r="39" spans="1:4" ht="15.75" customHeight="1" x14ac:dyDescent="0.25">
      <c r="A39" s="45" t="s">
        <v>94</v>
      </c>
      <c r="B39" s="32">
        <v>5094</v>
      </c>
      <c r="C39" s="32">
        <f t="shared" si="2"/>
        <v>0.83072407045009788</v>
      </c>
      <c r="D39" s="32">
        <f t="shared" si="3"/>
        <v>830.72407045009788</v>
      </c>
    </row>
    <row r="40" spans="1:4" ht="15.75" customHeight="1" x14ac:dyDescent="0.25">
      <c r="A40" s="45" t="s">
        <v>96</v>
      </c>
      <c r="B40" s="32">
        <v>14684</v>
      </c>
      <c r="C40" s="32">
        <f t="shared" si="2"/>
        <v>2.3946510110893673</v>
      </c>
      <c r="D40" s="32">
        <f t="shared" si="3"/>
        <v>2394.6510110893673</v>
      </c>
    </row>
    <row r="41" spans="1:4" ht="15.75" customHeight="1" x14ac:dyDescent="0.25">
      <c r="A41" s="45" t="s">
        <v>98</v>
      </c>
      <c r="B41" s="32">
        <v>13446</v>
      </c>
      <c r="C41" s="32">
        <f t="shared" si="2"/>
        <v>2.1927592954990214</v>
      </c>
      <c r="D41" s="32">
        <f t="shared" si="3"/>
        <v>2192.7592954990214</v>
      </c>
    </row>
    <row r="42" spans="1:4" ht="15.75" customHeight="1" x14ac:dyDescent="0.25">
      <c r="A42" s="45" t="s">
        <v>100</v>
      </c>
      <c r="B42" s="32">
        <v>618</v>
      </c>
      <c r="C42" s="32">
        <f t="shared" si="2"/>
        <v>0.10078277886497064</v>
      </c>
      <c r="D42" s="32">
        <f t="shared" si="3"/>
        <v>100.78277886497064</v>
      </c>
    </row>
    <row r="43" spans="1:4" ht="15.75" customHeight="1" x14ac:dyDescent="0.25">
      <c r="A43" s="45" t="s">
        <v>102</v>
      </c>
      <c r="B43" s="32">
        <v>8415</v>
      </c>
      <c r="C43" s="32">
        <f t="shared" si="2"/>
        <v>1.3723091976516635</v>
      </c>
      <c r="D43" s="32">
        <f t="shared" si="3"/>
        <v>1372.3091976516635</v>
      </c>
    </row>
    <row r="44" spans="1:4" ht="15.75" customHeight="1" x14ac:dyDescent="0.25">
      <c r="A44" s="45" t="s">
        <v>104</v>
      </c>
      <c r="B44" s="32">
        <v>8615</v>
      </c>
      <c r="C44" s="32">
        <f t="shared" si="2"/>
        <v>1.4049249836921069</v>
      </c>
      <c r="D44" s="32">
        <f t="shared" si="3"/>
        <v>1404.9249836921069</v>
      </c>
    </row>
    <row r="45" spans="1:4" ht="15.75" customHeight="1" x14ac:dyDescent="0.25">
      <c r="A45" s="45" t="s">
        <v>106</v>
      </c>
      <c r="B45" s="32">
        <v>8080</v>
      </c>
      <c r="C45" s="32">
        <f t="shared" si="2"/>
        <v>1.3176777560339203</v>
      </c>
      <c r="D45" s="32">
        <f t="shared" si="3"/>
        <v>1317.6777560339203</v>
      </c>
    </row>
    <row r="46" spans="1:4" ht="15.75" customHeight="1" x14ac:dyDescent="0.25">
      <c r="A46" s="45" t="s">
        <v>108</v>
      </c>
      <c r="B46" s="32">
        <v>21976</v>
      </c>
      <c r="C46" s="32">
        <f t="shared" si="2"/>
        <v>3.5838225701239401</v>
      </c>
      <c r="D46" s="32">
        <f t="shared" si="3"/>
        <v>3583.8225701239403</v>
      </c>
    </row>
    <row r="47" spans="1:4" ht="15.75" customHeight="1" x14ac:dyDescent="0.25">
      <c r="A47" s="45" t="s">
        <v>110</v>
      </c>
      <c r="B47" s="32">
        <v>862</v>
      </c>
      <c r="C47" s="32">
        <f t="shared" si="2"/>
        <v>0.1405740378343118</v>
      </c>
      <c r="D47" s="32">
        <f t="shared" si="3"/>
        <v>140.57403783431181</v>
      </c>
    </row>
    <row r="48" spans="1:4" ht="15.75" customHeight="1" x14ac:dyDescent="0.25">
      <c r="A48" s="45" t="s">
        <v>112</v>
      </c>
      <c r="B48" s="32">
        <v>695</v>
      </c>
      <c r="C48" s="32">
        <f t="shared" si="2"/>
        <v>0.11333985649054142</v>
      </c>
      <c r="D48" s="32">
        <f t="shared" si="3"/>
        <v>113.33985649054142</v>
      </c>
    </row>
    <row r="49" spans="1:4" ht="15.75" customHeight="1" x14ac:dyDescent="0.25">
      <c r="A49" s="45" t="s">
        <v>114</v>
      </c>
      <c r="B49" s="32">
        <v>10365</v>
      </c>
      <c r="C49" s="32">
        <f t="shared" si="2"/>
        <v>1.6903131115459882</v>
      </c>
      <c r="D49" s="32">
        <f t="shared" si="3"/>
        <v>1690.3131115459882</v>
      </c>
    </row>
    <row r="50" spans="1:4" ht="15.75" customHeight="1" x14ac:dyDescent="0.25">
      <c r="A50" s="45" t="s">
        <v>116</v>
      </c>
      <c r="B50" s="32">
        <v>13826</v>
      </c>
      <c r="C50" s="32">
        <f t="shared" si="2"/>
        <v>2.2547292889758643</v>
      </c>
      <c r="D50" s="32">
        <f t="shared" si="3"/>
        <v>2254.7292889758642</v>
      </c>
    </row>
    <row r="51" spans="1:4" ht="15.75" customHeight="1" x14ac:dyDescent="0.25">
      <c r="A51" s="45" t="s">
        <v>118</v>
      </c>
      <c r="B51" s="32">
        <v>2688</v>
      </c>
      <c r="C51" s="32">
        <f t="shared" si="2"/>
        <v>0.43835616438356162</v>
      </c>
      <c r="D51" s="32">
        <f t="shared" si="3"/>
        <v>438.35616438356163</v>
      </c>
    </row>
    <row r="52" spans="1:4" ht="15.75" customHeight="1" x14ac:dyDescent="0.25">
      <c r="A52" s="45" t="s">
        <v>120</v>
      </c>
      <c r="B52" s="32">
        <v>13295</v>
      </c>
      <c r="C52" s="32">
        <f t="shared" si="2"/>
        <v>2.1681343770384864</v>
      </c>
      <c r="D52" s="32">
        <f t="shared" si="3"/>
        <v>2168.1343770384865</v>
      </c>
    </row>
    <row r="53" spans="1:4" ht="15.75" customHeight="1" x14ac:dyDescent="0.25">
      <c r="A53" s="45" t="s">
        <v>122</v>
      </c>
      <c r="B53" s="32">
        <v>553</v>
      </c>
      <c r="C53" s="32">
        <f t="shared" si="2"/>
        <v>9.0182648401826479E-2</v>
      </c>
      <c r="D53" s="32">
        <f t="shared" si="3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31" width="14.42578125" style="28" customWidth="1"/>
    <col min="32" max="16384" width="14.42578125" style="28"/>
  </cols>
  <sheetData>
    <row r="1" spans="1:6" ht="14.85" customHeight="1" x14ac:dyDescent="0.25">
      <c r="A1" s="32" t="str">
        <f>About!B2</f>
        <v>CO</v>
      </c>
      <c r="B1" s="32">
        <f>SUMIFS(C3:C52,A3:A52,A1)</f>
        <v>159000</v>
      </c>
    </row>
    <row r="2" spans="1:6" ht="14.85" customHeight="1" x14ac:dyDescent="0.25">
      <c r="A2" s="32" t="s">
        <v>2</v>
      </c>
      <c r="B2" s="32" t="s">
        <v>162</v>
      </c>
      <c r="C2" s="32" t="s">
        <v>156</v>
      </c>
    </row>
    <row r="3" spans="1:6" ht="15.75" customHeight="1" x14ac:dyDescent="0.25">
      <c r="A3" s="45" t="s">
        <v>4</v>
      </c>
      <c r="B3" s="32">
        <v>68</v>
      </c>
      <c r="C3" s="47">
        <f t="shared" ref="C3:C12" si="0">B3*1000</f>
        <v>68000</v>
      </c>
    </row>
    <row r="4" spans="1:6" ht="15.75" customHeight="1" x14ac:dyDescent="0.25">
      <c r="A4" s="45" t="s">
        <v>8</v>
      </c>
      <c r="B4" s="32">
        <v>9000000</v>
      </c>
      <c r="C4" s="47">
        <f t="shared" si="0"/>
        <v>9000000000</v>
      </c>
    </row>
    <row r="5" spans="1:6" ht="15.75" customHeight="1" x14ac:dyDescent="0.25">
      <c r="A5" s="45" t="s">
        <v>11</v>
      </c>
      <c r="B5" s="32">
        <v>157</v>
      </c>
      <c r="C5" s="47">
        <f t="shared" si="0"/>
        <v>157000</v>
      </c>
    </row>
    <row r="6" spans="1:6" ht="15.75" customHeight="1" x14ac:dyDescent="0.25">
      <c r="A6" s="45" t="s">
        <v>13</v>
      </c>
      <c r="B6" s="32">
        <v>80</v>
      </c>
      <c r="C6" s="47">
        <f t="shared" si="0"/>
        <v>80000</v>
      </c>
    </row>
    <row r="7" spans="1:6" ht="15.75" customHeight="1" x14ac:dyDescent="0.25">
      <c r="A7" s="45" t="s">
        <v>16</v>
      </c>
      <c r="B7" s="32">
        <v>170</v>
      </c>
      <c r="C7" s="47">
        <f t="shared" si="0"/>
        <v>170000</v>
      </c>
    </row>
    <row r="8" spans="1:6" ht="15.75" customHeight="1" x14ac:dyDescent="0.25">
      <c r="A8" s="45" t="s">
        <v>18</v>
      </c>
      <c r="B8" s="32">
        <v>159</v>
      </c>
      <c r="C8" s="47">
        <f t="shared" si="0"/>
        <v>159000</v>
      </c>
    </row>
    <row r="9" spans="1:6" ht="15.75" customHeight="1" x14ac:dyDescent="0.25">
      <c r="A9" s="45" t="s">
        <v>21</v>
      </c>
      <c r="B9" s="32">
        <v>7</v>
      </c>
      <c r="C9" s="47">
        <f t="shared" si="0"/>
        <v>7000</v>
      </c>
    </row>
    <row r="10" spans="1:6" ht="15.75" customHeight="1" x14ac:dyDescent="0.25">
      <c r="A10" s="45" t="s">
        <v>23</v>
      </c>
      <c r="B10" s="32">
        <v>3</v>
      </c>
      <c r="C10" s="47">
        <f t="shared" si="0"/>
        <v>3000</v>
      </c>
    </row>
    <row r="11" spans="1:6" ht="15.75" customHeight="1" x14ac:dyDescent="0.25">
      <c r="A11" s="45" t="s">
        <v>26</v>
      </c>
      <c r="B11" s="32">
        <v>47</v>
      </c>
      <c r="C11" s="47">
        <f t="shared" si="0"/>
        <v>47000</v>
      </c>
    </row>
    <row r="12" spans="1:6" ht="15.75" customHeight="1" x14ac:dyDescent="0.25">
      <c r="A12" s="45" t="s">
        <v>29</v>
      </c>
      <c r="B12" s="32">
        <v>45</v>
      </c>
      <c r="C12" s="47">
        <f t="shared" si="0"/>
        <v>45000</v>
      </c>
    </row>
    <row r="13" spans="1:6" ht="15.75" customHeight="1" x14ac:dyDescent="0.25">
      <c r="A13" s="45" t="s">
        <v>31</v>
      </c>
      <c r="B13" s="32" t="s">
        <v>163</v>
      </c>
      <c r="C13" s="47">
        <v>200</v>
      </c>
      <c r="D13" s="58" t="s">
        <v>164</v>
      </c>
    </row>
    <row r="14" spans="1:6" ht="15.75" customHeight="1" x14ac:dyDescent="0.25">
      <c r="A14" s="45" t="s">
        <v>34</v>
      </c>
      <c r="B14" s="32">
        <v>126</v>
      </c>
      <c r="C14" s="47">
        <f t="shared" ref="C14:C52" si="1">B14*1000</f>
        <v>126000</v>
      </c>
    </row>
    <row r="15" spans="1:6" ht="15.75" customHeight="1" x14ac:dyDescent="0.25">
      <c r="A15" s="45" t="s">
        <v>37</v>
      </c>
      <c r="B15" s="32">
        <v>86</v>
      </c>
      <c r="C15" s="47">
        <f t="shared" si="1"/>
        <v>86000</v>
      </c>
    </row>
    <row r="16" spans="1:6" ht="15.75" customHeight="1" x14ac:dyDescent="0.25">
      <c r="A16" s="45" t="s">
        <v>40</v>
      </c>
      <c r="B16" s="32">
        <v>55</v>
      </c>
      <c r="C16" s="47">
        <f t="shared" si="1"/>
        <v>55000</v>
      </c>
      <c r="F16" s="59"/>
    </row>
    <row r="17" spans="1:3" ht="15.75" customHeight="1" x14ac:dyDescent="0.25">
      <c r="A17" s="45" t="s">
        <v>42</v>
      </c>
      <c r="B17" s="32">
        <v>77</v>
      </c>
      <c r="C17" s="47">
        <f t="shared" si="1"/>
        <v>77000</v>
      </c>
    </row>
    <row r="18" spans="1:3" ht="15.75" customHeight="1" x14ac:dyDescent="0.25">
      <c r="A18" s="45" t="s">
        <v>45</v>
      </c>
      <c r="B18" s="32">
        <v>126</v>
      </c>
      <c r="C18" s="47">
        <f t="shared" si="1"/>
        <v>126000</v>
      </c>
    </row>
    <row r="19" spans="1:3" ht="15.75" customHeight="1" x14ac:dyDescent="0.25">
      <c r="A19" s="45" t="s">
        <v>48</v>
      </c>
      <c r="B19" s="32">
        <v>61</v>
      </c>
      <c r="C19" s="47">
        <f t="shared" si="1"/>
        <v>61000</v>
      </c>
    </row>
    <row r="20" spans="1:3" ht="15.75" customHeight="1" x14ac:dyDescent="0.25">
      <c r="A20" s="45" t="s">
        <v>50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53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56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58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61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63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66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69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72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75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78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80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82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84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86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88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90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92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94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96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98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100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102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104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106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108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110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112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114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116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118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120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122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00000000-0004-0000-0700-00000000000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31" width="14.42578125" style="28" customWidth="1"/>
    <col min="32" max="16384" width="14.42578125" style="28"/>
  </cols>
  <sheetData>
    <row r="1" spans="1:26" ht="14.85" customHeight="1" x14ac:dyDescent="0.25">
      <c r="A1" s="32" t="str">
        <f>About!B2</f>
        <v>CO</v>
      </c>
      <c r="B1" s="32">
        <f>SUMIFS(D5:D54,A5:A54,A1)</f>
        <v>1778.3105022831051</v>
      </c>
    </row>
    <row r="2" spans="1:26" ht="14.85" customHeight="1" x14ac:dyDescent="0.25">
      <c r="A2" s="60" t="s">
        <v>165</v>
      </c>
      <c r="B2" s="60"/>
      <c r="C2" s="60"/>
      <c r="D2" s="60"/>
      <c r="E2" s="60"/>
      <c r="F2" s="60"/>
      <c r="I2" s="51"/>
    </row>
    <row r="3" spans="1:26" ht="14.85" customHeight="1" x14ac:dyDescent="0.25">
      <c r="A3" s="32" t="s">
        <v>166</v>
      </c>
      <c r="F3" s="32" t="s">
        <v>167</v>
      </c>
      <c r="G3" s="32" t="s">
        <v>168</v>
      </c>
      <c r="I3" s="32"/>
    </row>
    <row r="4" spans="1:26" ht="14.85" customHeight="1" x14ac:dyDescent="0.25">
      <c r="A4" s="51" t="s">
        <v>2</v>
      </c>
      <c r="B4" s="61" t="s">
        <v>169</v>
      </c>
      <c r="C4" s="51" t="s">
        <v>157</v>
      </c>
      <c r="D4" s="51" t="s">
        <v>156</v>
      </c>
      <c r="E4" s="51"/>
      <c r="F4" s="32">
        <f>8760*0.5</f>
        <v>4380</v>
      </c>
      <c r="G4" s="62" t="s">
        <v>170</v>
      </c>
      <c r="I4" s="32"/>
    </row>
    <row r="5" spans="1:26" ht="15.75" customHeight="1" x14ac:dyDescent="0.25">
      <c r="A5" s="45" t="s">
        <v>4</v>
      </c>
      <c r="B5" s="32">
        <v>4103</v>
      </c>
      <c r="C5" s="32">
        <f t="shared" ref="C5:C36" si="0">B5/$F$4</f>
        <v>0.93675799086757994</v>
      </c>
      <c r="D5" s="32">
        <f t="shared" ref="D5:D36" si="1">C5*1000</f>
        <v>936.75799086757991</v>
      </c>
      <c r="I5" s="32"/>
    </row>
    <row r="6" spans="1:26" ht="15.75" customHeight="1" x14ac:dyDescent="0.25">
      <c r="A6" s="45" t="s">
        <v>8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customHeight="1" x14ac:dyDescent="0.25">
      <c r="A7" s="45" t="s">
        <v>11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customHeight="1" x14ac:dyDescent="0.25">
      <c r="A8" s="45" t="s">
        <v>13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customHeight="1" x14ac:dyDescent="0.25">
      <c r="A9" s="45" t="s">
        <v>16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customHeight="1" x14ac:dyDescent="0.25">
      <c r="A10" s="45" t="s">
        <v>18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customHeight="1" x14ac:dyDescent="0.25">
      <c r="A11" s="45" t="s">
        <v>21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customHeight="1" x14ac:dyDescent="0.25">
      <c r="A12" s="45" t="s">
        <v>23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customHeight="1" x14ac:dyDescent="0.25">
      <c r="A13" s="45" t="s">
        <v>26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customHeight="1" x14ac:dyDescent="0.25">
      <c r="A14" s="45" t="s">
        <v>29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customHeight="1" x14ac:dyDescent="0.25">
      <c r="A15" s="45" t="s">
        <v>31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45" t="s">
        <v>34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45" t="s">
        <v>37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45" t="s">
        <v>40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45" t="s">
        <v>42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45" t="s">
        <v>45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48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50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53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56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58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61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63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66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69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72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75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78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80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82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84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86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88</v>
      </c>
      <c r="B37" s="32">
        <v>3037</v>
      </c>
      <c r="C37" s="32">
        <f t="shared" ref="C37:C68" si="2">B37/$F$4</f>
        <v>0.69337899543379</v>
      </c>
      <c r="D37" s="32">
        <f t="shared" ref="D37:D68" si="3">C37*1000</f>
        <v>693.37899543379001</v>
      </c>
      <c r="I37" s="32"/>
    </row>
    <row r="38" spans="1:10" ht="15.75" customHeight="1" x14ac:dyDescent="0.25">
      <c r="A38" s="45" t="s">
        <v>90</v>
      </c>
      <c r="B38" s="32">
        <v>347</v>
      </c>
      <c r="C38" s="32">
        <f t="shared" si="2"/>
        <v>7.9223744292237441E-2</v>
      </c>
      <c r="D38" s="32">
        <f t="shared" si="3"/>
        <v>79.223744292237441</v>
      </c>
      <c r="I38" s="32"/>
    </row>
    <row r="39" spans="1:10" ht="15.75" customHeight="1" x14ac:dyDescent="0.25">
      <c r="A39" s="45" t="s">
        <v>92</v>
      </c>
      <c r="B39" s="32">
        <v>3046</v>
      </c>
      <c r="C39" s="32">
        <f t="shared" si="2"/>
        <v>0.69543378995433791</v>
      </c>
      <c r="D39" s="32">
        <f t="shared" si="3"/>
        <v>695.43378995433795</v>
      </c>
      <c r="I39" s="32"/>
      <c r="J39" s="64"/>
    </row>
    <row r="40" spans="1:10" ht="15.75" customHeight="1" x14ac:dyDescent="0.25">
      <c r="A40" s="45" t="s">
        <v>94</v>
      </c>
      <c r="B40" s="32">
        <v>3016</v>
      </c>
      <c r="C40" s="32">
        <f t="shared" si="2"/>
        <v>0.68858447488584473</v>
      </c>
      <c r="D40" s="32">
        <f t="shared" si="3"/>
        <v>688.58447488584477</v>
      </c>
      <c r="I40" s="32"/>
    </row>
    <row r="41" spans="1:10" ht="15.75" customHeight="1" x14ac:dyDescent="0.25">
      <c r="A41" s="45" t="s">
        <v>96</v>
      </c>
      <c r="B41" s="64">
        <v>18184</v>
      </c>
      <c r="C41" s="32">
        <f t="shared" si="2"/>
        <v>4.1515981735159819</v>
      </c>
      <c r="D41" s="32">
        <f t="shared" si="3"/>
        <v>4151.5981735159821</v>
      </c>
      <c r="I41" s="32"/>
    </row>
    <row r="42" spans="1:10" ht="15.75" customHeight="1" x14ac:dyDescent="0.25">
      <c r="A42" s="45" t="s">
        <v>98</v>
      </c>
      <c r="B42" s="32">
        <v>8368</v>
      </c>
      <c r="C42" s="32">
        <f t="shared" si="2"/>
        <v>1.9105022831050229</v>
      </c>
      <c r="D42" s="32">
        <f t="shared" si="3"/>
        <v>1910.5022831050228</v>
      </c>
      <c r="I42" s="32"/>
    </row>
    <row r="43" spans="1:10" ht="15.75" customHeight="1" x14ac:dyDescent="0.25">
      <c r="A43" s="45" t="s">
        <v>100</v>
      </c>
      <c r="B43" s="32">
        <v>59</v>
      </c>
      <c r="C43" s="32">
        <f t="shared" si="2"/>
        <v>1.3470319634703196E-2</v>
      </c>
      <c r="D43" s="32">
        <f t="shared" si="3"/>
        <v>13.470319634703197</v>
      </c>
      <c r="I43" s="32"/>
    </row>
    <row r="44" spans="1:10" ht="15.75" customHeight="1" x14ac:dyDescent="0.25">
      <c r="A44" s="45" t="s">
        <v>102</v>
      </c>
      <c r="B44" s="32">
        <v>1889</v>
      </c>
      <c r="C44" s="32">
        <f t="shared" si="2"/>
        <v>0.43127853881278538</v>
      </c>
      <c r="D44" s="32">
        <f t="shared" si="3"/>
        <v>431.27853881278537</v>
      </c>
      <c r="I44" s="32"/>
    </row>
    <row r="45" spans="1:10" ht="15.75" customHeight="1" x14ac:dyDescent="0.25">
      <c r="A45" s="45" t="s">
        <v>104</v>
      </c>
      <c r="B45" s="32">
        <v>1047</v>
      </c>
      <c r="C45" s="32">
        <f t="shared" si="2"/>
        <v>0.23904109589041095</v>
      </c>
      <c r="D45" s="32">
        <f t="shared" si="3"/>
        <v>239.04109589041096</v>
      </c>
      <c r="I45" s="32"/>
    </row>
    <row r="46" spans="1:10" ht="15.75" customHeight="1" x14ac:dyDescent="0.25">
      <c r="A46" s="45" t="s">
        <v>106</v>
      </c>
      <c r="B46" s="32">
        <v>5745</v>
      </c>
      <c r="C46" s="32">
        <f t="shared" si="2"/>
        <v>1.3116438356164384</v>
      </c>
      <c r="D46" s="32">
        <f t="shared" si="3"/>
        <v>1311.6438356164383</v>
      </c>
      <c r="I46" s="32"/>
    </row>
    <row r="47" spans="1:10" ht="21" customHeight="1" x14ac:dyDescent="0.25">
      <c r="A47" s="45" t="s">
        <v>108</v>
      </c>
      <c r="B47" s="32">
        <v>3006</v>
      </c>
      <c r="C47" s="32">
        <f t="shared" si="2"/>
        <v>0.68630136986301371</v>
      </c>
      <c r="D47" s="32">
        <f t="shared" si="3"/>
        <v>686.30136986301375</v>
      </c>
      <c r="I47" s="32"/>
    </row>
    <row r="48" spans="1:10" ht="15.75" customHeight="1" x14ac:dyDescent="0.25">
      <c r="A48" s="45" t="s">
        <v>110</v>
      </c>
      <c r="B48" s="32">
        <v>3528</v>
      </c>
      <c r="C48" s="32">
        <f t="shared" si="2"/>
        <v>0.80547945205479454</v>
      </c>
      <c r="D48" s="32">
        <f t="shared" si="3"/>
        <v>805.47945205479459</v>
      </c>
      <c r="I48" s="32"/>
    </row>
    <row r="49" spans="1:13" ht="15.75" customHeight="1" x14ac:dyDescent="0.25">
      <c r="A49" s="45" t="s">
        <v>112</v>
      </c>
      <c r="B49" s="32">
        <v>1710</v>
      </c>
      <c r="C49" s="32">
        <f t="shared" si="2"/>
        <v>0.3904109589041096</v>
      </c>
      <c r="D49" s="32">
        <f t="shared" si="3"/>
        <v>390.41095890410958</v>
      </c>
      <c r="I49" s="32"/>
    </row>
    <row r="50" spans="1:13" ht="15.75" customHeight="1" x14ac:dyDescent="0.25">
      <c r="A50" s="45" t="s">
        <v>114</v>
      </c>
      <c r="B50" s="32">
        <v>3657</v>
      </c>
      <c r="C50" s="32">
        <f t="shared" si="2"/>
        <v>0.83493150684931505</v>
      </c>
      <c r="D50" s="32">
        <f t="shared" si="3"/>
        <v>834.93150684931504</v>
      </c>
      <c r="I50" s="32"/>
    </row>
    <row r="51" spans="1:13" ht="15.75" customHeight="1" x14ac:dyDescent="0.25">
      <c r="A51" s="45" t="s">
        <v>116</v>
      </c>
      <c r="B51" s="32">
        <v>27249</v>
      </c>
      <c r="C51" s="32">
        <f t="shared" si="2"/>
        <v>6.2212328767123291</v>
      </c>
      <c r="D51" s="32">
        <f t="shared" si="3"/>
        <v>6221.232876712329</v>
      </c>
      <c r="I51" s="32"/>
    </row>
    <row r="52" spans="1:13" ht="15.75" customHeight="1" x14ac:dyDescent="0.25">
      <c r="A52" s="45" t="s">
        <v>118</v>
      </c>
      <c r="B52" s="32">
        <v>4408</v>
      </c>
      <c r="C52" s="32">
        <f t="shared" si="2"/>
        <v>1.006392694063927</v>
      </c>
      <c r="D52" s="32">
        <f t="shared" si="3"/>
        <v>1006.3926940639269</v>
      </c>
      <c r="I52" s="60"/>
    </row>
    <row r="53" spans="1:13" ht="15.75" customHeight="1" x14ac:dyDescent="0.25">
      <c r="A53" s="45" t="s">
        <v>120</v>
      </c>
      <c r="B53" s="32">
        <v>2287</v>
      </c>
      <c r="C53" s="32">
        <f t="shared" si="2"/>
        <v>0.52214611872146122</v>
      </c>
      <c r="D53" s="32">
        <f t="shared" si="3"/>
        <v>522.14611872146122</v>
      </c>
    </row>
    <row r="54" spans="1:13" ht="15.75" customHeight="1" x14ac:dyDescent="0.25">
      <c r="A54" s="45" t="s">
        <v>122</v>
      </c>
      <c r="B54" s="32">
        <v>4445</v>
      </c>
      <c r="C54" s="32">
        <f t="shared" si="2"/>
        <v>1.0148401826484019</v>
      </c>
      <c r="D54" s="32">
        <f t="shared" si="3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171</v>
      </c>
      <c r="B62" s="58" t="s">
        <v>172</v>
      </c>
      <c r="I62" s="67"/>
      <c r="J62" s="68"/>
      <c r="K62" s="68"/>
      <c r="L62" s="69"/>
    </row>
    <row r="63" spans="1:13" ht="15.75" customHeight="1" x14ac:dyDescent="0.3">
      <c r="A63" s="50" t="s">
        <v>173</v>
      </c>
      <c r="B63" s="45"/>
      <c r="C63" s="45"/>
      <c r="D63" s="45"/>
      <c r="E63" s="45"/>
      <c r="F63" s="45"/>
      <c r="G63" s="51" t="s">
        <v>2</v>
      </c>
      <c r="H63" s="61" t="s">
        <v>174</v>
      </c>
      <c r="I63" s="51" t="s">
        <v>175</v>
      </c>
      <c r="J63" s="67"/>
      <c r="K63" s="68"/>
      <c r="L63" s="68"/>
      <c r="M63" s="69"/>
    </row>
    <row r="64" spans="1:13" ht="15.75" customHeight="1" x14ac:dyDescent="0.3">
      <c r="A64" s="45" t="s">
        <v>176</v>
      </c>
      <c r="B64" s="45" t="s">
        <v>177</v>
      </c>
      <c r="C64" s="45" t="s">
        <v>178</v>
      </c>
      <c r="D64" s="45" t="s">
        <v>179</v>
      </c>
      <c r="E64" s="45" t="s">
        <v>180</v>
      </c>
      <c r="F64" s="45" t="s">
        <v>181</v>
      </c>
      <c r="G64" s="32" t="s">
        <v>3</v>
      </c>
      <c r="J64" s="68"/>
      <c r="K64" s="68"/>
      <c r="L64" s="69"/>
    </row>
    <row r="65" spans="1:13" ht="15.75" customHeight="1" x14ac:dyDescent="0.3">
      <c r="A65" s="45" t="s">
        <v>182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183</v>
      </c>
      <c r="F65" s="32">
        <f>B65/5</f>
        <v>428.6</v>
      </c>
      <c r="G65" s="32" t="s">
        <v>7</v>
      </c>
      <c r="J65" s="67"/>
      <c r="K65" s="67"/>
      <c r="L65" s="68"/>
      <c r="M65" s="69"/>
    </row>
    <row r="66" spans="1:13" ht="15.75" customHeight="1" x14ac:dyDescent="0.3">
      <c r="A66" s="45" t="s">
        <v>184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185</v>
      </c>
      <c r="F66" s="32">
        <f>B66/7</f>
        <v>672.85714285714289</v>
      </c>
      <c r="G66" s="71" t="s">
        <v>10</v>
      </c>
      <c r="H66" s="32">
        <f>F77+F78</f>
        <v>1477.6</v>
      </c>
      <c r="I66" s="32" t="s">
        <v>186</v>
      </c>
      <c r="J66" s="68"/>
      <c r="K66" s="68"/>
      <c r="L66" s="69"/>
    </row>
    <row r="67" spans="1:13" ht="15.75" customHeight="1" x14ac:dyDescent="0.3">
      <c r="A67" s="45" t="s">
        <v>187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188</v>
      </c>
      <c r="F67" s="32">
        <f>B67/6</f>
        <v>426.83333333333331</v>
      </c>
      <c r="G67" s="32" t="s">
        <v>12</v>
      </c>
      <c r="J67" s="67"/>
      <c r="K67" s="68"/>
      <c r="L67" s="68"/>
      <c r="M67" s="69"/>
    </row>
    <row r="68" spans="1:13" ht="15.75" customHeight="1" x14ac:dyDescent="0.3">
      <c r="A68" s="45" t="s">
        <v>189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190</v>
      </c>
      <c r="F68" s="32">
        <f>B68/4</f>
        <v>356.25</v>
      </c>
      <c r="G68" s="32" t="s">
        <v>15</v>
      </c>
      <c r="J68" s="68"/>
      <c r="K68" s="68"/>
      <c r="L68" s="69"/>
    </row>
    <row r="69" spans="1:13" ht="15.75" customHeight="1" x14ac:dyDescent="0.3">
      <c r="A69" s="45" t="s">
        <v>91</v>
      </c>
      <c r="B69" s="45">
        <v>4757</v>
      </c>
      <c r="C69" s="45"/>
      <c r="D69" s="70">
        <v>0.61</v>
      </c>
      <c r="E69" s="45" t="s">
        <v>191</v>
      </c>
      <c r="F69" s="32">
        <f>B69/6</f>
        <v>792.83333333333337</v>
      </c>
      <c r="G69" s="71" t="s">
        <v>1</v>
      </c>
      <c r="H69" s="32">
        <f>F78</f>
        <v>871</v>
      </c>
      <c r="I69" s="32" t="s">
        <v>192</v>
      </c>
      <c r="J69" s="67"/>
      <c r="K69" s="67"/>
      <c r="L69" s="68"/>
      <c r="M69" s="69"/>
    </row>
    <row r="70" spans="1:13" ht="15.75" customHeight="1" x14ac:dyDescent="0.3">
      <c r="A70" s="45" t="s">
        <v>105</v>
      </c>
      <c r="B70" s="45">
        <v>1363</v>
      </c>
      <c r="C70" s="45"/>
      <c r="D70" s="70">
        <v>0.67</v>
      </c>
      <c r="E70" s="45" t="s">
        <v>193</v>
      </c>
      <c r="F70" s="32">
        <f>B70/2</f>
        <v>681.5</v>
      </c>
      <c r="G70" s="32" t="s">
        <v>20</v>
      </c>
      <c r="H70" s="32">
        <f>F66</f>
        <v>672.85714285714289</v>
      </c>
      <c r="I70" s="32" t="s">
        <v>182</v>
      </c>
      <c r="J70" s="67"/>
      <c r="K70" s="68"/>
      <c r="L70" s="69"/>
    </row>
    <row r="71" spans="1:13" ht="15.75" customHeight="1" x14ac:dyDescent="0.3">
      <c r="A71" s="45" t="s">
        <v>194</v>
      </c>
      <c r="B71" s="45">
        <v>2081</v>
      </c>
      <c r="C71" s="45"/>
      <c r="D71" s="70">
        <v>0.65</v>
      </c>
      <c r="E71" s="45" t="s">
        <v>195</v>
      </c>
      <c r="F71" s="32">
        <f>B71/5</f>
        <v>416.2</v>
      </c>
      <c r="G71" s="32" t="s">
        <v>22</v>
      </c>
      <c r="H71" s="32">
        <f>F66</f>
        <v>672.85714285714289</v>
      </c>
      <c r="I71" s="32" t="s">
        <v>184</v>
      </c>
      <c r="J71" s="67"/>
      <c r="K71" s="68"/>
      <c r="L71" s="68"/>
      <c r="M71" s="69"/>
    </row>
    <row r="72" spans="1:13" ht="15.75" customHeight="1" x14ac:dyDescent="0.3">
      <c r="A72" s="45" t="s">
        <v>196</v>
      </c>
      <c r="B72" s="45">
        <f>1741+331</f>
        <v>2072</v>
      </c>
      <c r="C72" s="45"/>
      <c r="D72" s="70">
        <v>0.68</v>
      </c>
      <c r="E72" s="45" t="s">
        <v>197</v>
      </c>
      <c r="F72" s="32">
        <f>B72/3</f>
        <v>690.66666666666663</v>
      </c>
      <c r="G72" s="71" t="s">
        <v>25</v>
      </c>
      <c r="H72" s="32">
        <f>M126</f>
        <v>0</v>
      </c>
      <c r="I72" s="45" t="s">
        <v>187</v>
      </c>
      <c r="J72" s="68"/>
      <c r="K72" s="68"/>
      <c r="L72" s="69"/>
    </row>
    <row r="73" spans="1:13" ht="15.75" customHeight="1" x14ac:dyDescent="0.3">
      <c r="A73" s="45" t="s">
        <v>198</v>
      </c>
      <c r="B73" s="45">
        <f>68+82</f>
        <v>150</v>
      </c>
      <c r="C73" s="45"/>
      <c r="D73" s="70">
        <v>0.63</v>
      </c>
      <c r="E73" s="45" t="s">
        <v>199</v>
      </c>
      <c r="F73" s="32">
        <f>B73/2</f>
        <v>75</v>
      </c>
      <c r="G73" s="32" t="s">
        <v>28</v>
      </c>
      <c r="J73" s="67"/>
      <c r="K73" s="68"/>
      <c r="L73" s="68"/>
      <c r="M73" s="69"/>
    </row>
    <row r="74" spans="1:13" ht="15.75" customHeight="1" x14ac:dyDescent="0.3">
      <c r="A74" s="45" t="s">
        <v>68</v>
      </c>
      <c r="B74" s="45">
        <f>3027+8659</f>
        <v>11686</v>
      </c>
      <c r="C74" s="45"/>
      <c r="D74" s="70">
        <v>0.68</v>
      </c>
      <c r="E74" s="45" t="s">
        <v>200</v>
      </c>
      <c r="F74" s="32">
        <f>B74/7</f>
        <v>1669.4285714285713</v>
      </c>
      <c r="G74" s="32" t="s">
        <v>30</v>
      </c>
      <c r="J74" s="67"/>
      <c r="K74" s="68"/>
      <c r="L74" s="69"/>
    </row>
    <row r="75" spans="1:13" ht="15.75" customHeight="1" x14ac:dyDescent="0.3">
      <c r="A75" s="45" t="s">
        <v>201</v>
      </c>
      <c r="B75" s="45">
        <f>395+388</f>
        <v>783</v>
      </c>
      <c r="C75" s="45"/>
      <c r="D75" s="70">
        <v>0.66</v>
      </c>
      <c r="E75" s="45" t="s">
        <v>108</v>
      </c>
      <c r="F75" s="32">
        <f>B75</f>
        <v>783</v>
      </c>
      <c r="G75" s="32" t="s">
        <v>33</v>
      </c>
      <c r="J75" s="67"/>
      <c r="K75" s="67"/>
      <c r="L75" s="68"/>
      <c r="M75" s="69"/>
    </row>
    <row r="76" spans="1:13" ht="15.75" customHeight="1" x14ac:dyDescent="0.3">
      <c r="A76" s="45" t="s">
        <v>202</v>
      </c>
      <c r="B76" s="45">
        <f>1336+301</f>
        <v>1637</v>
      </c>
      <c r="C76" s="45"/>
      <c r="D76" s="70">
        <v>0.55000000000000004</v>
      </c>
      <c r="E76" s="45" t="s">
        <v>203</v>
      </c>
      <c r="F76" s="32">
        <f>B76/2</f>
        <v>818.5</v>
      </c>
      <c r="G76" s="71" t="s">
        <v>36</v>
      </c>
      <c r="H76" s="32">
        <f>F71</f>
        <v>416.2</v>
      </c>
      <c r="I76" s="45" t="s">
        <v>194</v>
      </c>
      <c r="J76" s="67"/>
      <c r="K76" s="68"/>
      <c r="L76" s="69"/>
    </row>
    <row r="77" spans="1:13" ht="15.75" customHeight="1" x14ac:dyDescent="0.3">
      <c r="A77" s="45" t="s">
        <v>204</v>
      </c>
      <c r="B77" s="45">
        <f>1942+1091</f>
        <v>3033</v>
      </c>
      <c r="C77" s="45"/>
      <c r="D77" s="70">
        <v>0.66</v>
      </c>
      <c r="E77" s="45" t="s">
        <v>205</v>
      </c>
      <c r="F77" s="32">
        <f>B77/5</f>
        <v>606.6</v>
      </c>
      <c r="G77" s="71" t="s">
        <v>39</v>
      </c>
      <c r="H77" s="63">
        <v>792.83333330000005</v>
      </c>
      <c r="I77" s="32" t="s">
        <v>91</v>
      </c>
      <c r="J77" s="67"/>
      <c r="K77" s="68"/>
      <c r="L77" s="68"/>
      <c r="M77" s="69"/>
    </row>
    <row r="78" spans="1:13" ht="15.75" customHeight="1" x14ac:dyDescent="0.3">
      <c r="A78" s="45" t="s">
        <v>192</v>
      </c>
      <c r="B78" s="45">
        <f>2166+447</f>
        <v>2613</v>
      </c>
      <c r="C78" s="45"/>
      <c r="D78" s="70">
        <v>0.7</v>
      </c>
      <c r="E78" s="45" t="s">
        <v>206</v>
      </c>
      <c r="F78" s="32">
        <f>B78/3</f>
        <v>871</v>
      </c>
      <c r="G78" s="32" t="s">
        <v>41</v>
      </c>
      <c r="J78" s="68"/>
      <c r="K78" s="68"/>
      <c r="L78" s="69"/>
    </row>
    <row r="79" spans="1:13" ht="15.75" customHeight="1" x14ac:dyDescent="0.3">
      <c r="A79" s="45" t="s">
        <v>207</v>
      </c>
      <c r="B79" s="45">
        <f>148+416</f>
        <v>564</v>
      </c>
      <c r="C79" s="45"/>
      <c r="D79" s="70">
        <v>0.65</v>
      </c>
      <c r="E79" s="45" t="s">
        <v>208</v>
      </c>
      <c r="F79" s="32">
        <f>B79/3</f>
        <v>188</v>
      </c>
      <c r="G79" s="32" t="s">
        <v>44</v>
      </c>
      <c r="J79" s="67"/>
      <c r="K79" s="68"/>
      <c r="L79" s="68"/>
      <c r="M79" s="69"/>
    </row>
    <row r="80" spans="1:13" ht="15.75" customHeight="1" x14ac:dyDescent="0.3">
      <c r="A80" s="45" t="s">
        <v>209</v>
      </c>
      <c r="B80" s="45">
        <f>15997+9228</f>
        <v>25225</v>
      </c>
      <c r="C80" s="45"/>
      <c r="D80" s="70">
        <v>0.69</v>
      </c>
      <c r="E80" s="45" t="s">
        <v>210</v>
      </c>
      <c r="F80" s="32">
        <f>B80/4</f>
        <v>6306.25</v>
      </c>
      <c r="G80" s="32" t="s">
        <v>47</v>
      </c>
      <c r="J80" s="68"/>
      <c r="K80" s="68"/>
      <c r="L80" s="69"/>
    </row>
    <row r="81" spans="1:13" ht="15.75" customHeight="1" x14ac:dyDescent="0.3">
      <c r="A81" s="45" t="s">
        <v>15</v>
      </c>
      <c r="B81" s="45">
        <f>4029+3025</f>
        <v>7054</v>
      </c>
      <c r="C81" s="45"/>
      <c r="D81" s="70">
        <v>0.63</v>
      </c>
      <c r="E81" s="72" t="s">
        <v>16</v>
      </c>
      <c r="F81" s="32">
        <f>B81</f>
        <v>7054</v>
      </c>
      <c r="G81" s="32" t="s">
        <v>49</v>
      </c>
      <c r="J81" s="67"/>
      <c r="K81" s="67"/>
      <c r="L81" s="68"/>
      <c r="M81" s="69"/>
    </row>
    <row r="82" spans="1:13" ht="15.75" customHeight="1" x14ac:dyDescent="0.3">
      <c r="A82" s="45" t="s">
        <v>7</v>
      </c>
      <c r="B82" s="45">
        <v>4723</v>
      </c>
      <c r="C82" s="45"/>
      <c r="D82" s="45" t="s">
        <v>163</v>
      </c>
      <c r="E82" s="45"/>
      <c r="F82" s="32">
        <f>B82</f>
        <v>4723</v>
      </c>
      <c r="G82" s="71" t="s">
        <v>52</v>
      </c>
      <c r="H82" s="32">
        <f>F65</f>
        <v>428.6</v>
      </c>
      <c r="I82" s="32" t="s">
        <v>182</v>
      </c>
      <c r="J82" s="67"/>
      <c r="K82" s="68"/>
      <c r="L82" s="69"/>
    </row>
    <row r="83" spans="1:13" ht="15.75" customHeight="1" x14ac:dyDescent="0.3">
      <c r="A83" s="45" t="s">
        <v>30</v>
      </c>
      <c r="B83" s="45">
        <v>145</v>
      </c>
      <c r="C83" s="45"/>
      <c r="D83" s="70">
        <v>0.53</v>
      </c>
      <c r="E83" s="45" t="s">
        <v>31</v>
      </c>
      <c r="F83" s="32">
        <f>B83</f>
        <v>145</v>
      </c>
      <c r="G83" s="71" t="s">
        <v>55</v>
      </c>
      <c r="H83" s="32">
        <f>F66</f>
        <v>672.85714285714289</v>
      </c>
      <c r="I83" s="32" t="s">
        <v>184</v>
      </c>
      <c r="J83" s="67"/>
      <c r="K83" s="68"/>
      <c r="L83" s="68"/>
      <c r="M83" s="69"/>
    </row>
    <row r="84" spans="1:13" ht="15.75" customHeight="1" x14ac:dyDescent="0.3">
      <c r="G84" s="32" t="s">
        <v>57</v>
      </c>
      <c r="I84" s="32" t="s">
        <v>182</v>
      </c>
      <c r="J84" s="67"/>
      <c r="K84" s="68"/>
      <c r="L84" s="69"/>
    </row>
    <row r="85" spans="1:13" ht="15.75" customHeight="1" x14ac:dyDescent="0.3">
      <c r="G85" s="71" t="s">
        <v>60</v>
      </c>
      <c r="H85" s="63">
        <f>F68</f>
        <v>356.25</v>
      </c>
      <c r="I85" s="45" t="s">
        <v>189</v>
      </c>
      <c r="J85" s="67"/>
      <c r="K85" s="68"/>
      <c r="L85" s="68"/>
      <c r="M85" s="69"/>
    </row>
    <row r="86" spans="1:13" ht="15.75" customHeight="1" x14ac:dyDescent="0.3">
      <c r="G86" s="71" t="s">
        <v>62</v>
      </c>
      <c r="H86" s="45">
        <f>F73+F71</f>
        <v>491.2</v>
      </c>
      <c r="I86" s="32" t="s">
        <v>211</v>
      </c>
      <c r="J86" s="68"/>
      <c r="K86" s="68"/>
      <c r="L86" s="69"/>
    </row>
    <row r="87" spans="1:13" ht="15.75" customHeight="1" x14ac:dyDescent="0.3">
      <c r="G87" s="32" t="s">
        <v>65</v>
      </c>
      <c r="J87" s="67"/>
      <c r="K87" s="68"/>
      <c r="L87" s="68"/>
      <c r="M87" s="69"/>
    </row>
    <row r="88" spans="1:13" ht="15.75" customHeight="1" x14ac:dyDescent="0.3">
      <c r="G88" s="32" t="s">
        <v>68</v>
      </c>
      <c r="J88" s="67"/>
      <c r="K88" s="68"/>
      <c r="L88" s="69"/>
    </row>
    <row r="89" spans="1:13" ht="15.75" customHeight="1" x14ac:dyDescent="0.3">
      <c r="G89" s="32" t="s">
        <v>71</v>
      </c>
      <c r="J89" s="67"/>
      <c r="K89" s="67"/>
      <c r="L89" s="68"/>
      <c r="M89" s="69"/>
    </row>
    <row r="90" spans="1:13" ht="15.75" customHeight="1" x14ac:dyDescent="0.3">
      <c r="G90" s="32" t="s">
        <v>74</v>
      </c>
      <c r="J90" s="67"/>
      <c r="K90" s="68"/>
      <c r="L90" s="69"/>
    </row>
    <row r="91" spans="1:13" ht="15.75" customHeight="1" x14ac:dyDescent="0.3">
      <c r="G91" s="71" t="s">
        <v>77</v>
      </c>
      <c r="H91" s="32">
        <f>F78+F79</f>
        <v>1059</v>
      </c>
      <c r="I91" s="32" t="s">
        <v>212</v>
      </c>
      <c r="J91" s="67"/>
      <c r="K91" s="68"/>
      <c r="L91" s="68"/>
      <c r="M91" s="69"/>
    </row>
    <row r="92" spans="1:13" ht="15.75" customHeight="1" x14ac:dyDescent="0.3">
      <c r="G92" s="32" t="s">
        <v>79</v>
      </c>
      <c r="I92" s="32" t="s">
        <v>182</v>
      </c>
      <c r="J92" s="68"/>
      <c r="K92" s="68"/>
      <c r="L92" s="69"/>
    </row>
    <row r="93" spans="1:13" ht="15.75" customHeight="1" x14ac:dyDescent="0.3">
      <c r="G93" s="71" t="s">
        <v>81</v>
      </c>
      <c r="H93" s="32">
        <f>F66</f>
        <v>672.85714285714289</v>
      </c>
      <c r="I93" s="32" t="s">
        <v>184</v>
      </c>
      <c r="J93" s="67"/>
      <c r="K93" s="68"/>
      <c r="L93" s="68"/>
      <c r="M93" s="69"/>
    </row>
    <row r="94" spans="1:13" ht="15.75" customHeight="1" x14ac:dyDescent="0.3">
      <c r="G94" s="71" t="s">
        <v>83</v>
      </c>
      <c r="H94" s="32">
        <f>F78+F79</f>
        <v>1059</v>
      </c>
      <c r="I94" s="32" t="s">
        <v>212</v>
      </c>
      <c r="J94" s="68"/>
      <c r="K94" s="68"/>
      <c r="L94" s="69"/>
    </row>
    <row r="95" spans="1:13" ht="15.75" customHeight="1" x14ac:dyDescent="0.25">
      <c r="G95" s="32" t="s">
        <v>85</v>
      </c>
    </row>
    <row r="96" spans="1:13" ht="15.75" customHeight="1" x14ac:dyDescent="0.25">
      <c r="G96" s="71" t="s">
        <v>87</v>
      </c>
      <c r="H96" s="32">
        <f>+F67+F70</f>
        <v>1108.3333333333333</v>
      </c>
      <c r="I96" s="45" t="s">
        <v>213</v>
      </c>
    </row>
    <row r="97" spans="7:9" ht="15.75" customHeight="1" x14ac:dyDescent="0.25">
      <c r="G97" s="32" t="s">
        <v>89</v>
      </c>
    </row>
    <row r="98" spans="7:9" ht="15.75" customHeight="1" x14ac:dyDescent="0.25">
      <c r="G98" s="71" t="s">
        <v>91</v>
      </c>
      <c r="H98" s="32">
        <f>F68+F69</f>
        <v>1149.0833333333335</v>
      </c>
      <c r="I98" s="32" t="s">
        <v>214</v>
      </c>
    </row>
    <row r="99" spans="7:9" ht="15.75" customHeight="1" x14ac:dyDescent="0.25">
      <c r="G99" s="32" t="s">
        <v>93</v>
      </c>
    </row>
    <row r="100" spans="7:9" ht="15.75" customHeight="1" x14ac:dyDescent="0.25">
      <c r="G100" s="71" t="s">
        <v>95</v>
      </c>
      <c r="H100" s="64">
        <f>F80</f>
        <v>6306.25</v>
      </c>
      <c r="I100" s="45" t="s">
        <v>209</v>
      </c>
    </row>
    <row r="101" spans="7:9" ht="15.75" customHeight="1" x14ac:dyDescent="0.25">
      <c r="G101" s="71" t="s">
        <v>97</v>
      </c>
      <c r="H101" s="32">
        <f>F66+F69</f>
        <v>1465.6904761904761</v>
      </c>
      <c r="I101" s="32" t="s">
        <v>215</v>
      </c>
    </row>
    <row r="102" spans="7:9" ht="15.75" customHeight="1" x14ac:dyDescent="0.25">
      <c r="G102" s="32" t="s">
        <v>99</v>
      </c>
    </row>
    <row r="103" spans="7:9" ht="15.75" customHeight="1" x14ac:dyDescent="0.25">
      <c r="G103" s="32" t="s">
        <v>101</v>
      </c>
    </row>
    <row r="104" spans="7:9" ht="15.75" customHeight="1" x14ac:dyDescent="0.25">
      <c r="G104" s="32" t="s">
        <v>103</v>
      </c>
    </row>
    <row r="105" spans="7:9" ht="15.75" customHeight="1" x14ac:dyDescent="0.25">
      <c r="G105" s="32" t="s">
        <v>105</v>
      </c>
    </row>
    <row r="106" spans="7:9" ht="15.75" customHeight="1" x14ac:dyDescent="0.25">
      <c r="G106" s="71" t="s">
        <v>107</v>
      </c>
      <c r="H106" s="32">
        <f>F75+F76</f>
        <v>1601.5</v>
      </c>
      <c r="I106" s="73" t="s">
        <v>216</v>
      </c>
    </row>
    <row r="107" spans="7:9" ht="15.75" customHeight="1" x14ac:dyDescent="0.25">
      <c r="G107" s="32" t="s">
        <v>109</v>
      </c>
    </row>
    <row r="108" spans="7:9" ht="15.75" customHeight="1" x14ac:dyDescent="0.25">
      <c r="G108" s="32" t="s">
        <v>111</v>
      </c>
    </row>
    <row r="109" spans="7:9" ht="15.75" customHeight="1" x14ac:dyDescent="0.25">
      <c r="G109" s="71" t="s">
        <v>113</v>
      </c>
      <c r="H109" s="32">
        <f>F66+F69</f>
        <v>1465.6904761904761</v>
      </c>
      <c r="I109" s="32" t="s">
        <v>215</v>
      </c>
    </row>
    <row r="110" spans="7:9" ht="15.75" customHeight="1" x14ac:dyDescent="0.25">
      <c r="G110" s="32" t="s">
        <v>115</v>
      </c>
    </row>
    <row r="111" spans="7:9" ht="15.75" customHeight="1" x14ac:dyDescent="0.25">
      <c r="G111" s="32" t="s">
        <v>117</v>
      </c>
    </row>
    <row r="112" spans="7:9" ht="15.75" customHeight="1" x14ac:dyDescent="0.25">
      <c r="G112" s="71" t="s">
        <v>119</v>
      </c>
      <c r="H112" s="32">
        <f>F68+F71</f>
        <v>772.45</v>
      </c>
      <c r="I112" s="32" t="s">
        <v>217</v>
      </c>
    </row>
    <row r="113" spans="7:7" ht="15.75" customHeight="1" x14ac:dyDescent="0.25">
      <c r="G113" s="60" t="s">
        <v>121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00000000-0004-0000-08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2023-09-29T17:45:55Z</dcterms:modified>
</cp:coreProperties>
</file>