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CodeRepositories\eps-hongkong\"/>
    </mc:Choice>
  </mc:AlternateContent>
  <bookViews>
    <workbookView xWindow="480" yWindow="90" windowWidth="27795" windowHeight="14130"/>
  </bookViews>
  <sheets>
    <sheet name="About" sheetId="8" r:id="rId1"/>
    <sheet name="Calculations" sheetId="2" r:id="rId2"/>
    <sheet name="Cost Curve" sheetId="5" r:id="rId3"/>
    <sheet name="2.0.0-hk-Decarbonization" sheetId="9"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19" i="2"/>
  <c r="C17" i="2"/>
  <c r="C13" i="2"/>
  <c r="C11" i="2"/>
  <c r="C18" i="2"/>
  <c r="C24" i="2"/>
  <c r="C22" i="2"/>
  <c r="C12" i="2"/>
  <c r="C20" i="2"/>
  <c r="C27" i="2"/>
  <c r="C4" i="2"/>
  <c r="C23" i="2"/>
  <c r="C21" i="2"/>
  <c r="C16" i="2"/>
  <c r="C8" i="2"/>
  <c r="C6" i="2"/>
  <c r="C14" i="2"/>
  <c r="C15" i="2"/>
  <c r="C25" i="2"/>
  <c r="C3" i="2"/>
  <c r="C9" i="2"/>
  <c r="C5" i="2"/>
  <c r="C26" i="2"/>
  <c r="C7" i="2"/>
  <c r="C10" i="2"/>
  <c r="A12" i="5" l="1"/>
  <c r="A23" i="5"/>
  <c r="A5" i="5"/>
  <c r="D13" i="2"/>
  <c r="A22" i="5" l="1"/>
  <c r="A19" i="5" l="1"/>
  <c r="A26" i="5"/>
  <c r="A25" i="5"/>
  <c r="A8" i="5"/>
  <c r="A3" i="5"/>
  <c r="A24" i="5"/>
  <c r="A2" i="5"/>
  <c r="A6" i="5"/>
  <c r="A4" i="5"/>
  <c r="A9" i="5"/>
  <c r="A11" i="5"/>
  <c r="A7" i="5"/>
  <c r="A10" i="5"/>
  <c r="A14" i="5"/>
  <c r="A18" i="5"/>
  <c r="A17" i="5"/>
  <c r="A17" i="2"/>
  <c r="D27" i="2"/>
  <c r="J11" i="2"/>
  <c r="D8" i="2"/>
  <c r="D3" i="2"/>
  <c r="J14" i="2"/>
  <c r="D6" i="2"/>
  <c r="D9" i="2"/>
  <c r="J13" i="2"/>
  <c r="J3" i="2"/>
  <c r="J18" i="2"/>
  <c r="D17" i="2"/>
  <c r="D16" i="2"/>
  <c r="D5" i="2"/>
  <c r="J16" i="2"/>
  <c r="J8" i="2"/>
  <c r="D7" i="2"/>
  <c r="J17" i="2"/>
  <c r="J4" i="2"/>
  <c r="D14" i="2"/>
  <c r="J19" i="2"/>
  <c r="D11" i="2"/>
  <c r="J12" i="2"/>
  <c r="J9" i="2"/>
  <c r="D15" i="2"/>
  <c r="D20" i="2"/>
  <c r="J5" i="2"/>
  <c r="D18" i="2"/>
  <c r="D19" i="2"/>
  <c r="D4" i="2"/>
  <c r="J10" i="2"/>
  <c r="D10" i="2"/>
  <c r="J15" i="2"/>
  <c r="D12" i="2"/>
  <c r="J7" i="2"/>
  <c r="J6" i="2"/>
  <c r="E27" i="2" l="1"/>
  <c r="A20" i="5"/>
  <c r="E20" i="2"/>
  <c r="A15" i="5"/>
  <c r="K3" i="2"/>
  <c r="L3" i="2" s="1"/>
  <c r="A16" i="5"/>
  <c r="A13" i="5"/>
  <c r="A21"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D25" i="2"/>
  <c r="J24" i="2"/>
  <c r="J23" i="2"/>
  <c r="D22" i="2"/>
  <c r="D21" i="2"/>
  <c r="J22" i="2"/>
  <c r="J20" i="2"/>
  <c r="J21" i="2"/>
  <c r="D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19" i="5" s="1"/>
  <c r="F4" i="2"/>
  <c r="F16" i="2"/>
  <c r="F12" i="2"/>
  <c r="F26" i="2"/>
  <c r="G26" i="2" s="1"/>
  <c r="H26" i="2" s="1"/>
  <c r="B21" i="5" s="1"/>
  <c r="F19" i="2"/>
  <c r="F6" i="2"/>
  <c r="F21" i="2"/>
  <c r="F25" i="2"/>
  <c r="F14" i="2"/>
  <c r="F22" i="2"/>
  <c r="F15" i="2"/>
  <c r="F9" i="2"/>
  <c r="F20" i="2"/>
  <c r="F11" i="2"/>
  <c r="F7" i="2"/>
  <c r="F18" i="2"/>
  <c r="F27" i="2"/>
  <c r="G27" i="2" s="1"/>
  <c r="M27" i="2" s="1"/>
  <c r="C22" i="5" s="1"/>
  <c r="F24" i="2"/>
  <c r="F10" i="2"/>
  <c r="F13" i="2"/>
  <c r="F17" i="2"/>
  <c r="G25" i="2" l="1"/>
  <c r="H25" i="2" s="1"/>
  <c r="B20" i="5" s="1"/>
  <c r="M3" i="2"/>
  <c r="C19" i="5" s="1"/>
  <c r="G22" i="2"/>
  <c r="M22" i="2" s="1"/>
  <c r="C15" i="5" s="1"/>
  <c r="G7" i="2"/>
  <c r="H7" i="2" s="1"/>
  <c r="B3" i="5" s="1"/>
  <c r="M26" i="2"/>
  <c r="C21" i="5" s="1"/>
  <c r="G24" i="2"/>
  <c r="M24" i="2" s="1"/>
  <c r="C17" i="5" s="1"/>
  <c r="G15" i="2"/>
  <c r="M15" i="2" s="1"/>
  <c r="C9" i="5" s="1"/>
  <c r="H27" i="2"/>
  <c r="G19" i="2"/>
  <c r="M19" i="2" s="1"/>
  <c r="C14" i="5" s="1"/>
  <c r="G21" i="2"/>
  <c r="M21" i="2" s="1"/>
  <c r="C16" i="5" s="1"/>
  <c r="G10" i="2"/>
  <c r="M10" i="2" s="1"/>
  <c r="C6" i="5" s="1"/>
  <c r="G23" i="2"/>
  <c r="G8" i="2"/>
  <c r="M8" i="2" s="1"/>
  <c r="C24" i="5" s="1"/>
  <c r="G12" i="2"/>
  <c r="M12" i="2" s="1"/>
  <c r="C5" i="5" s="1"/>
  <c r="G17" i="2"/>
  <c r="M17" i="2" s="1"/>
  <c r="C7" i="5" s="1"/>
  <c r="G6" i="2"/>
  <c r="M6" i="2" s="1"/>
  <c r="C8" i="5" s="1"/>
  <c r="G13" i="2"/>
  <c r="H13" i="2" s="1"/>
  <c r="B12" i="5" s="1"/>
  <c r="G16" i="2"/>
  <c r="H16" i="2" s="1"/>
  <c r="B11" i="5" s="1"/>
  <c r="G20" i="2"/>
  <c r="G5" i="2"/>
  <c r="H5" i="2" s="1"/>
  <c r="B25" i="5" s="1"/>
  <c r="G14" i="2"/>
  <c r="H14" i="2" s="1"/>
  <c r="B23" i="5" s="1"/>
  <c r="G4" i="2"/>
  <c r="M4" i="2" s="1"/>
  <c r="C26" i="5" s="1"/>
  <c r="G11" i="2"/>
  <c r="H11" i="2" s="1"/>
  <c r="B4" i="5" s="1"/>
  <c r="G9" i="2"/>
  <c r="H9" i="2" s="1"/>
  <c r="B2" i="5" s="1"/>
  <c r="G18" i="2"/>
  <c r="M18" i="2" s="1"/>
  <c r="C10" i="5" s="1"/>
  <c r="B22" i="5" l="1"/>
  <c r="A86" i="5" s="1"/>
  <c r="Y41" i="5"/>
  <c r="C98" i="5"/>
  <c r="M25" i="2"/>
  <c r="C20" i="5" s="1"/>
  <c r="X88" i="5" s="1"/>
  <c r="M7" i="2"/>
  <c r="C3" i="5" s="1"/>
  <c r="H12" i="2"/>
  <c r="H4" i="2"/>
  <c r="B26" i="5" s="1"/>
  <c r="M16" i="2"/>
  <c r="C11" i="5" s="1"/>
  <c r="H10" i="2"/>
  <c r="B6" i="5" s="1"/>
  <c r="H22" i="2"/>
  <c r="B15" i="5" s="1"/>
  <c r="H15" i="2"/>
  <c r="B9" i="5" s="1"/>
  <c r="M5" i="2"/>
  <c r="C25" i="5" s="1"/>
  <c r="M14" i="2"/>
  <c r="C23" i="5" s="1"/>
  <c r="Z92" i="5" s="1"/>
  <c r="H18" i="2"/>
  <c r="B10" i="5" s="1"/>
  <c r="H17" i="2"/>
  <c r="B7" i="5" s="1"/>
  <c r="M11" i="2"/>
  <c r="C4" i="5" s="1"/>
  <c r="H6" i="2"/>
  <c r="B8" i="5" s="1"/>
  <c r="A44" i="5" s="1"/>
  <c r="H19" i="2"/>
  <c r="B14" i="5" s="1"/>
  <c r="H21" i="2"/>
  <c r="B16" i="5" s="1"/>
  <c r="M13" i="2"/>
  <c r="C12" i="5" s="1"/>
  <c r="H24" i="2"/>
  <c r="B17" i="5" s="1"/>
  <c r="M23" i="2"/>
  <c r="C18" i="5" s="1"/>
  <c r="H23" i="2"/>
  <c r="B18" i="5" s="1"/>
  <c r="M9" i="2"/>
  <c r="C2" i="5" s="1"/>
  <c r="H8" i="2"/>
  <c r="B24" i="5" s="1"/>
  <c r="M20" i="2"/>
  <c r="C13" i="5" s="1"/>
  <c r="H20" i="2"/>
  <c r="B13" i="5" s="1"/>
  <c r="T79" i="5" l="1"/>
  <c r="V84" i="5"/>
  <c r="R76" i="5"/>
  <c r="V83" i="5"/>
  <c r="C96" i="5"/>
  <c r="B5" i="5"/>
  <c r="H41" i="5" s="1"/>
  <c r="W41" i="5"/>
  <c r="R41" i="5"/>
  <c r="Z41" i="5"/>
  <c r="N41" i="5"/>
  <c r="N67" i="5"/>
  <c r="C45" i="5"/>
  <c r="W86" i="5"/>
  <c r="C99" i="5"/>
  <c r="W85" i="5"/>
  <c r="D41" i="5"/>
  <c r="G53" i="5"/>
  <c r="G41" i="5"/>
  <c r="I41" i="5"/>
  <c r="K41" i="5"/>
  <c r="S77" i="5"/>
  <c r="K62" i="5"/>
  <c r="S78" i="5"/>
  <c r="O70" i="5"/>
  <c r="O69" i="5"/>
  <c r="L63" i="5"/>
  <c r="L41" i="5"/>
  <c r="J60" i="5"/>
  <c r="J59" i="5"/>
  <c r="U41" i="5"/>
  <c r="F41" i="5"/>
  <c r="O41" i="5"/>
  <c r="S41" i="5"/>
  <c r="B41" i="5"/>
  <c r="Q41" i="5"/>
  <c r="V41" i="5"/>
  <c r="M41" i="5"/>
  <c r="T41" i="5"/>
  <c r="E41" i="5"/>
  <c r="A45" i="5"/>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A46" i="5" l="1"/>
  <c r="A47" i="5" s="1"/>
  <c r="A48" i="5" s="1"/>
  <c r="C41" i="5"/>
  <c r="P41" i="5"/>
  <c r="J41" i="5"/>
  <c r="C97" i="5"/>
  <c r="X41" i="5"/>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<sst xmlns="http://schemas.openxmlformats.org/spreadsheetml/2006/main" count="166" uniqueCount="96">
  <si>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</si>
  <si>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</si>
  <si>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</si>
  <si>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</si>
  <si>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</si>
  <si>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</si>
  <si>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</si>
  <si>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 Policy Group</t>
  </si>
  <si>
    <t>This is the width of each box.</t>
  </si>
  <si>
    <t>Cost or Savings Attributable to This Policy Group</t>
  </si>
  <si>
    <t>Cost or Savings per Ton Abated (in Dollars per Ton)</t>
  </si>
  <si>
    <t>This is the height of each box.</t>
  </si>
  <si>
    <t>DisabledPolicyGroup=All</t>
  </si>
  <si>
    <t>DisabledPolicies=All</t>
  </si>
  <si>
    <t>Number of Years in Model Run</t>
  </si>
  <si>
    <t>Settings</t>
  </si>
  <si>
    <t>First simulated year</t>
  </si>
  <si>
    <t>Final Year in Cost Curve</t>
  </si>
  <si>
    <t>Source Data Tab Name</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</si>
  <si>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</si>
  <si>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</si>
  <si>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</si>
  <si>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</si>
  <si>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</si>
  <si>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</si>
  <si>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</si>
  <si>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</si>
  <si>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</si>
  <si>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</si>
  <si>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</si>
  <si>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</si>
  <si>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</si>
  <si>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</si>
  <si>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</si>
  <si>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</si>
  <si>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</si>
  <si>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</si>
  <si>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</si>
  <si>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</si>
  <si>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</si>
  <si>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</si>
  <si>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</si>
  <si>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</si>
  <si>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</si>
  <si>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</si>
  <si>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</si>
  <si>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</si>
  <si>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</si>
  <si>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</si>
  <si>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</si>
  <si>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</si>
  <si>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</si>
  <si>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</si>
  <si>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</si>
  <si>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</si>
  <si>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</si>
  <si>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</si>
  <si>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</si>
  <si>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</si>
  <si>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</si>
  <si>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</si>
  <si>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</si>
  <si>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</si>
  <si>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</si>
  <si>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</si>
  <si>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</si>
  <si>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DisabledPolicies=Transportation Demand Management - Passengers, Transportation Demand Management - Freight</t>
  </si>
  <si>
    <t>Output First Year NPV of CapEx and OpEx through This Year with Revenue Neutral Taxes and Subsidies</t>
  </si>
  <si>
    <t>First Year NPV of CapEx and OpEx through This Year</t>
  </si>
  <si>
    <t>DisabledPolicyGroup=Building Component Electrification</t>
  </si>
  <si>
    <t>DisabledPolicyGroup=Increased Retrofitting</t>
  </si>
  <si>
    <t>DisabledPolicies=Retrofit Existing Buildings - Urban Residential, Retrofit Existing Buildings - Rural Residential, Retrofit Existing Buildings - Commercial</t>
  </si>
  <si>
    <t>DisabledPolicyGroup=EV Charger Deployment</t>
  </si>
  <si>
    <t>DisabledPolicies=Electric Vehicle Charger Deployment</t>
  </si>
  <si>
    <t>DisabledPolicyGroup=EV Range n Charging Time</t>
  </si>
  <si>
    <t>DisabledPolicies=Electric Vehicle Range n Charging Time</t>
  </si>
  <si>
    <t>DisabledPolicyGroup=EV Sales Mandate</t>
  </si>
  <si>
    <t>DisabledPolicies=Electric Vehicle Sales Mandate - Passenger LDVs, Electric Vehicle Sales Mandate - Freight LDVs, Electric Vehicle Sales Mandate - Passenger HDVs, Electric Vehicle Sales Mandate - Passenger Motorbikes, Electric Vehicle Sales Mandate - Freight Motorbikes</t>
  </si>
  <si>
    <t>DisabledPolicies=Fuel Economy Standard - Passenger LDVs, Fuel Economy Standard - Freight LDVs, Fuel Economy Standard - Passenger HDVs, Fuel Economy Standard - Freight HDVs, Fuel Economy Standard - Passenger Motorbikes, Fuel Economy Standard - Freight Motorbikes</t>
  </si>
  <si>
    <t>DisabledPolicies=Building Component Electrification - Urban Residential Appliances, Building Component Electrification - Urban Residential Other Components, Building Component Electrification - Rural Residential Appliances, Building Component Electrification - Rural Residential Other Components, Building Component Electrification - Commercial Appliances, Building Component Electrification - Commercial Other Components</t>
  </si>
  <si>
    <t>DisabledPolicies=Building Energy Efficiency Standards - Urban Residential Cooling and Ventilation, Building Energy Efficiency Standards - Urban Residential Envelope, Building Energy Efficiency Standards - Urban Residential Lighting, Building Energy Efficiency Standards - Urban Residential Appliances, Building Energy Efficiency Standards - Urban Residential Other Components, Building Energy Efficiency Standards - Rural Residential Cooling and Ventilation, Building Energy Efficiency Standards - Rural Residential Envelope, Building Energy Efficiency Standards - Rural Residential Lighting, Building Energy Efficiency Standards - Rural Residential Appliances, Building Energy Efficiency Standards - Rural Residential Other Components, Building Energy Efficiency Standards - Commercial Cooling and Ventilation, Building Energy Efficiency Standards - Commercial Envelope, Building Energy Efficiency Standards - Commercial Lighting, Building Energy Efficiency Standards - Commercial Appliances, Building Energy Efficiency Standards - Commercial Other Components</t>
  </si>
  <si>
    <t>DisabledPolicyGroup=Contractor Training</t>
  </si>
  <si>
    <t>DisabledPolicies=Contractor Training</t>
  </si>
  <si>
    <t>DisabledPolicyGroup=Improved Labeling</t>
  </si>
  <si>
    <t>DisabledPolicies=Improved Labeling</t>
  </si>
  <si>
    <t>DisabledPolicyGroup=Ban New Power Plants</t>
  </si>
  <si>
    <t>DisabledPolicies=Ban New Power Plants - Hard Coal</t>
  </si>
  <si>
    <t>DisabledPolicyGroup=Carbon-free Electricity Standard</t>
  </si>
  <si>
    <t>DisabledPolicies=Carbon-free Electricity Standard</t>
  </si>
  <si>
    <t>DisabledPolicyGroup=Electricity Imports and Exports</t>
  </si>
  <si>
    <t>DisabledPolicies=Change Electricity Imports</t>
  </si>
  <si>
    <t>DisabledPolicyGroup=Industry Energy Efficiency Standards</t>
  </si>
  <si>
    <t>DisabledPolicies=Industry Energy Efficiency Standards - Other Industries</t>
  </si>
  <si>
    <t>DisabledPolicyGroup=Carbon Capture and Sequestration</t>
  </si>
  <si>
    <t>DisabledPolicies=Carbon Capture and Sequestration</t>
  </si>
  <si>
    <t>2.0.0-hk-Decarbonization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</si>
</sst>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xf numFmtId="164" fontId="0" fillId="0" borderId="16" xfId="0" applyNumberFormat="1" applyBorder="1" applyAlignment="1">
      <alignment horizontal="right"/>
    </xf>
    <xf numFmtId="2" fontId="0" fillId="0" borderId="17" xfId="0" applyNumberFormat="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Building Component Electrification</c:v>
                </c:pt>
              </c:strCache>
            </c:strRef>
          </c:tx>
          <c:spPr>
            <a:solidFill>
              <a:schemeClr val="accent1"/>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-36.920227601334275</c:v>
                </c:pt>
                <c:pt idx="2">
                  <c:v>-36.920227601334275</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Vehicle Fuel Economy Standards</c:v>
                </c:pt>
              </c:strCache>
            </c:strRef>
          </c:tx>
          <c:spPr>
            <a:solidFill>
              <a:schemeClr val="accent2"/>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-35.205029701636086</c:v>
                </c:pt>
                <c:pt idx="4" formatCode="0.00">
                  <c:v>-35.205029701636086</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Contractor Training</c:v>
                </c:pt>
              </c:strCache>
            </c:strRef>
          </c:tx>
          <c:spPr>
            <a:solidFill>
              <a:schemeClr val="accent3"/>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-32.779202687683195</c:v>
                </c:pt>
                <c:pt idx="6" formatCode="0.00">
                  <c:v>-32.779202687683195</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Improved Labeling</c:v>
                </c:pt>
              </c:strCache>
            </c:strRef>
          </c:tx>
          <c:spPr>
            <a:solidFill>
              <a:schemeClr val="accent4"/>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-29.64802140813293</c:v>
                </c:pt>
                <c:pt idx="8" formatCode="0.00">
                  <c:v>-29.64802140813293</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Building Energy Efficiency Standards</c:v>
                </c:pt>
              </c:strCache>
            </c:strRef>
          </c:tx>
          <c:spPr>
            <a:solidFill>
              <a:schemeClr val="accent5"/>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-26.58786469596842</c:v>
                </c:pt>
                <c:pt idx="10" formatCode="0.00">
                  <c:v>-26.58786469596842</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Industry Energy Efficiency Standards</c:v>
                </c:pt>
              </c:strCache>
            </c:strRef>
          </c:tx>
          <c:spPr>
            <a:solidFill>
              <a:schemeClr val="accent6"/>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-26.470919888071759</c:v>
                </c:pt>
                <c:pt idx="12" formatCode="0.00">
                  <c:v>-26.470919888071759</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EV Sales Mandate</c:v>
                </c:pt>
              </c:strCache>
            </c:strRef>
          </c:tx>
          <c:spPr>
            <a:solidFill>
              <a:schemeClr val="accent1">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-19.415418174414754</c:v>
                </c:pt>
                <c:pt idx="14" formatCode="0.00">
                  <c:v>-19.415418174414754</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Carbon-free Electricity Standard</c:v>
                </c:pt>
              </c:strCache>
            </c:strRef>
          </c:tx>
          <c:spPr>
            <a:solidFill>
              <a:schemeClr val="accent2">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-5.7812941966080933</c:v>
                </c:pt>
                <c:pt idx="16" formatCode="0.00">
                  <c:v>-5.7812941966080933</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Carbon Capture and Sequestration</c:v>
                </c:pt>
              </c:strCache>
            </c:strRef>
          </c:tx>
          <c:spPr>
            <a:solidFill>
              <a:schemeClr val="accent3">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0.44142313259544652</c:v>
                </c:pt>
                <c:pt idx="18" formatCode="0.00">
                  <c:v>0.44142313259544652</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Electricity Imports and Exports</c:v>
                </c:pt>
              </c:strCache>
            </c:strRef>
          </c:tx>
          <c:spPr>
            <a:solidFill>
              <a:schemeClr val="accent4">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12.669277350875412</c:v>
                </c:pt>
                <c:pt idx="20" formatCode="0.00">
                  <c:v>12.669277350875412</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Increased Retrofitting</c:v>
                </c:pt>
              </c:strCache>
            </c:strRef>
          </c:tx>
          <c:spPr>
            <a:solidFill>
              <a:schemeClr val="accent5">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41.813994651877991</c:v>
                </c:pt>
                <c:pt idx="22" formatCode="0.00">
                  <c:v>41.813994651877991</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strCache>
            </c:strRef>
          </c:tx>
          <c:spPr>
            <a:solidFill>
              <a:schemeClr val="accent6">
                <a:lumMod val="6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#N/A</c:v>
                </c:pt>
                <c:pt idx="24" formatCode="0.00">
                  <c:v>#N/A</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#N/A</c:v>
                </c:pt>
                <c:pt idx="26" formatCode="0.00">
                  <c:v>#N/A</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#N/A</c:v>
                </c:pt>
                <c:pt idx="28" formatCode="0.00">
                  <c:v>#N/A</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#N/A</c:v>
                </c:pt>
                <c:pt idx="30" formatCode="0.00">
                  <c:v>#N/A</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#N/A</c:v>
                </c:pt>
                <c:pt idx="32" formatCode="0.00">
                  <c:v>#N/A</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strCache>
              <c:extLst xmlns:c15="http://schemas.microsoft.com/office/drawing/2012/chart"/>
            </c:strRef>
          </c:tx>
          <c:spPr>
            <a:solidFill>
              <a:schemeClr val="accent5">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Curve'!$R$42:$R$93</c:f>
              <c:numCache>
                <c:formatCode>General</c:formatCode>
                <c:ptCount val="52"/>
                <c:pt idx="33">
                  <c:v>#N/A</c:v>
                </c:pt>
                <c:pt idx="34">
                  <c:v>#N/A</c:v>
                </c:pt>
              </c:numCache>
              <c:extLst xmlns:c15="http://schemas.microsoft.com/office/drawing/2012/chart"/>
            </c:numRef>
          </c:val>
          <c:extLst xmlns:c15="http://schemas.microsoft.com/office/drawing/2012/chart">
            <c:ext xmlns:c16="http://schemas.microsoft.com/office/drawing/2014/chart" uri="{C3380CC4-5D6E-409C-BE32-E72D297353CC}">
              <c16:uniqueId val="{00000010-492B-49FD-90E0-AB2E19DD36BE}"/>
            </c:ext>
          </c:extLst>
        </c:ser>
        <c:ser>
          <c:idx val="17"/>
          <c:order val="17"/>
          <c:tx>
            <c:strRef>
              <c:f>'Cost Curve'!$S$41</c:f>
              <c:strCache>
                <c:ptCount val="1"/>
              </c:strCache>
              <c:extLst xmlns:c15="http://schemas.microsoft.com/office/drawing/2012/chart"/>
            </c:strRef>
          </c:tx>
          <c:spPr>
            <a:solidFill>
              <a:schemeClr val="accent6">
                <a:lumMod val="80000"/>
                <a:lumOff val="2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Curve'!$S$42:$S$93</c:f>
              <c:numCache>
                <c:formatCode>General</c:formatCode>
                <c:ptCount val="52"/>
                <c:pt idx="35">
                  <c:v>#N/A</c:v>
                </c:pt>
                <c:pt idx="36">
                  <c:v>#N/A</c:v>
                </c:pt>
              </c:numCache>
              <c:extLst xmlns:c15="http://schemas.microsoft.com/office/drawing/2012/chart"/>
            </c:numRef>
          </c:val>
          <c:extLst xmlns:c15="http://schemas.microsoft.com/office/drawing/2012/chart">
            <c:ext xmlns:c16="http://schemas.microsoft.com/office/drawing/2014/chart" uri="{C3380CC4-5D6E-409C-BE32-E72D297353CC}">
              <c16:uniqueId val="{00000011-492B-49FD-90E0-AB2E19DD36BE}"/>
            </c:ext>
          </c:extLst>
        </c:ser>
        <c:ser>
          <c:idx val="18"/>
          <c:order val="18"/>
          <c:tx>
            <c:strRef>
              <c:f>'Cost Curve'!$T$41</c:f>
              <c:strCache>
                <c:ptCount val="1"/>
              </c:strCache>
              <c:extLst xmlns:c15="http://schemas.microsoft.com/office/drawing/2012/chart"/>
            </c:strRef>
          </c:tx>
          <c:spPr>
            <a:solidFill>
              <a:schemeClr val="accent1">
                <a:lumMod val="80000"/>
              </a:schemeClr>
            </a:solidFill>
            <a:ln>
              <a:noFill/>
            </a:ln>
            <a:effectLst/>
          </c:spPr>
          <c:cat>
            <c:numRef>
              <c:f>'Cost Curve'!$A$42:$A$93</c:f>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Curve'!$T$42:$T$93</c:f>
              <c:numCache>
                <c:formatCode>General</c:formatCode>
                <c:ptCount val="52"/>
                <c:pt idx="37">
                  <c:v>#N/A</c:v>
                </c:pt>
                <c:pt idx="38">
                  <c:v>#N/A</c:v>
                </c:pt>
              </c:numCache>
              <c:extLst xmlns:c15="http://schemas.microsoft.com/office/drawing/2012/chart"/>
            </c:numRef>
          </c:val>
          <c:extLst xmlns:c15="http://schemas.microsoft.com/office/drawing/2012/chart">
            <c:ext xmlns:c16="http://schemas.microsoft.com/office/drawing/2014/chart" uri="{C3380CC4-5D6E-409C-BE32-E72D297353CC}">
              <c16:uniqueId val="{00000012-492B-49FD-90E0-AB2E19DD36BE}"/>
            </c:ext>
          </c:extLst>
        </c:ser>
        <c:dLbls>
          <c:showLegendKey val="0"/>
          <c:showVal val="0"/>
          <c:showCatName val="0"/>
          <c:showSerName val="0"/>
          <c:showPercent val="0"/>
          <c:showBubbleSize val="0"/>
        </c:dLbls>
        <c:axId val="68441600"/>
        <c:axId val="68443136"/>
        <c:extLst>
          <c:ext xmlns:c15="http://schemas.microsoft.com/office/drawing/2012/chart" uri="{02D57815-91ED-43cb-92C2-25804820EDAC}">
            <c15:filteredAreaSeries>
              <c15:ser>
                <c:idx val="19"/>
                <c:order val="19"/>
                <c:tx>
                  <c:strRef>
                    <c:extLst>
                      <c:ext uri="{02D57815-91ED-43cb-92C2-25804820EDAC}">
                        <c15:formulaRef>
                          <c15:sqref>'Cost Curve'!$U$41</c15:sqref>
                        </c15:formulaRef>
                      </c:ext>
                    </c:extLst>
                    <c:strCache>
                      <c:ptCount val="1"/>
                    </c:strCache>
                  </c:strRef>
                </c:tx>
                <c:spPr>
                  <a:solidFill>
                    <a:schemeClr val="accent2">
                      <a:lumMod val="80000"/>
                    </a:schemeClr>
                  </a:solidFill>
                  <a:ln>
                    <a:noFill/>
                  </a:ln>
                  <a:effectLst/>
                </c:spPr>
                <c:cat>
                  <c:numRef>
                    <c:extLst>
                      <c:ex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c:ext uri="{02D57815-91ED-43cb-92C2-25804820EDAC}">
                        <c15:formulaRef>
                          <c15:sqref>'Cost Curve'!$U$42:$U$93</c15:sqref>
                        </c15:formulaRef>
                      </c:ext>
                    </c:extLst>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15:ser>
            </c15:filteredAreaSeries>
            <c15:filteredAreaSeries>
              <c15:ser>
                <c:idx val="20"/>
                <c:order val="20"/>
                <c:tx>
                  <c:strRef>
                    <c:extLst xmlns:c15="http://schemas.microsoft.com/office/drawing/2012/chart">
                      <c:ext xmlns:c15="http://schemas.microsoft.com/office/drawing/2012/chart" uri="{02D57815-91ED-43cb-92C2-25804820EDAC}">
                        <c15:formulaRef>
                          <c15:sqref>'Cost Curve'!$V$41</c15:sqref>
                        </c15:formulaRef>
                      </c:ext>
                    </c:extLst>
                    <c:strCache>
                      <c:ptCount val="1"/>
                    </c:strCache>
                  </c:strRef>
                </c:tx>
                <c:spPr>
                  <a:solidFill>
                    <a:schemeClr val="accent3">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Curve'!$V$42:$V$93</c15:sqref>
                        </c15:formulaRef>
                      </c:ext>
                    </c:extLst>
                    <c:numCache>
                      <c:formatCode>General</c:formatCode>
                      <c:ptCount val="52"/>
                      <c:pt idx="41" formatCode="0.00">
                        <c:v>#N/A</c:v>
                      </c:pt>
                      <c:pt idx="42" formatCode="0.00">
                        <c:v>#N/A</c:v>
                      </c:pt>
                    </c:numCache>
                  </c:numRef>
                </c:val>
                <c:extLst xmlns:c15="http://schemas.microsoft.com/office/drawing/2012/chart">
                  <c:ext xmlns:c16="http://schemas.microsoft.com/office/drawing/2014/chart" uri="{C3380CC4-5D6E-409C-BE32-E72D297353CC}">
                    <c16:uniqueId val="{00000014-492B-49FD-90E0-AB2E19DD36BE}"/>
                  </c:ext>
                </c:extLst>
              </c15:ser>
            </c15:filteredAreaSeries>
            <c15:filteredAreaSeries>
              <c15:ser>
                <c:idx val="21"/>
                <c:order val="21"/>
                <c:tx>
                  <c:strRef>
                    <c:extLst xmlns:c15="http://schemas.microsoft.com/office/drawing/2012/chart">
                      <c:ext xmlns:c15="http://schemas.microsoft.com/office/drawing/2012/chart" uri="{02D57815-91ED-43cb-92C2-25804820EDAC}">
                        <c15:formulaRef>
                          <c15:sqref>'Cost Curve'!$W$41</c15:sqref>
                        </c15:formulaRef>
                      </c:ext>
                    </c:extLst>
                    <c:strCache>
                      <c:ptCount val="1"/>
                    </c:strCache>
                  </c:strRef>
                </c:tx>
                <c:spPr>
                  <a:solidFill>
                    <a:schemeClr val="accent4">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Curve'!$W$42:$W$93</c15:sqref>
                        </c15:formulaRef>
                      </c:ext>
                    </c:extLst>
                    <c:numCache>
                      <c:formatCode>General</c:formatCode>
                      <c:ptCount val="52"/>
                      <c:pt idx="43" formatCode="0.00">
                        <c:v>#N/A</c:v>
                      </c:pt>
                      <c:pt idx="44" formatCode="0.00">
                        <c:v>#N/A</c:v>
                      </c:pt>
                    </c:numCache>
                  </c:numRef>
                </c:val>
                <c:extLst xmlns:c15="http://schemas.microsoft.com/office/drawing/2012/chart">
                  <c:ext xmlns:c16="http://schemas.microsoft.com/office/drawing/2014/chart" uri="{C3380CC4-5D6E-409C-BE32-E72D297353CC}">
                    <c16:uniqueId val="{00000015-492B-49FD-90E0-AB2E19DD36BE}"/>
                  </c:ext>
                </c:extLst>
              </c15:ser>
            </c15:filteredAreaSeries>
            <c15:filteredAreaSeries>
              <c15:ser>
                <c:idx val="22"/>
                <c:order val="22"/>
                <c:tx>
                  <c:strRef>
                    <c:extLst xmlns:c15="http://schemas.microsoft.com/office/drawing/2012/chart">
                      <c:ext xmlns:c15="http://schemas.microsoft.com/office/drawing/2012/chart" uri="{02D57815-91ED-43cb-92C2-25804820EDAC}">
                        <c15:formulaRef>
                          <c15:sqref>'Cost Curve'!$X$41</c15:sqref>
                        </c15:formulaRef>
                      </c:ext>
                    </c:extLst>
                    <c:strCache>
                      <c:ptCount val="1"/>
                    </c:strCache>
                  </c:strRef>
                </c:tx>
                <c:spPr>
                  <a:solidFill>
                    <a:schemeClr val="accent5">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Curve'!$X$42:$X$93</c15:sqref>
                        </c15:formulaRef>
                      </c:ext>
                    </c:extLst>
                    <c:numCache>
                      <c:formatCode>General</c:formatCode>
                      <c:ptCount val="52"/>
                      <c:pt idx="45" formatCode="0.00">
                        <c:v>#N/A</c:v>
                      </c:pt>
                      <c:pt idx="46" formatCode="0.00">
                        <c:v>#N/A</c:v>
                      </c:pt>
                    </c:numCache>
                  </c:numRef>
                </c:val>
                <c:extLst xmlns:c15="http://schemas.microsoft.com/office/drawing/2012/chart">
                  <c:ext xmlns:c16="http://schemas.microsoft.com/office/drawing/2014/chart" uri="{C3380CC4-5D6E-409C-BE32-E72D297353CC}">
                    <c16:uniqueId val="{00000016-492B-49FD-90E0-AB2E19DD36BE}"/>
                  </c:ext>
                </c:extLst>
              </c15:ser>
            </c15:filteredAreaSeries>
            <c15:filteredAreaSeries>
              <c15:ser>
                <c:idx val="23"/>
                <c:order val="23"/>
                <c:tx>
                  <c:strRef>
                    <c:extLst xmlns:c15="http://schemas.microsoft.com/office/drawing/2012/chart">
                      <c:ext xmlns:c15="http://schemas.microsoft.com/office/drawing/2012/chart" uri="{02D57815-91ED-43cb-92C2-25804820EDAC}">
                        <c15:formulaRef>
                          <c15:sqref>'Cost Curve'!$Y$41</c15:sqref>
                        </c15:formulaRef>
                      </c:ext>
                    </c:extLst>
                    <c:strCache>
                      <c:ptCount val="1"/>
                    </c:strCache>
                  </c:strRef>
                </c:tx>
                <c:spPr>
                  <a:solidFill>
                    <a:schemeClr val="accent6">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Curve'!$Y$42:$Y$93</c15:sqref>
                        </c15:formulaRef>
                      </c:ext>
                    </c:extLst>
                    <c:numCache>
                      <c:formatCode>General</c:formatCode>
                      <c:ptCount val="52"/>
                      <c:pt idx="47" formatCode="0.00">
                        <c:v>#N/A</c:v>
                      </c:pt>
                      <c:pt idx="48" formatCode="0.00">
                        <c:v>#N/A</c:v>
                      </c:pt>
                    </c:numCache>
                  </c:numRef>
                </c:val>
                <c:extLst xmlns:c15="http://schemas.microsoft.com/office/drawing/2012/chart">
                  <c:ext xmlns:c16="http://schemas.microsoft.com/office/drawing/2014/chart" uri="{C3380CC4-5D6E-409C-BE32-E72D297353CC}">
                    <c16:uniqueId val="{00000017-492B-49FD-90E0-AB2E19DD36BE}"/>
                  </c:ext>
                </c:extLst>
              </c15:ser>
            </c15:filteredAreaSeries>
            <c15:filteredAreaSeries>
              <c15:ser>
                <c:idx val="24"/>
                <c:order val="24"/>
                <c:tx>
                  <c:strRef>
                    <c:extLst xmlns:c15="http://schemas.microsoft.com/office/drawing/2012/chart">
                      <c:ext xmlns:c15="http://schemas.microsoft.com/office/drawing/2012/chart" uri="{02D57815-91ED-43cb-92C2-25804820EDAC}">
                        <c15:formulaRef>
                          <c15:sqref>'Cost Curve'!$Z$41</c15:sqref>
                        </c15:formulaRef>
                      </c:ext>
                    </c:extLst>
                    <c:strCache>
                      <c:ptCount val="1"/>
                    </c:strCache>
                  </c:strRef>
                </c:tx>
                <c:spPr>
                  <a:solidFill>
                    <a:schemeClr val="accent1">
                      <a:lumMod val="60000"/>
                      <a:lumOff val="4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19.680746687286511</c:v>
                      </c:pt>
                      <c:pt idx="3">
                        <c:v>19.680746687286511</c:v>
                      </c:pt>
                      <c:pt idx="4">
                        <c:v>31.401999653715691</c:v>
                      </c:pt>
                      <c:pt idx="5">
                        <c:v>31.401999653715691</c:v>
                      </c:pt>
                      <c:pt idx="6">
                        <c:v>44.192570244375361</c:v>
                      </c:pt>
                      <c:pt idx="7">
                        <c:v>44.192570244375361</c:v>
                      </c:pt>
                      <c:pt idx="8">
                        <c:v>99.967941861959559</c:v>
                      </c:pt>
                      <c:pt idx="9">
                        <c:v>99.967941861959559</c:v>
                      </c:pt>
                      <c:pt idx="10">
                        <c:v>259.13719582905219</c:v>
                      </c:pt>
                      <c:pt idx="11">
                        <c:v>259.13719582905219</c:v>
                      </c:pt>
                      <c:pt idx="12">
                        <c:v>273.58034820261389</c:v>
                      </c:pt>
                      <c:pt idx="13">
                        <c:v>273.58034820261389</c:v>
                      </c:pt>
                      <c:pt idx="14">
                        <c:v>292.92822191045656</c:v>
                      </c:pt>
                      <c:pt idx="15">
                        <c:v>292.92822191045656</c:v>
                      </c:pt>
                      <c:pt idx="16">
                        <c:v>298.29543048166386</c:v>
                      </c:pt>
                      <c:pt idx="17">
                        <c:v>298.29543048166386</c:v>
                      </c:pt>
                      <c:pt idx="18">
                        <c:v>508.11145556004442</c:v>
                      </c:pt>
                      <c:pt idx="19">
                        <c:v>508.11145556004442</c:v>
                      </c:pt>
                      <c:pt idx="20">
                        <c:v>740.60997569786309</c:v>
                      </c:pt>
                      <c:pt idx="21">
                        <c:v>740.60997569786309</c:v>
                      </c:pt>
                      <c:pt idx="22">
                        <c:v>807.64705882352951</c:v>
                      </c:pt>
                      <c:pt idx="23">
                        <c:v>807.64705882352951</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Curve'!$Z$42:$Z$93</c15:sqref>
                        </c15:formulaRef>
                      </c:ext>
                    </c:extLst>
                    <c:numCache>
                      <c:formatCode>General</c:formatCode>
                      <c:ptCount val="52"/>
                      <c:pt idx="49" formatCode="0.00">
                        <c:v>#N/A</c:v>
                      </c:pt>
                      <c:pt idx="50" formatCode="0.00">
                        <c:v>#N/A</c:v>
                      </c:pt>
                    </c:numCache>
                  </c:numRef>
                </c:val>
                <c:extLst xmlns:c15="http://schemas.microsoft.com/office/drawing/2012/chart">
                  <c:ext xmlns:c16="http://schemas.microsoft.com/office/drawing/2014/chart" uri="{C3380CC4-5D6E-409C-BE32-E72D297353CC}">
                    <c16:uniqueId val="{00000018-492B-49FD-90E0-AB2E19DD36BE}"/>
                  </c:ext>
                </c:extLst>
              </c15:ser>
            </c15:filteredAreaSeries>
          </c:ext>
        </c:extLst>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 CO2e abated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50"/>
  <sheetViews>
    <sheetView tabSelected="1" workbookViewId="0"/>
  </sheetViews>
  <sheetFormatPr defaultRowHeight="15" x14ac:dyDescent="0.25"/>
  <cols>
    <col min="1" max="1" width="102.85546875" customWidth="1"/>
  </cols>
  <sheetData>
    <row r="1" spans="1:1" x14ac:dyDescent="0.25">
      <c r="A1" s="14" t="s">
        <v>35</v>
      </c>
    </row>
    <row r="3" spans="1:1" x14ac:dyDescent="0.25">
      <c r="A3" t="s">
        <v>36</v>
      </c>
    </row>
    <row r="4" spans="1:1" x14ac:dyDescent="0.25">
      <c r="A4" t="s">
        <v>37</v>
      </c>
    </row>
    <row r="5" spans="1:1" x14ac:dyDescent="0.25">
      <c r="A5" t="s">
        <v>38</v>
      </c>
    </row>
    <row r="7" spans="1:1" x14ac:dyDescent="0.25">
      <c r="A7" t="s">
        <v>48</v>
      </c>
    </row>
    <row r="8" spans="1:1" x14ac:dyDescent="0.25">
      <c r="A8" t="s">
        <v>49</v>
      </c>
    </row>
    <row r="9" spans="1:1" x14ac:dyDescent="0.25">
      <c r="A9" t="s">
        <v>50</v>
      </c>
    </row>
    <row r="12" spans="1:1" x14ac:dyDescent="0.25">
      <c r="A12" s="14" t="s">
        <v>52</v>
      </c>
    </row>
    <row r="14" spans="1:1" x14ac:dyDescent="0.25">
      <c r="A14" t="s">
        <v>51</v>
      </c>
    </row>
    <row r="15" spans="1:1" x14ac:dyDescent="0.25">
      <c r="A15" t="s">
        <v>39</v>
      </c>
    </row>
    <row r="16" spans="1:1" x14ac:dyDescent="0.25">
      <c r="A16" t="s">
        <v>40</v>
      </c>
    </row>
    <row r="18" spans="1:1" x14ac:dyDescent="0.25">
      <c r="A18" t="s">
        <v>41</v>
      </c>
    </row>
    <row r="19" spans="1:1" x14ac:dyDescent="0.25">
      <c r="A19" t="s">
        <v>42</v>
      </c>
    </row>
    <row r="21" spans="1:1" x14ac:dyDescent="0.25">
      <c r="A21" t="s">
        <v>43</v>
      </c>
    </row>
    <row r="22" spans="1:1" x14ac:dyDescent="0.25">
      <c r="A22" t="s">
        <v>44</v>
      </c>
    </row>
    <row r="23" spans="1:1" x14ac:dyDescent="0.25">
      <c r="A23" t="s">
        <v>45</v>
      </c>
    </row>
    <row r="25" spans="1:1" x14ac:dyDescent="0.25">
      <c r="A25" t="s">
        <v>46</v>
      </c>
    </row>
    <row r="26" spans="1:1" x14ac:dyDescent="0.25">
      <c r="A26" t="s">
        <v>47</v>
      </c>
    </row>
    <row r="29" spans="1:1" x14ac:dyDescent="0.25">
      <c r="A29" s="14" t="s">
        <v>53</v>
      </c>
    </row>
    <row r="31" spans="1:1" x14ac:dyDescent="0.25">
      <c r="A31" t="s">
        <v>54</v>
      </c>
    </row>
    <row r="32" spans="1:1" x14ac:dyDescent="0.25">
      <c r="A32" t="s">
        <v>55</v>
      </c>
    </row>
    <row r="34" spans="1:1" x14ac:dyDescent="0.25">
      <c r="A34" t="s">
        <v>56</v>
      </c>
    </row>
    <row r="35" spans="1:1" x14ac:dyDescent="0.25">
      <c r="A35" s="52" t="s">
        <v>3</v>
      </c>
    </row>
    <row r="36" spans="1:1" x14ac:dyDescent="0.25">
      <c r="A36" t="s">
        <v>57</v>
      </c>
    </row>
    <row r="37" spans="1:1" x14ac:dyDescent="0.25">
      <c r="A37" s="52" t="s">
        <v>68</v>
      </c>
    </row>
    <row r="38" spans="1:1" x14ac:dyDescent="0.25">
      <c r="A38" s="52" t="s">
        <v>67</v>
      </c>
    </row>
    <row r="40" spans="1:1" x14ac:dyDescent="0.25">
      <c r="A40" t="s">
        <v>58</v>
      </c>
    </row>
    <row r="41" spans="1:1" x14ac:dyDescent="0.25">
      <c r="A41" t="s">
        <v>65</v>
      </c>
    </row>
    <row r="42" spans="1:1" x14ac:dyDescent="0.25">
      <c r="A42" t="s">
        <v>59</v>
      </c>
    </row>
    <row r="44" spans="1:1" x14ac:dyDescent="0.25">
      <c r="A44" t="s">
        <v>60</v>
      </c>
    </row>
    <row r="46" spans="1:1" x14ac:dyDescent="0.25">
      <c r="A46" t="s">
        <v>61</v>
      </c>
    </row>
    <row r="47" spans="1:1" x14ac:dyDescent="0.25">
      <c r="A47" t="s">
        <v>62</v>
      </c>
    </row>
    <row r="49" spans="1:1" x14ac:dyDescent="0.25">
      <c r="A49" t="s">
        <v>63</v>
      </c>
    </row>
    <row r="50" spans="1:1" x14ac:dyDescent="0.25">
      <c r="A50"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N53"/>
  <sheetViews>
    <sheetView zoomScaleNormal="100" workbookViewId="0"/>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1" t="s">
        <v>8</v>
      </c>
      <c r="M1" s="51" t="s">
        <v>11</v>
      </c>
    </row>
    <row r="2" spans="1:14" s="5" customFormat="1" ht="45" x14ac:dyDescent="0.25">
      <c r="A2" s="17" t="s">
        <v>15</v>
      </c>
      <c r="B2" s="7"/>
      <c r="C2" s="3" t="s">
        <v>7</v>
      </c>
      <c r="D2" s="4" t="s">
        <v>22</v>
      </c>
      <c r="E2" s="4" t="s">
        <v>19</v>
      </c>
      <c r="F2" s="4" t="s">
        <v>27</v>
      </c>
      <c r="G2" s="4" t="s">
        <v>20</v>
      </c>
      <c r="H2" s="4" t="s">
        <v>21</v>
      </c>
      <c r="I2" s="7"/>
      <c r="J2" s="4" t="s">
        <v>23</v>
      </c>
      <c r="K2" s="4" t="s">
        <v>24</v>
      </c>
      <c r="L2" s="4" t="s">
        <v>9</v>
      </c>
      <c r="M2" s="4" t="s">
        <v>10</v>
      </c>
      <c r="N2" s="12"/>
    </row>
    <row r="3" spans="1:14" x14ac:dyDescent="0.25">
      <c r="B3" s="8"/>
      <c r="C3" s="2" t="str">
        <f ca="1">IF(ISBLANK(INDIRECT("'" &amp; $A$5 &amp; "'!B2")),"",RIGHT(INDIRECT("'" &amp; $A$5 &amp; "'!B2"),LEN(INDIRECT("'" &amp; $A$5 &amp; "'!B2"))-20))</f>
        <v>None</v>
      </c>
      <c r="D3" s="15">
        <f ca="1">IF($C3="","",HLOOKUP($A$11,INDIRECT("'" &amp; $A$5 &amp; "'!$A:$AN"),2,FALSE))</f>
        <v>628.80799999999999</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-1192520000</v>
      </c>
      <c r="K3" s="27" t="str">
        <f ca="1">IF(OR(C3="All",C3="None",C3=""),"",J3-J$3)</f>
        <v/>
      </c>
      <c r="L3" s="27" t="str">
        <f ca="1">IF(K3="","",-K3)</f>
        <v/>
      </c>
      <c r="M3" s="16" t="str">
        <f t="shared" ref="M3:M18" ca="1" si="3">IF(G3="","",IF(G3="exclude","exclude",L3/(G3*10^6)))</f>
        <v/>
      </c>
    </row>
    <row r="4" spans="1:14" ht="15.75" thickBot="1" x14ac:dyDescent="0.3">
      <c r="A4" s="18" t="s">
        <v>18</v>
      </c>
      <c r="B4" s="8"/>
      <c r="C4" s="2" t="str">
        <f ca="1">IF(ISBLANK(INDIRECT("'" &amp; $A$5 &amp; "'!B4")),"",RIGHT(INDIRECT("'" &amp; $A$5 &amp; "'!B4"),LEN(INDIRECT("'" &amp; $A$5 &amp; "'!B4"))-20))</f>
        <v>EV Charger Deployment</v>
      </c>
      <c r="D4" s="15">
        <f ca="1">IF($C4="","",HLOOKUP($A$11,INDIRECT("'" &amp; $A$5 &amp; "'!$A:$AN"),4,FALSE))</f>
        <v>628.80799999999999</v>
      </c>
      <c r="E4" s="15">
        <f t="shared" ref="E4:E27" ca="1" si="4">IF(OR(C4="All",C4="None",C4=""),"",D4-D$3)</f>
        <v>0</v>
      </c>
      <c r="F4" s="15" t="str">
        <f t="shared" ca="1" si="0"/>
        <v>exclude</v>
      </c>
      <c r="G4" s="25" t="str">
        <f t="shared" ca="1" si="1"/>
        <v>exclude</v>
      </c>
      <c r="H4" s="25" t="str">
        <f t="shared" ca="1" si="2"/>
        <v>exclude</v>
      </c>
      <c r="I4" s="26"/>
      <c r="J4" s="27">
        <f ca="1">IF(OR($C4="",$C4="All"),"",HLOOKUP($A$11,INDIRECT("'" &amp; $A$5 &amp; "'!$A:$AN"),5,FALSE))</f>
        <v>-1235640000</v>
      </c>
      <c r="K4" s="27">
        <f ca="1">IF(OR(C4="All",C4="None",C4=""),"",J4-J$3)</f>
        <v>-43120000</v>
      </c>
      <c r="L4" s="27">
        <f ca="1">IF(K4="","",-K4)</f>
        <v>43120000</v>
      </c>
      <c r="M4" s="16" t="str">
        <f t="shared" ca="1" si="3"/>
        <v>exclude</v>
      </c>
    </row>
    <row r="5" spans="1:14" ht="15.75" thickBot="1" x14ac:dyDescent="0.3">
      <c r="A5" s="19" t="s">
        <v>95</v>
      </c>
      <c r="B5" s="8"/>
      <c r="C5" s="2" t="str">
        <f ca="1">IF(ISBLANK(INDIRECT("'" &amp; $A$5 &amp; "'!B6")),"",RIGHT(INDIRECT("'" &amp; $A$5 &amp; "'!B6"),LEN(INDIRECT("'" &amp; $A$5 &amp; "'!B6"))-20))</f>
        <v>EV Range n Charging Time</v>
      </c>
      <c r="D5" s="15">
        <f ca="1">IF($C5="","",HLOOKUP($A$11,INDIRECT("'" &amp; $A$5 &amp; "'!$A:$AN"),6,FALSE))</f>
        <v>628.80899999999997</v>
      </c>
      <c r="E5" s="15">
        <f t="shared" ca="1" si="4"/>
        <v>9.9999999997635314E-4</v>
      </c>
      <c r="F5" s="15" t="str">
        <f t="shared" ca="1" si="0"/>
        <v>exclude</v>
      </c>
      <c r="G5" s="25" t="str">
        <f t="shared" ca="1" si="1"/>
        <v>exclude</v>
      </c>
      <c r="H5" s="25" t="str">
        <f t="shared" ca="1" si="2"/>
        <v>exclude</v>
      </c>
      <c r="I5" s="26"/>
      <c r="J5" s="27">
        <f ca="1">IF(OR($C5="",$C5="All"),"",HLOOKUP($A$11,INDIRECT("'" &amp; $A$5 &amp; "'!$A:$AN"),7,FALSE))</f>
        <v>-1192500000</v>
      </c>
      <c r="K5" s="27">
        <f t="shared" ref="K5:K27" ca="1" si="5">IF(OR(C5="All",C5="None",C5=""),"",J5-J$3)</f>
        <v>20000</v>
      </c>
      <c r="L5" s="27">
        <f t="shared" ref="L5:L27" ca="1" si="6">IF(K5="","",-K5)</f>
        <v>-20000</v>
      </c>
      <c r="M5" s="16" t="str">
        <f t="shared" ca="1" si="3"/>
        <v>exclude</v>
      </c>
    </row>
    <row r="6" spans="1:14" x14ac:dyDescent="0.25">
      <c r="B6" s="8"/>
      <c r="C6" s="2" t="str">
        <f ca="1">IF(ISBLANK(INDIRECT("'" &amp; $A$5 &amp; "'!B8")),"",RIGHT(INDIRECT("'" &amp; $A$5 &amp; "'!B8"),LEN(INDIRECT("'" &amp; $A$5 &amp; "'!B8"))-20))</f>
        <v>EV Sales Mandate</v>
      </c>
      <c r="D6" s="15">
        <f ca="1">IF($C6="","",HLOOKUP($A$11,INDIRECT("'" &amp; $A$5 &amp; "'!$A:$AN"),8,FALSE))</f>
        <v>635.37599999999998</v>
      </c>
      <c r="E6" s="15">
        <f t="shared" ca="1" si="4"/>
        <v>6.5679999999999836</v>
      </c>
      <c r="F6" s="15">
        <f ca="1">IF(E6&lt;$A$14*SUM(E:E),"exclude",E6)</f>
        <v>6.5679999999999836</v>
      </c>
      <c r="G6" s="25">
        <f t="shared" ca="1" si="1"/>
        <v>6.5782770606664984</v>
      </c>
      <c r="H6" s="25">
        <f t="shared" ca="1" si="2"/>
        <v>0.19347873707842642</v>
      </c>
      <c r="I6" s="26"/>
      <c r="J6" s="27">
        <f ca="1">IF(OR($C6="",$C6="All"),"",HLOOKUP($A$11,INDIRECT("'" &amp; $A$5 &amp; "'!$A:$AN"),9,FALSE))</f>
        <v>-1064800000</v>
      </c>
      <c r="K6" s="27">
        <f t="shared" ca="1" si="5"/>
        <v>127720000</v>
      </c>
      <c r="L6" s="27">
        <f t="shared" ca="1" si="6"/>
        <v>-127720000</v>
      </c>
      <c r="M6" s="16">
        <f t="shared" ca="1" si="3"/>
        <v>-19.415418174414754</v>
      </c>
    </row>
    <row r="7" spans="1:14" ht="15.75" thickBot="1" x14ac:dyDescent="0.3">
      <c r="A7" s="18" t="s">
        <v>16</v>
      </c>
      <c r="B7" s="8"/>
      <c r="C7" s="2" t="str">
        <f ca="1">IF(ISBLANK(INDIRECT("'" &amp; $A$5 &amp; "'!B10")),"",RIGHT(INDIRECT("'" &amp; $A$5 &amp; "'!B10"),LEN(INDIRECT("'" &amp; $A$5 &amp; "'!B10"))-20))</f>
        <v>Vehicle Fuel Economy Standards</v>
      </c>
      <c r="D7" s="15">
        <f ca="1">IF($C7="","",HLOOKUP($A$11,INDIRECT("'" &amp; $A$5 &amp; "'!$A:$AN"),10,FALSE))</f>
        <v>632.78700000000003</v>
      </c>
      <c r="E7" s="15">
        <f t="shared" ca="1" si="4"/>
        <v>3.9790000000000418</v>
      </c>
      <c r="F7" s="15">
        <f t="shared" ref="F7:F27" ca="1" si="7">IF(E7&lt;$A$14*SUM(E:E),"exclude",E7)</f>
        <v>3.9790000000000418</v>
      </c>
      <c r="G7" s="25">
        <f t="shared" ca="1" si="1"/>
        <v>3.9852260085859221</v>
      </c>
      <c r="H7" s="25">
        <f t="shared" ca="1" si="2"/>
        <v>0.11721252966429183</v>
      </c>
      <c r="I7" s="26"/>
      <c r="J7" s="27">
        <f ca="1">IF(OR($C7="",$C7="All"),"",HLOOKUP($A$11,INDIRECT("'" &amp; $A$5 &amp; "'!$A:$AN"),11,FALSE))</f>
        <v>-1052220000</v>
      </c>
      <c r="K7" s="27">
        <f t="shared" ca="1" si="5"/>
        <v>140300000</v>
      </c>
      <c r="L7" s="27">
        <f t="shared" ca="1" si="6"/>
        <v>-140300000</v>
      </c>
      <c r="M7" s="16">
        <f t="shared" ca="1" si="3"/>
        <v>-35.205029701636086</v>
      </c>
    </row>
    <row r="8" spans="1:14" ht="15.75" thickBot="1" x14ac:dyDescent="0.3">
      <c r="A8" s="19">
        <v>2017</v>
      </c>
      <c r="B8" s="8"/>
      <c r="C8" s="2" t="str">
        <f ca="1">IF(ISBLANK(INDIRECT("'" &amp; $A$5 &amp; "'!B12")),"",RIGHT(INDIRECT("'" &amp; $A$5 &amp; "'!B12"),LEN(INDIRECT("'" &amp; $A$5 &amp; "'!B12"))-20))</f>
        <v>Transportation Demand Management</v>
      </c>
      <c r="D8" s="15">
        <f ca="1">IF($C8="","",HLOOKUP($A$11,INDIRECT("'" &amp; $A$5 &amp; "'!$A:$AN"),12,FALSE))</f>
        <v>629.16099999999994</v>
      </c>
      <c r="E8" s="15">
        <f t="shared" ca="1" si="4"/>
        <v>0.3529999999999518</v>
      </c>
      <c r="F8" s="15" t="str">
        <f t="shared" ca="1" si="7"/>
        <v>exclude</v>
      </c>
      <c r="G8" s="25" t="str">
        <f t="shared" ca="1" si="1"/>
        <v>exclude</v>
      </c>
      <c r="H8" s="25" t="str">
        <f t="shared" ca="1" si="2"/>
        <v>exclude</v>
      </c>
      <c r="I8" s="26"/>
      <c r="J8" s="27">
        <f ca="1">IF(OR($C8="",$C8="All"),"",HLOOKUP($A$11,INDIRECT("'" &amp; $A$5 &amp; "'!$A:$AN"),13,FALSE))</f>
        <v>-842816000</v>
      </c>
      <c r="K8" s="27">
        <f t="shared" ca="1" si="5"/>
        <v>349704000</v>
      </c>
      <c r="L8" s="27">
        <f t="shared" ca="1" si="6"/>
        <v>-349704000</v>
      </c>
      <c r="M8" s="16" t="str">
        <f t="shared" ca="1" si="3"/>
        <v>exclude</v>
      </c>
    </row>
    <row r="9" spans="1:14" x14ac:dyDescent="0.25">
      <c r="B9" s="8"/>
      <c r="C9" s="2" t="str">
        <f ca="1">IF(ISBLANK(INDIRECT("'" &amp; $A$5 &amp; "'!B14")),"",RIGHT(INDIRECT("'" &amp; $A$5 &amp; "'!B14"),LEN(INDIRECT("'" &amp; $A$5 &amp; "'!B14"))-20))</f>
        <v>Building Component Electrification</v>
      </c>
      <c r="D9" s="15">
        <f ca="1">IF($C9="","",HLOOKUP($A$11,INDIRECT("'" &amp; $A$5 &amp; "'!$A:$AN"),14,FALSE))</f>
        <v>635.48900000000003</v>
      </c>
      <c r="E9" s="15">
        <f t="shared" ca="1" si="4"/>
        <v>6.68100000000004</v>
      </c>
      <c r="F9" s="15">
        <f t="shared" ca="1" si="7"/>
        <v>6.68100000000004</v>
      </c>
      <c r="G9" s="25">
        <f t="shared" ca="1" si="1"/>
        <v>6.6914538736774132</v>
      </c>
      <c r="H9" s="25">
        <f t="shared" ca="1" si="2"/>
        <v>0.1968074668728651</v>
      </c>
      <c r="I9" s="26"/>
      <c r="J9" s="27">
        <f ca="1">IF(OR($C9="",$C9="All"),"",HLOOKUP($A$11,INDIRECT("'" &amp; $A$5 &amp; "'!$A:$AN"),15,FALSE))</f>
        <v>-945470000</v>
      </c>
      <c r="K9" s="27">
        <f t="shared" ca="1" si="5"/>
        <v>247050000</v>
      </c>
      <c r="L9" s="27">
        <f t="shared" ca="1" si="6"/>
        <v>-247050000</v>
      </c>
      <c r="M9" s="16">
        <f t="shared" ca="1" si="3"/>
        <v>-36.920227601334275</v>
      </c>
    </row>
    <row r="10" spans="1:14" ht="15.75" thickBot="1" x14ac:dyDescent="0.3">
      <c r="A10" s="18" t="s">
        <v>17</v>
      </c>
      <c r="B10" s="8"/>
      <c r="C10" s="2" t="str">
        <f ca="1">IF(ISBLANK(INDIRECT("'" &amp; $A$5 &amp; "'!B16")),"",RIGHT(INDIRECT("'" &amp; $A$5 &amp; "'!B16"),LEN(INDIRECT("'" &amp; $A$5 &amp; "'!B16"))-20))</f>
        <v>Building Energy Efficiency Standards</v>
      </c>
      <c r="D10" s="15">
        <f ca="1">IF($C10="","",HLOOKUP($A$11,INDIRECT("'" &amp; $A$5 &amp; "'!$A:$AN"),16,FALSE))</f>
        <v>682.84100000000001</v>
      </c>
      <c r="E10" s="15">
        <f t="shared" ca="1" si="4"/>
        <v>54.033000000000015</v>
      </c>
      <c r="F10" s="15">
        <f t="shared" ca="1" si="7"/>
        <v>54.033000000000015</v>
      </c>
      <c r="G10" s="25">
        <f t="shared" ca="1" si="1"/>
        <v>54.117546348811501</v>
      </c>
      <c r="H10" s="25">
        <f t="shared" ca="1" si="2"/>
        <v>1.5916925396709265</v>
      </c>
      <c r="I10" s="26"/>
      <c r="J10" s="27">
        <f ca="1">IF(OR($C10="",$C10="All"),"",HLOOKUP($A$11,INDIRECT("'" &amp; $A$5 &amp; "'!$A:$AN"),17,FALSE))</f>
        <v>246350000</v>
      </c>
      <c r="K10" s="27">
        <f t="shared" ca="1" si="5"/>
        <v>1438870000</v>
      </c>
      <c r="L10" s="27">
        <f t="shared" ca="1" si="6"/>
        <v>-1438870000</v>
      </c>
      <c r="M10" s="16">
        <f t="shared" ca="1" si="3"/>
        <v>-26.58786469596842</v>
      </c>
    </row>
    <row r="11" spans="1:14" ht="15.75" thickBot="1" x14ac:dyDescent="0.3">
      <c r="A11" s="19">
        <v>2050</v>
      </c>
      <c r="B11" s="8"/>
      <c r="C11" s="2" t="str">
        <f ca="1">IF(ISBLANK(INDIRECT("'" &amp; $A$5 &amp; "'!B18")),"",RIGHT(INDIRECT("'" &amp; $A$5 &amp; "'!B18"),LEN(INDIRECT("'" &amp; $A$5 &amp; "'!B18"))-20))</f>
        <v>Contractor Training</v>
      </c>
      <c r="D11" s="15">
        <f ca="1">IF($C11="","",HLOOKUP($A$11,INDIRECT("'" &amp; $A$5 &amp; "'!$A:$AN"),18,FALSE))</f>
        <v>633.15</v>
      </c>
      <c r="E11" s="15">
        <f t="shared" ca="1" si="4"/>
        <v>4.3419999999999845</v>
      </c>
      <c r="F11" s="15">
        <f t="shared" ca="1" si="7"/>
        <v>4.3419999999999845</v>
      </c>
      <c r="G11" s="25">
        <f t="shared" ca="1" si="1"/>
        <v>4.3487940008242862</v>
      </c>
      <c r="H11" s="25">
        <f t="shared" ca="1" si="2"/>
        <v>0.12790570590659667</v>
      </c>
      <c r="I11" s="26"/>
      <c r="J11" s="27">
        <f ca="1">IF(OR($C11="",$C11="All"),"",HLOOKUP($A$11,INDIRECT("'" &amp; $A$5 &amp; "'!$A:$AN"),19,FALSE))</f>
        <v>-1049970000</v>
      </c>
      <c r="K11" s="27">
        <f t="shared" ca="1" si="5"/>
        <v>142550000</v>
      </c>
      <c r="L11" s="27">
        <f t="shared" ca="1" si="6"/>
        <v>-142550000</v>
      </c>
      <c r="M11" s="16">
        <f t="shared" ca="1" si="3"/>
        <v>-32.779202687683195</v>
      </c>
    </row>
    <row r="12" spans="1:14" x14ac:dyDescent="0.25">
      <c r="B12" s="8"/>
      <c r="C12" s="2" t="str">
        <f ca="1">IF(ISBLANK(INDIRECT("'" &amp; $A$5 &amp; "'!B20")),"",RIGHT(INDIRECT("'" &amp; $A$5 &amp; "'!B20"),LEN(INDIRECT("'" &amp; $A$5 &amp; "'!B20"))-20))</f>
        <v>Improved Labeling</v>
      </c>
      <c r="D12" s="15">
        <f ca="1">IF($C12="","",HLOOKUP($A$11,INDIRECT("'" &amp; $A$5 &amp; "'!$A:$AN"),20,FALSE))</f>
        <v>647.74199999999996</v>
      </c>
      <c r="E12" s="15">
        <f t="shared" ca="1" si="4"/>
        <v>18.933999999999969</v>
      </c>
      <c r="F12" s="15">
        <f t="shared" ca="1" si="7"/>
        <v>18.933999999999969</v>
      </c>
      <c r="G12" s="25">
        <f t="shared" ca="1" si="1"/>
        <v>18.963626349978625</v>
      </c>
      <c r="H12" s="25">
        <f t="shared" ca="1" si="2"/>
        <v>0.55775371617584191</v>
      </c>
      <c r="I12" s="26"/>
      <c r="J12" s="27">
        <f ca="1">IF(OR($C12="",$C12="All"),"",HLOOKUP($A$11,INDIRECT("'" &amp; $A$5 &amp; "'!$A:$AN"),21,FALSE))</f>
        <v>-630286000</v>
      </c>
      <c r="K12" s="27">
        <f t="shared" ca="1" si="5"/>
        <v>562234000</v>
      </c>
      <c r="L12" s="27">
        <f t="shared" ca="1" si="6"/>
        <v>-562234000</v>
      </c>
      <c r="M12" s="16">
        <f t="shared" ca="1" si="3"/>
        <v>-29.64802140813293</v>
      </c>
    </row>
    <row r="13" spans="1:14" ht="15.75" thickBot="1" x14ac:dyDescent="0.3">
      <c r="A13" s="18" t="s">
        <v>26</v>
      </c>
      <c r="B13" s="8"/>
      <c r="C13" s="2" t="str">
        <f ca="1">IF(ISBLANK(INDIRECT("'" &amp; $A$5 &amp; "'!B22")),"",RIGHT(INDIRECT("'" &amp; $A$5 &amp; "'!B22"),LEN(INDIRECT("'" &amp; $A$5 &amp; "'!B22"))-20))</f>
        <v>Increased Retrofitting</v>
      </c>
      <c r="D13" s="15">
        <f ca="1">IF($C13="","",HLOOKUP($A$11,INDIRECT("'" &amp; $A$5 &amp; "'!$A:$AN"),22,FALSE))</f>
        <v>651.56500000000005</v>
      </c>
      <c r="E13" s="15">
        <f t="shared" ca="1" si="4"/>
        <v>22.757000000000062</v>
      </c>
      <c r="F13" s="15">
        <f t="shared" ca="1" si="7"/>
        <v>22.757000000000062</v>
      </c>
      <c r="G13" s="25">
        <f t="shared" ca="1" si="1"/>
        <v>22.792608262726599</v>
      </c>
      <c r="H13" s="25">
        <f t="shared" ca="1" si="2"/>
        <v>0.67037083125666463</v>
      </c>
      <c r="I13" s="26"/>
      <c r="J13" s="27">
        <f ca="1">IF(OR($C13="",$C13="All"),"",HLOOKUP($A$11,INDIRECT("'" &amp; $A$5 &amp; "'!$A:$AN"),23,FALSE))</f>
        <v>-2145570000</v>
      </c>
      <c r="K13" s="27">
        <f t="shared" ca="1" si="5"/>
        <v>-953050000</v>
      </c>
      <c r="L13" s="27">
        <f t="shared" ca="1" si="6"/>
        <v>953050000</v>
      </c>
      <c r="M13" s="16">
        <f t="shared" ca="1" si="3"/>
        <v>41.813994651877991</v>
      </c>
    </row>
    <row r="14" spans="1:14" ht="15.75" thickBot="1" x14ac:dyDescent="0.3">
      <c r="A14" s="41">
        <v>3.0000000000000001E-3</v>
      </c>
      <c r="B14" s="8"/>
      <c r="C14" s="2" t="str">
        <f ca="1">IF(ISBLANK(INDIRECT("'" &amp; $A$5 &amp; "'!B24")),"",RIGHT(INDIRECT("'" &amp; $A$5 &amp; "'!B24"),LEN(INDIRECT("'" &amp; $A$5 &amp; "'!B24"))-20))</f>
        <v>Ban New Power Plants</v>
      </c>
      <c r="D14" s="15">
        <f ca="1">IF($C14="","",HLOOKUP($A$11,INDIRECT("'" &amp; $A$5 &amp; "'!$A:$AN"),24,FALSE))</f>
        <v>628.80799999999999</v>
      </c>
      <c r="E14" s="15">
        <f t="shared" ca="1" si="4"/>
        <v>0</v>
      </c>
      <c r="F14" s="15" t="str">
        <f t="shared" ca="1" si="7"/>
        <v>exclude</v>
      </c>
      <c r="G14" s="25" t="str">
        <f t="shared" ca="1" si="1"/>
        <v>exclude</v>
      </c>
      <c r="H14" s="25" t="str">
        <f t="shared" ca="1" si="2"/>
        <v>exclude</v>
      </c>
      <c r="I14" s="26"/>
      <c r="J14" s="27">
        <f ca="1">IF(OR($C14="",$C14="All"),"",HLOOKUP($A$11,INDIRECT("'" &amp; $A$5 &amp; "'!$A:$AN"),25,FALSE))</f>
        <v>-1192520000</v>
      </c>
      <c r="K14" s="27">
        <f t="shared" ca="1" si="5"/>
        <v>0</v>
      </c>
      <c r="L14" s="27">
        <f t="shared" ca="1" si="6"/>
        <v>0</v>
      </c>
      <c r="M14" s="16" t="str">
        <f t="shared" ca="1" si="3"/>
        <v>exclude</v>
      </c>
    </row>
    <row r="15" spans="1:14" x14ac:dyDescent="0.25">
      <c r="B15" s="8"/>
      <c r="C15" s="2" t="str">
        <f ca="1">IF(ISBLANK(INDIRECT("'" &amp; $A$5 &amp; "'!B26")),"",RIGHT(INDIRECT("'" &amp; $A$5 &amp; "'!B26"),LEN(INDIRECT("'" &amp; $A$5 &amp; "'!B26"))-20))</f>
        <v>Carbon-free Electricity Standard</v>
      </c>
      <c r="D15" s="15">
        <f ca="1">IF($C15="","",HLOOKUP($A$11,INDIRECT("'" &amp; $A$5 &amp; "'!$A:$AN"),26,FALSE))</f>
        <v>630.63</v>
      </c>
      <c r="E15" s="15">
        <f t="shared" ca="1" si="4"/>
        <v>1.8220000000000027</v>
      </c>
      <c r="F15" s="15">
        <f t="shared" ca="1" si="7"/>
        <v>1.8220000000000027</v>
      </c>
      <c r="G15" s="25">
        <f t="shared" ca="1" si="1"/>
        <v>1.8248509142104763</v>
      </c>
      <c r="H15" s="25">
        <f t="shared" ca="1" si="2"/>
        <v>5.3672085712072833E-2</v>
      </c>
      <c r="I15" s="26"/>
      <c r="J15" s="27">
        <f ca="1">IF(OR($C15="",$C15="All"),"",HLOOKUP($A$11,INDIRECT("'" &amp; $A$5 &amp; "'!$A:$AN"),27,FALSE))</f>
        <v>-1181970000</v>
      </c>
      <c r="K15" s="27">
        <f t="shared" ca="1" si="5"/>
        <v>10550000</v>
      </c>
      <c r="L15" s="27">
        <f t="shared" ca="1" si="6"/>
        <v>-10550000</v>
      </c>
      <c r="M15" s="16">
        <f t="shared" ca="1" si="3"/>
        <v>-5.7812941966080933</v>
      </c>
    </row>
    <row r="16" spans="1:14" x14ac:dyDescent="0.25">
      <c r="A16" s="18" t="s">
        <v>14</v>
      </c>
      <c r="B16" s="8"/>
      <c r="C16" s="2" t="str">
        <f ca="1">IF(ISBLANK(INDIRECT("'" &amp; $A$5 &amp; "'!B28")),"",RIGHT(INDIRECT("'" &amp; $A$5 &amp; "'!B28"),LEN(INDIRECT("'" &amp; $A$5 &amp; "'!B28"))-20))</f>
        <v>Electricity Imports and Exports</v>
      </c>
      <c r="D16" s="15">
        <f ca="1">IF($C16="","",HLOOKUP($A$11,INDIRECT("'" &amp; $A$5 &amp; "'!$A:$AN"),28,FALSE))</f>
        <v>707.73400000000004</v>
      </c>
      <c r="E16" s="15">
        <f t="shared" ca="1" si="4"/>
        <v>78.926000000000045</v>
      </c>
      <c r="F16" s="15">
        <f t="shared" ca="1" si="7"/>
        <v>78.926000000000045</v>
      </c>
      <c r="G16" s="25">
        <f t="shared" ca="1" si="1"/>
        <v>79.049496846858361</v>
      </c>
      <c r="H16" s="25">
        <f t="shared" ca="1" si="2"/>
        <v>2.3249852013781869</v>
      </c>
      <c r="I16" s="26"/>
      <c r="J16" s="27">
        <f ca="1">IF(OR($C16="",$C16="All"),"",HLOOKUP($A$11,INDIRECT("'" &amp; $A$5 &amp; "'!$A:$AN"),29,FALSE))</f>
        <v>-2194020000</v>
      </c>
      <c r="K16" s="27">
        <f t="shared" ca="1" si="5"/>
        <v>-1001500000</v>
      </c>
      <c r="L16" s="27">
        <f t="shared" ca="1" si="6"/>
        <v>1001500000</v>
      </c>
      <c r="M16" s="16">
        <f t="shared" ca="1" si="3"/>
        <v>12.669277350875412</v>
      </c>
    </row>
    <row r="17" spans="1:13" x14ac:dyDescent="0.25">
      <c r="A17" s="13">
        <f>A11-A8+1</f>
        <v>34</v>
      </c>
      <c r="B17" s="8"/>
      <c r="C17" s="2" t="str">
        <f ca="1">IF(ISBLANK(INDIRECT("'" &amp; $A$5 &amp; "'!B30")),"",RIGHT(INDIRECT("'" &amp; $A$5 &amp; "'!B30"),LEN(INDIRECT("'" &amp; $A$5 &amp; "'!B30"))-20))</f>
        <v>Industry Energy Efficiency Standards</v>
      </c>
      <c r="D17" s="15">
        <f ca="1">IF($C17="","",HLOOKUP($A$11,INDIRECT("'" &amp; $A$5 &amp; "'!$A:$AN"),30,FALSE))</f>
        <v>633.71100000000001</v>
      </c>
      <c r="E17" s="15">
        <f t="shared" ca="1" si="4"/>
        <v>4.90300000000002</v>
      </c>
      <c r="F17" s="15">
        <f t="shared" ca="1" si="7"/>
        <v>4.90300000000002</v>
      </c>
      <c r="G17" s="25">
        <f t="shared" ca="1" si="1"/>
        <v>4.9106718070109707</v>
      </c>
      <c r="H17" s="25">
        <f t="shared" ca="1" si="2"/>
        <v>0.1444315237356168</v>
      </c>
      <c r="I17" s="26"/>
      <c r="J17" s="27">
        <f ca="1">IF(OR($C17="",$C17="All"),"",HLOOKUP($A$11,INDIRECT("'" &amp; $A$5 &amp; "'!$A:$AN"),31,FALSE))</f>
        <v>-1062530000</v>
      </c>
      <c r="K17" s="27">
        <f t="shared" ca="1" si="5"/>
        <v>129990000</v>
      </c>
      <c r="L17" s="27">
        <f t="shared" ca="1" si="6"/>
        <v>-129990000</v>
      </c>
      <c r="M17" s="16">
        <f t="shared" ca="1" si="3"/>
        <v>-26.470919888071759</v>
      </c>
    </row>
    <row r="18" spans="1:13" x14ac:dyDescent="0.25">
      <c r="C18" s="2" t="str">
        <f ca="1">IF(ISBLANK(INDIRECT("'" &amp; $A$5 &amp; "'!B32")),"",RIGHT(INDIRECT("'" &amp; $A$5 &amp; "'!B32"),LEN(INDIRECT("'" &amp; $A$5 &amp; "'!B32"))-20))</f>
        <v>Carbon Capture and Sequestration</v>
      </c>
      <c r="D18" s="15">
        <f ca="1">IF($C18="","",HLOOKUP($A$11,INDIRECT("'" &amp; $A$5 &amp; "'!$A:$AN"),32,FALSE))</f>
        <v>700.03399999999999</v>
      </c>
      <c r="E18" s="15">
        <f t="shared" ca="1" si="4"/>
        <v>71.225999999999999</v>
      </c>
      <c r="F18" s="15">
        <f t="shared" ca="1" si="7"/>
        <v>71.225999999999999</v>
      </c>
      <c r="G18" s="25">
        <f t="shared" ca="1" si="1"/>
        <v>71.337448526649396</v>
      </c>
      <c r="H18" s="25">
        <f t="shared" ca="1" si="2"/>
        <v>2.0981602507838057</v>
      </c>
      <c r="I18" s="22"/>
      <c r="J18" s="27">
        <f ca="1">IF(OR($C18="",$C18="All"),"",HLOOKUP($A$11,INDIRECT("'" &amp; $A$5 &amp; "'!$A:$AN"),33,FALSE))</f>
        <v>-1224010000</v>
      </c>
      <c r="K18" s="27">
        <f t="shared" ca="1" si="5"/>
        <v>-31490000</v>
      </c>
      <c r="L18" s="27">
        <f t="shared" ca="1" si="6"/>
        <v>31490000</v>
      </c>
      <c r="M18" s="16">
        <f t="shared" ca="1" si="3"/>
        <v>0.44142313259544652</v>
      </c>
    </row>
    <row r="19" spans="1:13" x14ac:dyDescent="0.25">
      <c r="C19" s="2" t="str">
        <f ca="1">IF(ISBLANK(INDIRECT("'" &amp; $A$5 &amp; "'!B34")),"",RIGHT(INDIRECT("'" &amp; $A$5 &amp; "'!B34"),LEN(INDIRECT("'" &amp; $A$5 &amp; "'!B34"))-20))</f>
        <v>All</v>
      </c>
      <c r="D19" s="15">
        <f ca="1">IF($C19="","",HLOOKUP($A$11,INDIRECT("'" &amp; $A$5 &amp; "'!$A:$AN"),34,FALSE))</f>
        <v>903.40800000000002</v>
      </c>
      <c r="E19" s="15" t="str">
        <f t="shared" ca="1" si="4"/>
        <v/>
      </c>
      <c r="F19" s="15" t="str">
        <f t="shared" ca="1" si="7"/>
        <v/>
      </c>
      <c r="G19" s="25" t="str">
        <f t="shared" ca="1" si="1"/>
        <v/>
      </c>
      <c r="H19" s="25" t="str">
        <f t="shared" ca="1" si="2"/>
        <v/>
      </c>
      <c r="I19" s="22"/>
      <c r="J19" s="27" t="str">
        <f ca="1">IF(OR($C19="",$C19="All"),"",HLOOKUP($A$11,INDIRECT("'" &amp; $A$5 &amp; "'!$A:$AN"),35,FALSE))</f>
        <v/>
      </c>
      <c r="K19" s="27" t="str">
        <f t="shared" ca="1" si="5"/>
        <v/>
      </c>
      <c r="L19" s="27" t="str">
        <f t="shared" ca="1" si="6"/>
        <v/>
      </c>
      <c r="M19" s="16" t="str">
        <f ca="1">IF(G19="","",IF(G19="exclude","exclude",L19/(G19*10^6)))</f>
        <v/>
      </c>
    </row>
    <row r="20" spans="1:13" x14ac:dyDescent="0.25">
      <c r="C20" s="2" t="str">
        <f ca="1">IF(ISBLANK(INDIRECT("'" &amp; $A$5 &amp; "'!B36")),"",RIGHT(INDIRECT("'" &amp; $A$5 &amp; "'!B36"),LEN(INDIRECT("'" &amp; $A$5 &amp; "'!B36"))-20))</f>
        <v/>
      </c>
      <c r="D20" s="15" t="str">
        <f ca="1">IF($C20="","",HLOOKUP($A$11,INDIRECT("'" &amp; $A$5 &amp; "'!$A:$AN"),36,FALSE))</f>
        <v/>
      </c>
      <c r="E20" s="15" t="str">
        <f t="shared" ca="1" si="4"/>
        <v/>
      </c>
      <c r="F20" s="15" t="str">
        <f t="shared" ca="1" si="7"/>
        <v/>
      </c>
      <c r="G20" s="25" t="str">
        <f t="shared" ca="1" si="1"/>
        <v/>
      </c>
      <c r="H20" s="25" t="str">
        <f t="shared" ca="1" si="2"/>
        <v/>
      </c>
      <c r="I20" s="22"/>
      <c r="J20" s="27" t="str">
        <f ca="1">IF(OR($C20="",$C20="All"),"",HLOOKUP($A$11,INDIRECT("'" &amp; $A$5 &amp; "'!$A:$AN"),37,FALSE))</f>
        <v/>
      </c>
      <c r="K20" s="27" t="str">
        <f t="shared" ca="1" si="5"/>
        <v/>
      </c>
      <c r="L20" s="27" t="str">
        <f t="shared" ca="1" si="6"/>
        <v/>
      </c>
      <c r="M20" s="16" t="str">
        <f t="shared" ref="M20:M27" ca="1" si="8">IF(G20="","",IF(G20="exclude","exclude",L20/(G20*10^6)))</f>
        <v/>
      </c>
    </row>
    <row r="21" spans="1:13" x14ac:dyDescent="0.25">
      <c r="C21" s="2" t="str">
        <f ca="1">IF(ISBLANK(INDIRECT("'" &amp; $A$5 &amp; "'!B38")),"",RIGHT(INDIRECT("'" &amp; $A$5 &amp; "'!B38"),LEN(INDIRECT("'" &amp; $A$5 &amp; "'!B38"))-20))</f>
        <v/>
      </c>
      <c r="D21" s="15" t="str">
        <f ca="1">IF($C21="","",HLOOKUP($A$11,INDIRECT("'" &amp; $A$5 &amp; "'!$A:$AN"),38,FALSE))</f>
        <v/>
      </c>
      <c r="E21" s="15" t="str">
        <f t="shared" ca="1" si="4"/>
        <v/>
      </c>
      <c r="F21" s="15" t="str">
        <f t="shared" ca="1" si="7"/>
        <v/>
      </c>
      <c r="G21" s="25" t="str">
        <f t="shared" ca="1" si="1"/>
        <v/>
      </c>
      <c r="H21" s="25" t="str">
        <f t="shared" ca="1" si="2"/>
        <v/>
      </c>
      <c r="I21" s="22"/>
      <c r="J21" s="27" t="str">
        <f ca="1">IF(OR($C21="",$C21="All"),"",HLOOKUP($A$11,INDIRECT("'" &amp; $A$5 &amp; "'!$A:$AN"),39,FALSE))</f>
        <v/>
      </c>
      <c r="K21" s="27" t="str">
        <f t="shared" ca="1" si="5"/>
        <v/>
      </c>
      <c r="L21" s="27" t="str">
        <f t="shared" ca="1" si="6"/>
        <v/>
      </c>
      <c r="M21" s="16" t="str">
        <f t="shared" ca="1" si="8"/>
        <v/>
      </c>
    </row>
    <row r="22" spans="1:13" x14ac:dyDescent="0.25">
      <c r="C22" s="2" t="str">
        <f ca="1">IF(ISBLANK(INDIRECT("'" &amp; $A$5 &amp; "'!B40")),"",RIGHT(INDIRECT("'" &amp; $A$5 &amp; "'!B40"),LEN(INDIRECT("'" &amp; $A$5 &amp; "'!B40"))-20))</f>
        <v/>
      </c>
      <c r="D22" s="15" t="str">
        <f ca="1">IF($C22="","",HLOOKUP($A$11,INDIRECT("'" &amp; $A$5 &amp; "'!$A:$AN"),40,FALSE))</f>
        <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2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A114"/>
  <sheetViews>
    <sheetView workbookViewId="0"/>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25</v>
      </c>
      <c r="B1" s="47" t="s">
        <v>29</v>
      </c>
      <c r="C1" s="48" t="s">
        <v>28</v>
      </c>
      <c r="D1" s="32" t="s">
        <v>32</v>
      </c>
      <c r="E1" s="36"/>
      <c r="F1" s="36"/>
      <c r="G1" s="36"/>
      <c r="H1" s="36"/>
      <c r="I1" s="36"/>
      <c r="J1" s="36"/>
    </row>
    <row r="2" spans="1:10" x14ac:dyDescent="0.25">
      <c r="A2" s="28" t="str">
        <f ca="1">Calculations!C9</f>
        <v>Building Component Electrification</v>
      </c>
      <c r="B2" s="43">
        <f ca="1">Calculations!H9</f>
        <v>0.1968074668728651</v>
      </c>
      <c r="C2" s="34">
        <f ca="1">Calculations!M9</f>
        <v>-36.920227601334275</v>
      </c>
    </row>
    <row r="3" spans="1:10" x14ac:dyDescent="0.25">
      <c r="A3" s="28" t="str">
        <f ca="1">Calculations!C7</f>
        <v>Vehicle Fuel Economy Standards</v>
      </c>
      <c r="B3" s="43">
        <f ca="1">Calculations!H7</f>
        <v>0.11721252966429183</v>
      </c>
      <c r="C3" s="34">
        <f ca="1">Calculations!M7</f>
        <v>-35.205029701636086</v>
      </c>
    </row>
    <row r="4" spans="1:10" x14ac:dyDescent="0.25">
      <c r="A4" s="28" t="str">
        <f ca="1">Calculations!C11</f>
        <v>Contractor Training</v>
      </c>
      <c r="B4" s="43">
        <f ca="1">Calculations!H11</f>
        <v>0.12790570590659667</v>
      </c>
      <c r="C4" s="34">
        <f ca="1">Calculations!M11</f>
        <v>-32.779202687683195</v>
      </c>
    </row>
    <row r="5" spans="1:10" x14ac:dyDescent="0.25">
      <c r="A5" s="28" t="str">
        <f ca="1">Calculations!C12</f>
        <v>Improved Labeling</v>
      </c>
      <c r="B5" s="33">
        <f ca="1">Calculations!H12</f>
        <v>0.55775371617584191</v>
      </c>
      <c r="C5" s="34">
        <f ca="1">Calculations!M12</f>
        <v>-29.64802140813293</v>
      </c>
    </row>
    <row r="6" spans="1:10" x14ac:dyDescent="0.25">
      <c r="A6" s="28" t="str">
        <f ca="1">Calculations!C10</f>
        <v>Building Energy Efficiency Standards</v>
      </c>
      <c r="B6" s="43">
        <f ca="1">Calculations!H10</f>
        <v>1.5916925396709265</v>
      </c>
      <c r="C6" s="34">
        <f ca="1">Calculations!M10</f>
        <v>-26.58786469596842</v>
      </c>
    </row>
    <row r="7" spans="1:10" x14ac:dyDescent="0.25">
      <c r="A7" s="28" t="str">
        <f ca="1">Calculations!C17</f>
        <v>Industry Energy Efficiency Standards</v>
      </c>
      <c r="B7" s="43">
        <f ca="1">Calculations!H17</f>
        <v>0.1444315237356168</v>
      </c>
      <c r="C7" s="34">
        <f ca="1">Calculations!M17</f>
        <v>-26.470919888071759</v>
      </c>
    </row>
    <row r="8" spans="1:10" x14ac:dyDescent="0.25">
      <c r="A8" s="28" t="str">
        <f ca="1">Calculations!C6</f>
        <v>EV Sales Mandate</v>
      </c>
      <c r="B8" s="43">
        <f ca="1">Calculations!H6</f>
        <v>0.19347873707842642</v>
      </c>
      <c r="C8" s="34">
        <f ca="1">Calculations!M6</f>
        <v>-19.415418174414754</v>
      </c>
    </row>
    <row r="9" spans="1:10" x14ac:dyDescent="0.25">
      <c r="A9" s="28" t="str">
        <f ca="1">Calculations!C15</f>
        <v>Carbon-free Electricity Standard</v>
      </c>
      <c r="B9" s="43">
        <f ca="1">Calculations!H15</f>
        <v>5.3672085712072833E-2</v>
      </c>
      <c r="C9" s="34">
        <f ca="1">Calculations!M15</f>
        <v>-5.7812941966080933</v>
      </c>
    </row>
    <row r="10" spans="1:10" x14ac:dyDescent="0.25">
      <c r="A10" s="28" t="str">
        <f ca="1">Calculations!C18</f>
        <v>Carbon Capture and Sequestration</v>
      </c>
      <c r="B10" s="43">
        <f ca="1">Calculations!H18</f>
        <v>2.0981602507838057</v>
      </c>
      <c r="C10" s="34">
        <f ca="1">Calculations!M18</f>
        <v>0.44142313259544652</v>
      </c>
    </row>
    <row r="11" spans="1:10" x14ac:dyDescent="0.25">
      <c r="A11" s="28" t="str">
        <f ca="1">Calculations!C16</f>
        <v>Electricity Imports and Exports</v>
      </c>
      <c r="B11" s="43">
        <f ca="1">Calculations!H16</f>
        <v>2.3249852013781869</v>
      </c>
      <c r="C11" s="34">
        <f ca="1">Calculations!M16</f>
        <v>12.669277350875412</v>
      </c>
    </row>
    <row r="12" spans="1:10" x14ac:dyDescent="0.25">
      <c r="A12" s="28" t="str">
        <f ca="1">Calculations!C13</f>
        <v>Increased Retrofitting</v>
      </c>
      <c r="B12" s="33">
        <f ca="1">Calculations!H13</f>
        <v>0.67037083125666463</v>
      </c>
      <c r="C12" s="34">
        <f ca="1">Calculations!M13</f>
        <v>41.813994651877991</v>
      </c>
    </row>
    <row r="13" spans="1:10" x14ac:dyDescent="0.25">
      <c r="A13" s="28" t="str">
        <f ca="1">Calculations!C20</f>
        <v/>
      </c>
      <c r="B13" s="43" t="str">
        <f ca="1">Calculations!H20</f>
        <v/>
      </c>
      <c r="C13" s="34" t="str">
        <f ca="1">Calculations!M20</f>
        <v/>
      </c>
    </row>
    <row r="14" spans="1:10" x14ac:dyDescent="0.25">
      <c r="A14" s="28" t="str">
        <f ca="1">Calculations!C19</f>
        <v>All</v>
      </c>
      <c r="B14" s="43" t="str">
        <f ca="1">Calculations!H19</f>
        <v/>
      </c>
      <c r="C14" s="34" t="str">
        <f ca="1">Calculations!M19</f>
        <v/>
      </c>
    </row>
    <row r="15" spans="1:10" x14ac:dyDescent="0.25">
      <c r="A15" s="28" t="str">
        <f ca="1">Calculations!C22</f>
        <v/>
      </c>
      <c r="B15" s="43" t="str">
        <f ca="1">Calculations!H22</f>
        <v/>
      </c>
      <c r="C15" s="34" t="str">
        <f ca="1">Calculations!M22</f>
        <v/>
      </c>
    </row>
    <row r="16" spans="1:10" x14ac:dyDescent="0.25">
      <c r="A16" s="28" t="str">
        <f ca="1">Calculations!C21</f>
        <v/>
      </c>
      <c r="B16" s="43" t="str">
        <f ca="1">Calculations!H21</f>
        <v/>
      </c>
      <c r="C16" s="34" t="str">
        <f ca="1">Calculations!M21</f>
        <v/>
      </c>
    </row>
    <row r="17" spans="1:3" x14ac:dyDescent="0.25">
      <c r="A17" s="28" t="str">
        <f ca="1">Calculations!C24</f>
        <v/>
      </c>
      <c r="B17" s="43" t="str">
        <f ca="1">Calculations!H24</f>
        <v/>
      </c>
      <c r="C17" s="34" t="str">
        <f ca="1">Calculations!M24</f>
        <v/>
      </c>
    </row>
    <row r="18" spans="1:3" x14ac:dyDescent="0.25">
      <c r="A18" s="28" t="str">
        <f ca="1">Calculations!C23</f>
        <v/>
      </c>
      <c r="B18" s="43" t="str">
        <f ca="1">Calculations!H23</f>
        <v/>
      </c>
      <c r="C18" s="34" t="str">
        <f ca="1">Calculations!M23</f>
        <v/>
      </c>
    </row>
    <row r="19" spans="1:3" x14ac:dyDescent="0.25">
      <c r="A19" s="28" t="str">
        <f ca="1">Calculations!C3</f>
        <v>None</v>
      </c>
      <c r="B19" s="33" t="str">
        <f ca="1">Calculations!H3</f>
        <v/>
      </c>
      <c r="C19" s="35" t="str">
        <f ca="1">Calculations!M3</f>
        <v/>
      </c>
    </row>
    <row r="20" spans="1:3" x14ac:dyDescent="0.25">
      <c r="A20" s="28" t="str">
        <f ca="1">Calculations!C25</f>
        <v/>
      </c>
      <c r="B20" s="33" t="str">
        <f ca="1">Calculations!H25</f>
        <v/>
      </c>
      <c r="C20" s="35" t="str">
        <f ca="1">Calculations!M25</f>
        <v/>
      </c>
    </row>
    <row r="21" spans="1:3" x14ac:dyDescent="0.25">
      <c r="A21" s="28" t="str">
        <f ca="1">Calculations!C26</f>
        <v/>
      </c>
      <c r="B21" s="33" t="str">
        <f ca="1">Calculations!H26</f>
        <v/>
      </c>
      <c r="C21" s="35" t="str">
        <f ca="1">Calculations!M26</f>
        <v/>
      </c>
    </row>
    <row r="22" spans="1:3" x14ac:dyDescent="0.25">
      <c r="A22" s="28" t="str">
        <f ca="1">Calculations!C27</f>
        <v/>
      </c>
      <c r="B22" s="33" t="str">
        <f ca="1">Calculations!H27</f>
        <v/>
      </c>
      <c r="C22" s="35" t="str">
        <f ca="1">Calculations!M27</f>
        <v/>
      </c>
    </row>
    <row r="23" spans="1:3" x14ac:dyDescent="0.25">
      <c r="A23" s="28" t="str">
        <f ca="1">Calculations!C14</f>
        <v>Ban New Power Plants</v>
      </c>
      <c r="B23" s="33" t="str">
        <f ca="1">Calculations!H14</f>
        <v>exclude</v>
      </c>
      <c r="C23" s="34" t="str">
        <f ca="1">Calculations!M14</f>
        <v>exclude</v>
      </c>
    </row>
    <row r="24" spans="1:3" x14ac:dyDescent="0.25">
      <c r="A24" s="28" t="str">
        <f ca="1">Calculations!C8</f>
        <v>Transportation Demand Management</v>
      </c>
      <c r="B24" s="43" t="str">
        <f ca="1">Calculations!H8</f>
        <v>exclude</v>
      </c>
      <c r="C24" s="34" t="str">
        <f ca="1">Calculations!M8</f>
        <v>exclude</v>
      </c>
    </row>
    <row r="25" spans="1:3" x14ac:dyDescent="0.25">
      <c r="A25" s="28" t="str">
        <f ca="1">Calculations!C5</f>
        <v>EV Range n Charging Time</v>
      </c>
      <c r="B25" s="43" t="str">
        <f ca="1">Calculations!H5</f>
        <v>exclude</v>
      </c>
      <c r="C25" s="34" t="str">
        <f ca="1">Calculations!M5</f>
        <v>exclude</v>
      </c>
    </row>
    <row r="26" spans="1:3" ht="15.75" thickBot="1" x14ac:dyDescent="0.3">
      <c r="A26" s="29" t="str">
        <f ca="1">Calculations!C4</f>
        <v>EV Charger Deployment</v>
      </c>
      <c r="B26" s="55" t="str">
        <f ca="1">Calculations!H4</f>
        <v>exclude</v>
      </c>
      <c r="C26" s="56" t="str">
        <f ca="1">Calculations!M4</f>
        <v>exclude</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5" t="s">
        <v>30</v>
      </c>
      <c r="B38" s="49" t="s">
        <v>33</v>
      </c>
    </row>
    <row r="39" spans="1:27" ht="15.75" thickBot="1" x14ac:dyDescent="0.3">
      <c r="A39" s="46">
        <v>100</v>
      </c>
      <c r="B39" s="50" t="s">
        <v>34</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4" t="s">
        <v>31</v>
      </c>
      <c r="B41" s="37" t="str">
        <f ca="1">IF(ISNUMBER($B2),$A2,"")</f>
        <v>Building Component Electrification</v>
      </c>
      <c r="C41" s="37" t="str">
        <f ca="1">IF(ISNUMBER($B3),$A3,"")</f>
        <v>Vehicle Fuel Economy Standards</v>
      </c>
      <c r="D41" s="37" t="str">
        <f ca="1">IF(ISNUMBER($B4),$A4,"")</f>
        <v>Contractor Training</v>
      </c>
      <c r="E41" s="37" t="str">
        <f ca="1">IF(ISNUMBER($B5),$A5,"")</f>
        <v>Improved Labeling</v>
      </c>
      <c r="F41" s="37" t="str">
        <f ca="1">IF(ISNUMBER($B6),$A6,"")</f>
        <v>Building Energy Efficiency Standards</v>
      </c>
      <c r="G41" s="37" t="str">
        <f ca="1">IF(ISNUMBER($B7),$A7,"")</f>
        <v>Industry Energy Efficiency Standards</v>
      </c>
      <c r="H41" s="37" t="str">
        <f ca="1">IF(ISNUMBER($B8),$A8,"")</f>
        <v>EV Sales Mandate</v>
      </c>
      <c r="I41" s="37" t="str">
        <f ca="1">IF(ISNUMBER($B9),$A9,"")</f>
        <v>Carbon-free Electricity Standard</v>
      </c>
      <c r="J41" s="37" t="str">
        <f ca="1">IF(ISNUMBER($B10),$A10,"")</f>
        <v>Carbon Capture and Sequestration</v>
      </c>
      <c r="K41" s="37" t="str">
        <f ca="1">IF(ISNUMBER($B11),$A11,"")</f>
        <v>Electricity Imports and Exports</v>
      </c>
      <c r="L41" s="37" t="str">
        <f ca="1">IF(ISNUMBER($B12),$A12,"")</f>
        <v>Increased Retrofitting</v>
      </c>
      <c r="M41" s="37" t="str">
        <f ca="1">IF(ISNUMBER($B13),$A13,"")</f>
        <v/>
      </c>
      <c r="N41" s="37" t="str">
        <f ca="1">IF(ISNUMBER($B14),$A14,"")</f>
        <v/>
      </c>
      <c r="O41" s="37" t="str">
        <f ca="1">IF(ISNUMBER($B15),$A15,"")</f>
        <v/>
      </c>
      <c r="P41" s="37" t="str">
        <f ca="1">IF(ISNUMBER($B16),$A16,"")</f>
        <v/>
      </c>
      <c r="Q41" s="37" t="str">
        <f ca="1">IF(ISNUMBER($B17),$A17,"")</f>
        <v/>
      </c>
      <c r="R41" s="37" t="str">
        <f ca="1">IF(ISNUMBER($B18),$A18,"")</f>
        <v/>
      </c>
      <c r="S41" s="37" t="str">
        <f ca="1">IF(ISNUMBER($B19),$A19,"")</f>
        <v/>
      </c>
      <c r="T41" s="37" t="str">
        <f ca="1">IF(ISNUMBER($B20),$A20,"")</f>
        <v/>
      </c>
      <c r="U41" s="37" t="str">
        <f ca="1">IF(ISNUMBER($B21),$A21,"")</f>
        <v/>
      </c>
      <c r="V41" s="37" t="str">
        <f ca="1">IF(ISNUMBER($B22),$A22,"")</f>
        <v/>
      </c>
      <c r="W41" s="37" t="str">
        <f ca="1">IF(ISNUMBER($B23),$A23,"")</f>
        <v/>
      </c>
      <c r="X41" s="37" t="str">
        <f ca="1">IF(ISNUMBER($B24),$A24,"")</f>
        <v/>
      </c>
      <c r="Y41" s="37" t="str">
        <f ca="1">IF(ISNUMBER($B25),$A25,"")</f>
        <v/>
      </c>
      <c r="Z41" s="37" t="str">
        <f ca="1">IF(ISNUMBER($B26),$A26,"")</f>
        <v/>
      </c>
      <c r="AA41" s="14"/>
    </row>
    <row r="42" spans="1:27" s="2" customFormat="1" x14ac:dyDescent="0.25">
      <c r="A42" s="42">
        <v>0</v>
      </c>
      <c r="B42" s="40"/>
      <c r="C42" s="37"/>
      <c r="D42" s="37"/>
      <c r="E42" s="37"/>
      <c r="F42" s="37"/>
      <c r="G42" s="37"/>
      <c r="H42" s="37"/>
      <c r="I42" s="37"/>
      <c r="J42" s="37"/>
      <c r="K42" s="37"/>
      <c r="L42" s="37"/>
      <c r="M42" s="37"/>
      <c r="N42" s="37"/>
      <c r="O42" s="37"/>
      <c r="P42" s="37"/>
      <c r="Q42" s="37"/>
      <c r="R42" s="37"/>
      <c r="S42" s="37"/>
      <c r="T42" s="37"/>
      <c r="U42" s="37"/>
      <c r="V42" s="37"/>
      <c r="W42" s="37"/>
      <c r="X42" s="37"/>
      <c r="Y42" s="37"/>
      <c r="Z42" s="37"/>
      <c r="AA42" s="14"/>
    </row>
    <row r="43" spans="1:27" s="2" customFormat="1" x14ac:dyDescent="0.25">
      <c r="A43" s="20">
        <f>A42</f>
        <v>0</v>
      </c>
      <c r="B43" s="38">
        <f ca="1">IF(ISNUMBER($C2),$C2,NA())</f>
        <v>-36.920227601334275</v>
      </c>
      <c r="C43"/>
      <c r="D43"/>
      <c r="E43"/>
      <c r="F43"/>
      <c r="G43"/>
      <c r="H43"/>
      <c r="I43"/>
      <c r="J43"/>
      <c r="K43"/>
      <c r="L43"/>
      <c r="M43"/>
      <c r="N43"/>
      <c r="O43"/>
      <c r="P43"/>
      <c r="Q43"/>
      <c r="R43"/>
      <c r="S43"/>
      <c r="T43"/>
      <c r="U43"/>
      <c r="V43"/>
      <c r="W43"/>
      <c r="X43"/>
      <c r="Y43"/>
      <c r="Z43"/>
      <c r="AA43" s="14"/>
    </row>
    <row r="44" spans="1:27" x14ac:dyDescent="0.25">
      <c r="A44" s="6">
        <f ca="1">IF(ISNUMBER(B2),B2*$A$39+A43,NA())</f>
        <v>19.680746687286511</v>
      </c>
      <c r="B44" s="38">
        <f ca="1">IF(ISNUMBER($C2),$C2,NA())</f>
        <v>-36.920227601334275</v>
      </c>
    </row>
    <row r="45" spans="1:27" x14ac:dyDescent="0.25">
      <c r="A45" s="20">
        <f ca="1">A44</f>
        <v>19.680746687286511</v>
      </c>
      <c r="C45" s="38">
        <f ca="1">IF(ISNUMBER($C3),$C3,NA())</f>
        <v>-35.205029701636086</v>
      </c>
    </row>
    <row r="46" spans="1:27" x14ac:dyDescent="0.25">
      <c r="A46" s="6">
        <f ca="1">IF(ISNUMBER(B3),B3*$A$39+A45,NA())</f>
        <v>31.401999653715691</v>
      </c>
      <c r="C46" s="38">
        <f ca="1">IF(ISNUMBER($C3),$C3,NA())</f>
        <v>-35.205029701636086</v>
      </c>
    </row>
    <row r="47" spans="1:27" x14ac:dyDescent="0.25">
      <c r="A47" s="20">
        <f ca="1">A46</f>
        <v>31.401999653715691</v>
      </c>
      <c r="D47" s="38">
        <f ca="1">IF(ISNUMBER($C4),$C4,NA())</f>
        <v>-32.779202687683195</v>
      </c>
    </row>
    <row r="48" spans="1:27" x14ac:dyDescent="0.25">
      <c r="A48" s="6">
        <f ca="1">IF(ISNUMBER(B4),B4*$A$39+A47,NA())</f>
        <v>44.192570244375361</v>
      </c>
      <c r="D48" s="38">
        <f ca="1">IF(ISNUMBER($C4),$C4,NA())</f>
        <v>-32.779202687683195</v>
      </c>
    </row>
    <row r="49" spans="1:12" x14ac:dyDescent="0.25">
      <c r="A49" s="20">
        <f ca="1">A48</f>
        <v>44.192570244375361</v>
      </c>
      <c r="E49" s="38">
        <f ca="1">IF(ISNUMBER($C5),$C5,NA())</f>
        <v>-29.64802140813293</v>
      </c>
    </row>
    <row r="50" spans="1:12" x14ac:dyDescent="0.25">
      <c r="A50" s="6">
        <f ca="1">IF(ISNUMBER(B5),B5*$A$39+A49,NA())</f>
        <v>99.967941861959559</v>
      </c>
      <c r="E50" s="38">
        <f ca="1">IF(ISNUMBER($C5),$C5,NA())</f>
        <v>-29.64802140813293</v>
      </c>
    </row>
    <row r="51" spans="1:12" x14ac:dyDescent="0.25">
      <c r="A51" s="20">
        <f ca="1">A50</f>
        <v>99.967941861959559</v>
      </c>
      <c r="F51" s="38">
        <f ca="1">IF(ISNUMBER($C6),$C6,NA())</f>
        <v>-26.58786469596842</v>
      </c>
    </row>
    <row r="52" spans="1:12" x14ac:dyDescent="0.25">
      <c r="A52" s="6">
        <f ca="1">IF(ISNUMBER(B6),B6*$A$39+A51,NA())</f>
        <v>259.13719582905219</v>
      </c>
      <c r="F52" s="38">
        <f ca="1">IF(ISNUMBER($C6),$C6,NA())</f>
        <v>-26.58786469596842</v>
      </c>
    </row>
    <row r="53" spans="1:12" x14ac:dyDescent="0.25">
      <c r="A53" s="20">
        <f t="shared" ref="A53" ca="1" si="0">A52</f>
        <v>259.13719582905219</v>
      </c>
      <c r="G53" s="38">
        <f ca="1">IF(ISNUMBER($C7),$C7,NA())</f>
        <v>-26.470919888071759</v>
      </c>
    </row>
    <row r="54" spans="1:12" x14ac:dyDescent="0.25">
      <c r="A54" s="6">
        <f ca="1">IF(ISNUMBER(B7),B7*$A$39+A53,NA())</f>
        <v>273.58034820261389</v>
      </c>
      <c r="G54" s="38">
        <f ca="1">IF(ISNUMBER($C7),$C7,NA())</f>
        <v>-26.470919888071759</v>
      </c>
    </row>
    <row r="55" spans="1:12" x14ac:dyDescent="0.25">
      <c r="A55" s="20">
        <f t="shared" ref="A55:A93" ca="1" si="1">A54</f>
        <v>273.58034820261389</v>
      </c>
      <c r="H55" s="38">
        <f ca="1">IF(ISNUMBER($C8),$C8,NA())</f>
        <v>-19.415418174414754</v>
      </c>
    </row>
    <row r="56" spans="1:12" x14ac:dyDescent="0.25">
      <c r="A56" s="6">
        <f ca="1">IF(ISNUMBER(B8),B8*$A$39+A55,NA())</f>
        <v>292.92822191045656</v>
      </c>
      <c r="H56" s="38">
        <f ca="1">IF(ISNUMBER($C8),$C8,NA())</f>
        <v>-19.415418174414754</v>
      </c>
    </row>
    <row r="57" spans="1:12" x14ac:dyDescent="0.25">
      <c r="A57" s="20">
        <f t="shared" ca="1" si="1"/>
        <v>292.92822191045656</v>
      </c>
      <c r="I57" s="38">
        <f ca="1">IF(ISNUMBER($C9),$C9,NA())</f>
        <v>-5.7812941966080933</v>
      </c>
    </row>
    <row r="58" spans="1:12" x14ac:dyDescent="0.25">
      <c r="A58" s="6">
        <f ca="1">IF(ISNUMBER(B9),B9*$A$39+A57,NA())</f>
        <v>298.29543048166386</v>
      </c>
      <c r="I58" s="38">
        <f ca="1">IF(ISNUMBER($C9),$C9,NA())</f>
        <v>-5.7812941966080933</v>
      </c>
    </row>
    <row r="59" spans="1:12" x14ac:dyDescent="0.25">
      <c r="A59" s="20">
        <f t="shared" ca="1" si="1"/>
        <v>298.29543048166386</v>
      </c>
      <c r="J59" s="38">
        <f ca="1">IF(ISNUMBER($C10),$C10,NA())</f>
        <v>0.44142313259544652</v>
      </c>
    </row>
    <row r="60" spans="1:12" x14ac:dyDescent="0.25">
      <c r="A60" s="6">
        <f ca="1">IF(ISNUMBER(B10),B10*$A$39+A59,NA())</f>
        <v>508.11145556004442</v>
      </c>
      <c r="J60" s="38">
        <f ca="1">IF(ISNUMBER($C10),$C10,NA())</f>
        <v>0.44142313259544652</v>
      </c>
    </row>
    <row r="61" spans="1:12" x14ac:dyDescent="0.25">
      <c r="A61" s="20">
        <f t="shared" ca="1" si="1"/>
        <v>508.11145556004442</v>
      </c>
      <c r="K61" s="38">
        <f ca="1">IF(ISNUMBER($C11),$C11,NA())</f>
        <v>12.669277350875412</v>
      </c>
    </row>
    <row r="62" spans="1:12" x14ac:dyDescent="0.25">
      <c r="A62" s="6">
        <f ca="1">IF(ISNUMBER(B11),B11*$A$39+A61,NA())</f>
        <v>740.60997569786309</v>
      </c>
      <c r="K62" s="38">
        <f ca="1">IF(ISNUMBER($C11),$C11,NA())</f>
        <v>12.669277350875412</v>
      </c>
    </row>
    <row r="63" spans="1:12" x14ac:dyDescent="0.25">
      <c r="A63" s="20">
        <f t="shared" ca="1" si="1"/>
        <v>740.60997569786309</v>
      </c>
      <c r="L63" s="38">
        <f ca="1">IF(ISNUMBER($C12),$C12,NA())</f>
        <v>41.813994651877991</v>
      </c>
    </row>
    <row r="64" spans="1:12" x14ac:dyDescent="0.25">
      <c r="A64" s="6">
        <f ca="1">IF(ISNUMBER(B12),B12*$A$39+A63,NA())</f>
        <v>807.64705882352951</v>
      </c>
      <c r="L64" s="38">
        <f ca="1">IF(ISNUMBER($C12),$C12,NA())</f>
        <v>41.813994651877991</v>
      </c>
    </row>
    <row r="65" spans="1:20" x14ac:dyDescent="0.25">
      <c r="A65" s="20">
        <f t="shared" ca="1" si="1"/>
        <v>807.64705882352951</v>
      </c>
      <c r="M65" s="38" t="e">
        <f ca="1">IF(ISNUMBER($C13),$C13,NA())</f>
        <v>#N/A</v>
      </c>
    </row>
    <row r="66" spans="1:20" x14ac:dyDescent="0.25">
      <c r="A66" s="6" t="e">
        <f ca="1">IF(ISNUMBER(B13),B13*$A$39+A65,NA())</f>
        <v>#N/A</v>
      </c>
      <c r="M66" s="38" t="e">
        <f ca="1">IF(ISNUMBER($C13),$C13,NA())</f>
        <v>#N/A</v>
      </c>
    </row>
    <row r="67" spans="1:20" x14ac:dyDescent="0.25">
      <c r="A67" s="20" t="e">
        <f t="shared" ca="1" si="1"/>
        <v>#N/A</v>
      </c>
      <c r="N67" s="38" t="e">
        <f ca="1">IF(ISNUMBER($C14),$C14,NA())</f>
        <v>#N/A</v>
      </c>
    </row>
    <row r="68" spans="1:20" x14ac:dyDescent="0.25">
      <c r="A68" s="6" t="e">
        <f ca="1">IF(ISNUMBER(B14),B14*$A$39+A67,NA())</f>
        <v>#N/A</v>
      </c>
      <c r="N68" s="38" t="e">
        <f ca="1">IF(ISNUMBER($C14),$C14,NA())</f>
        <v>#N/A</v>
      </c>
    </row>
    <row r="69" spans="1:20" x14ac:dyDescent="0.25">
      <c r="A69" s="20" t="e">
        <f t="shared" ca="1" si="1"/>
        <v>#N/A</v>
      </c>
      <c r="O69" s="38" t="e">
        <f ca="1">IF(ISNUMBER($C15),$C15,NA())</f>
        <v>#N/A</v>
      </c>
    </row>
    <row r="70" spans="1:20" x14ac:dyDescent="0.25">
      <c r="A70" s="6" t="e">
        <f ca="1">IF(ISNUMBER(B15),B15*$A$39+A69,NA())</f>
        <v>#N/A</v>
      </c>
      <c r="O70" s="38" t="e">
        <f ca="1">IF(ISNUMBER($C15),$C15,NA())</f>
        <v>#N/A</v>
      </c>
    </row>
    <row r="71" spans="1:20" x14ac:dyDescent="0.25">
      <c r="A71" s="20" t="e">
        <f t="shared" ca="1" si="1"/>
        <v>#N/A</v>
      </c>
      <c r="P71" s="38" t="e">
        <f ca="1">IF(ISNUMBER($C16),$C16,NA())</f>
        <v>#N/A</v>
      </c>
    </row>
    <row r="72" spans="1:20" x14ac:dyDescent="0.25">
      <c r="A72" s="6" t="e">
        <f ca="1">IF(ISNUMBER(B16),B16*$A$39+A71,NA())</f>
        <v>#N/A</v>
      </c>
      <c r="P72" s="38" t="e">
        <f ca="1">IF(ISNUMBER($C16),$C16,NA())</f>
        <v>#N/A</v>
      </c>
    </row>
    <row r="73" spans="1:20" x14ac:dyDescent="0.25">
      <c r="A73" s="20" t="e">
        <f t="shared" ca="1" si="1"/>
        <v>#N/A</v>
      </c>
      <c r="Q73" s="38" t="e">
        <f ca="1">IF(ISNUMBER($C17),$C17,NA())</f>
        <v>#N/A</v>
      </c>
    </row>
    <row r="74" spans="1:20" x14ac:dyDescent="0.25">
      <c r="A74" s="6" t="e">
        <f ca="1">IF(ISNUMBER(B17),B17*$A$39+A73,NA())</f>
        <v>#N/A</v>
      </c>
      <c r="Q74" s="38" t="e">
        <f ca="1">IF(ISNUMBER($C17),$C17,NA())</f>
        <v>#N/A</v>
      </c>
    </row>
    <row r="75" spans="1:20" x14ac:dyDescent="0.25">
      <c r="A75" s="20" t="e">
        <f t="shared" ca="1" si="1"/>
        <v>#N/A</v>
      </c>
      <c r="R75" s="39" t="e">
        <f ca="1">IF(ISNUMBER($C18),$C18,NA())</f>
        <v>#N/A</v>
      </c>
    </row>
    <row r="76" spans="1:20" x14ac:dyDescent="0.25">
      <c r="A76" s="6" t="e">
        <f ca="1">IF(ISNUMBER(B18),B18*$A$39+A75,NA())</f>
        <v>#N/A</v>
      </c>
      <c r="R76" s="39" t="e">
        <f ca="1">IF(ISNUMBER($C18),$C18,NA())</f>
        <v>#N/A</v>
      </c>
    </row>
    <row r="77" spans="1:20" x14ac:dyDescent="0.25">
      <c r="A77" s="20" t="e">
        <f t="shared" ca="1" si="1"/>
        <v>#N/A</v>
      </c>
      <c r="S77" s="39" t="e">
        <f ca="1">IF(ISNUMBER($C19),$C19,NA())</f>
        <v>#N/A</v>
      </c>
    </row>
    <row r="78" spans="1:20" x14ac:dyDescent="0.25">
      <c r="A78" s="6" t="e">
        <f ca="1">IF(ISNUMBER(B19),B19*$A$39+A77,NA())</f>
        <v>#N/A</v>
      </c>
      <c r="S78" s="39" t="e">
        <f ca="1">IF(ISNUMBER($C19),$C19,NA())</f>
        <v>#N/A</v>
      </c>
    </row>
    <row r="79" spans="1:20" x14ac:dyDescent="0.25">
      <c r="A79" s="20" t="e">
        <f t="shared" ca="1" si="1"/>
        <v>#N/A</v>
      </c>
      <c r="T79" s="39" t="e">
        <f ca="1">IF(ISNUMBER($C20),$C20,NA())</f>
        <v>#N/A</v>
      </c>
    </row>
    <row r="80" spans="1:20" x14ac:dyDescent="0.25">
      <c r="A80" s="6" t="e">
        <f ca="1">IF(ISNUMBER(B20),B20*$A$39+A79,NA())</f>
        <v>#N/A</v>
      </c>
      <c r="T80" s="39" t="e">
        <f ca="1">IF(ISNUMBER($C20),$C20,NA())</f>
        <v>#N/A</v>
      </c>
    </row>
    <row r="81" spans="1:26" x14ac:dyDescent="0.25">
      <c r="A81" s="20" t="e">
        <f t="shared" ca="1" si="1"/>
        <v>#N/A</v>
      </c>
      <c r="U81" s="39" t="e">
        <f ca="1">IF(ISNUMBER($C21),$C21,NA())</f>
        <v>#N/A</v>
      </c>
    </row>
    <row r="82" spans="1:26" x14ac:dyDescent="0.25">
      <c r="A82" s="6" t="e">
        <f ca="1">IF(ISNUMBER(B21),B21*$A$39+A81,NA())</f>
        <v>#N/A</v>
      </c>
      <c r="U82" s="39" t="e">
        <f ca="1">IF(ISNUMBER($C21),$C21,NA())</f>
        <v>#N/A</v>
      </c>
    </row>
    <row r="83" spans="1:26" x14ac:dyDescent="0.25">
      <c r="A83" s="20" t="e">
        <f t="shared" ca="1" si="1"/>
        <v>#N/A</v>
      </c>
      <c r="V83" s="38" t="e">
        <f ca="1">IF(ISNUMBER($C22),$C22,NA())</f>
        <v>#N/A</v>
      </c>
    </row>
    <row r="84" spans="1:26" x14ac:dyDescent="0.25">
      <c r="A84" s="6" t="e">
        <f ca="1">IF(ISNUMBER(B22),B22*$A$39+A83,NA())</f>
        <v>#N/A</v>
      </c>
      <c r="V84" s="38" t="e">
        <f ca="1">IF(ISNUMBER($C22),$C22,NA())</f>
        <v>#N/A</v>
      </c>
    </row>
    <row r="85" spans="1:26" x14ac:dyDescent="0.25">
      <c r="A85" s="20" t="e">
        <f t="shared" ca="1" si="1"/>
        <v>#N/A</v>
      </c>
      <c r="W85" s="38" t="e">
        <f ca="1">IF(ISNUMBER($C23),$C23,NA())</f>
        <v>#N/A</v>
      </c>
    </row>
    <row r="86" spans="1:26" x14ac:dyDescent="0.25">
      <c r="A86" s="6" t="e">
        <f ca="1">IF(ISNUMBER(B23),B23*$A$39+A85,NA())</f>
        <v>#N/A</v>
      </c>
      <c r="W86" s="38" t="e">
        <f ca="1">IF(ISNUMBER($C23),$C23,NA())</f>
        <v>#N/A</v>
      </c>
    </row>
    <row r="87" spans="1:26" x14ac:dyDescent="0.25">
      <c r="A87" s="20" t="e">
        <f t="shared" ca="1" si="1"/>
        <v>#N/A</v>
      </c>
      <c r="X87" s="38" t="e">
        <f ca="1">IF(ISNUMBER($C24),$C24,NA())</f>
        <v>#N/A</v>
      </c>
    </row>
    <row r="88" spans="1:26" x14ac:dyDescent="0.25">
      <c r="A88" s="6" t="e">
        <f ca="1">IF(ISNUMBER(B24),B24*$A$39+A87,NA())</f>
        <v>#N/A</v>
      </c>
      <c r="X88" s="38" t="e">
        <f ca="1">IF(ISNUMBER($C24),$C24,NA())</f>
        <v>#N/A</v>
      </c>
    </row>
    <row r="89" spans="1:26" x14ac:dyDescent="0.25">
      <c r="A89" s="20" t="e">
        <f t="shared" ca="1" si="1"/>
        <v>#N/A</v>
      </c>
      <c r="Y89" s="38" t="e">
        <f ca="1">IF(ISNUMBER($C25),$C25,NA())</f>
        <v>#N/A</v>
      </c>
    </row>
    <row r="90" spans="1:26" x14ac:dyDescent="0.25">
      <c r="A90" s="6" t="e">
        <f ca="1">IF(ISNUMBER(B25),B25*$A$39+A89,NA())</f>
        <v>#N/A</v>
      </c>
      <c r="Y90" s="38" t="e">
        <f ca="1">IF(ISNUMBER($C25),$C25,NA())</f>
        <v>#N/A</v>
      </c>
    </row>
    <row r="91" spans="1:26" x14ac:dyDescent="0.25">
      <c r="A91" s="20" t="e">
        <f t="shared" ca="1" si="1"/>
        <v>#N/A</v>
      </c>
      <c r="Z91" s="38" t="e">
        <f ca="1">IF(ISNUMBER($C26),$C26,NA())</f>
        <v>#N/A</v>
      </c>
    </row>
    <row r="92" spans="1:26" x14ac:dyDescent="0.25">
      <c r="A92" s="6" t="e">
        <f ca="1">IF(ISNUMBER(B26),B26*$A$39+A91,NA())</f>
        <v>#N/A</v>
      </c>
      <c r="Z92" s="38" t="e">
        <f ca="1">IF(ISNUMBER($C26),$C26,NA())</f>
        <v>#N/A</v>
      </c>
    </row>
    <row r="93" spans="1:26" x14ac:dyDescent="0.25">
      <c r="A93" s="20" t="e">
        <f t="shared" ca="1" si="1"/>
        <v>#N/A</v>
      </c>
    </row>
    <row r="94" spans="1:26" s="9" customFormat="1" x14ac:dyDescent="0.25"/>
    <row r="96" spans="1:26" x14ac:dyDescent="0.25">
      <c r="C96" s="37" t="str">
        <f ca="1">IF(ISNUMBER($B23),$A23,"")</f>
        <v/>
      </c>
    </row>
    <row r="97" spans="3:3" x14ac:dyDescent="0.25">
      <c r="C97" s="37" t="str">
        <f ca="1">IF(ISNUMBER($B24),$A24,"")</f>
        <v/>
      </c>
    </row>
    <row r="98" spans="3:3" x14ac:dyDescent="0.25">
      <c r="C98" s="37" t="str">
        <f ca="1">IF(ISNUMBER($B25),$A25,"")</f>
        <v/>
      </c>
    </row>
    <row r="99" spans="3:3" x14ac:dyDescent="0.25">
      <c r="C99" s="37" t="str">
        <f ca="1">IF(ISNUMBER($B26),$A26,"")</f>
        <v/>
      </c>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35"/>
  <sheetViews>
    <sheetView workbookViewId="0"/>
  </sheetViews>
  <sheetFormatPr defaultRowHeight="15" x14ac:dyDescent="0.25"/>
  <cols>
    <col min="1" max="16384" width="9.140625" style="53"/>
  </cols>
  <sheetData>
    <row r="1" spans="1:37" x14ac:dyDescent="0.25">
      <c r="A1" s="53" t="s">
        <v>0</v>
      </c>
      <c r="B1" s="53" t="s">
        <v>1</v>
      </c>
      <c r="C1" s="53" t="s">
        <v>2</v>
      </c>
      <c r="D1" s="53">
        <v>2017</v>
      </c>
      <c r="E1" s="53">
        <v>2018</v>
      </c>
      <c r="F1" s="53">
        <v>2019</v>
      </c>
      <c r="G1" s="53">
        <v>2020</v>
      </c>
      <c r="H1" s="53">
        <v>2021</v>
      </c>
      <c r="I1" s="53">
        <v>2022</v>
      </c>
      <c r="J1" s="53">
        <v>2023</v>
      </c>
      <c r="K1" s="53">
        <v>2024</v>
      </c>
      <c r="L1" s="53">
        <v>2025</v>
      </c>
      <c r="M1" s="53">
        <v>2026</v>
      </c>
      <c r="N1" s="53">
        <v>2027</v>
      </c>
      <c r="O1" s="53">
        <v>2028</v>
      </c>
      <c r="P1" s="53">
        <v>2029</v>
      </c>
      <c r="Q1" s="53">
        <v>2030</v>
      </c>
      <c r="R1" s="53">
        <v>2031</v>
      </c>
      <c r="S1" s="53">
        <v>2032</v>
      </c>
      <c r="T1" s="53">
        <v>2033</v>
      </c>
      <c r="U1" s="53">
        <v>2034</v>
      </c>
      <c r="V1" s="53">
        <v>2035</v>
      </c>
      <c r="W1" s="53">
        <v>2036</v>
      </c>
      <c r="X1" s="53">
        <v>2037</v>
      </c>
      <c r="Y1" s="53">
        <v>2038</v>
      </c>
      <c r="Z1" s="53">
        <v>2039</v>
      </c>
      <c r="AA1" s="53">
        <v>2040</v>
      </c>
      <c r="AB1" s="53">
        <v>2041</v>
      </c>
      <c r="AC1" s="53">
        <v>2042</v>
      </c>
      <c r="AD1" s="53">
        <v>2043</v>
      </c>
      <c r="AE1" s="53">
        <v>2044</v>
      </c>
      <c r="AF1" s="53">
        <v>2045</v>
      </c>
      <c r="AG1" s="53">
        <v>2046</v>
      </c>
      <c r="AH1" s="53">
        <v>2047</v>
      </c>
      <c r="AI1" s="53">
        <v>2048</v>
      </c>
      <c r="AJ1" s="53">
        <v>2049</v>
      </c>
      <c r="AK1" s="53">
        <v>2050</v>
      </c>
    </row>
    <row r="2" spans="1:37" x14ac:dyDescent="0.25">
      <c r="A2" s="53" t="s">
        <v>3</v>
      </c>
      <c r="B2" s="53" t="s">
        <v>1</v>
      </c>
      <c r="C2" s="53" t="s">
        <v>2</v>
      </c>
      <c r="D2" s="53">
        <v>37.436199999999999</v>
      </c>
      <c r="E2" s="53">
        <v>75.331699999999998</v>
      </c>
      <c r="F2" s="53">
        <v>113.185</v>
      </c>
      <c r="G2" s="53">
        <v>147.55500000000001</v>
      </c>
      <c r="H2" s="53">
        <v>181.511</v>
      </c>
      <c r="I2" s="53">
        <v>214.63499999999999</v>
      </c>
      <c r="J2" s="53">
        <v>247.17500000000001</v>
      </c>
      <c r="K2" s="53">
        <v>279.04199999999997</v>
      </c>
      <c r="L2" s="53">
        <v>305.125</v>
      </c>
      <c r="M2" s="53">
        <v>330.85599999999999</v>
      </c>
      <c r="N2" s="53">
        <v>356.10899999999998</v>
      </c>
      <c r="O2" s="53">
        <v>380.988</v>
      </c>
      <c r="P2" s="53">
        <v>405.49700000000001</v>
      </c>
      <c r="Q2" s="53">
        <v>428.80799999999999</v>
      </c>
      <c r="R2" s="53">
        <v>449.28699999999998</v>
      </c>
      <c r="S2" s="53">
        <v>468.91199999999998</v>
      </c>
      <c r="T2" s="53">
        <v>487.00099999999998</v>
      </c>
      <c r="U2" s="53">
        <v>504.13799999999998</v>
      </c>
      <c r="V2" s="53">
        <v>516.40800000000002</v>
      </c>
      <c r="W2" s="53">
        <v>527.99</v>
      </c>
      <c r="X2" s="53">
        <v>538.94000000000005</v>
      </c>
      <c r="Y2" s="53">
        <v>549.25400000000002</v>
      </c>
      <c r="Z2" s="53">
        <v>558.91899999999998</v>
      </c>
      <c r="AA2" s="53">
        <v>567.93600000000004</v>
      </c>
      <c r="AB2" s="53">
        <v>576.10799999999995</v>
      </c>
      <c r="AC2" s="53">
        <v>583.71199999999999</v>
      </c>
      <c r="AD2" s="53">
        <v>590.78300000000002</v>
      </c>
      <c r="AE2" s="53">
        <v>597.33699999999999</v>
      </c>
      <c r="AF2" s="53">
        <v>603.36699999999996</v>
      </c>
      <c r="AG2" s="53">
        <v>608.98500000000001</v>
      </c>
      <c r="AH2" s="53">
        <v>614.29100000000005</v>
      </c>
      <c r="AI2" s="53">
        <v>619.346</v>
      </c>
      <c r="AJ2" s="53">
        <v>624.04399999999998</v>
      </c>
      <c r="AK2" s="53">
        <v>628.80799999999999</v>
      </c>
    </row>
    <row r="3" spans="1:37" x14ac:dyDescent="0.25">
      <c r="A3" s="53" t="s">
        <v>67</v>
      </c>
      <c r="B3" s="53" t="s">
        <v>1</v>
      </c>
      <c r="C3" s="53" t="s">
        <v>2</v>
      </c>
      <c r="D3" s="53">
        <v>0</v>
      </c>
      <c r="E3" s="53">
        <v>0</v>
      </c>
      <c r="F3" s="53">
        <v>0</v>
      </c>
      <c r="G3" s="54">
        <v>91427100</v>
      </c>
      <c r="H3" s="54">
        <v>175313000</v>
      </c>
      <c r="I3" s="54">
        <v>248995000</v>
      </c>
      <c r="J3" s="54">
        <v>311626000</v>
      </c>
      <c r="K3" s="54">
        <v>362630000</v>
      </c>
      <c r="L3" s="54">
        <v>401837000</v>
      </c>
      <c r="M3" s="54">
        <v>422813000</v>
      </c>
      <c r="N3" s="54">
        <v>430485000</v>
      </c>
      <c r="O3" s="54">
        <v>423915000</v>
      </c>
      <c r="P3" s="54">
        <v>403406000</v>
      </c>
      <c r="Q3" s="54">
        <v>368406000</v>
      </c>
      <c r="R3" s="54">
        <v>318327000</v>
      </c>
      <c r="S3" s="54">
        <v>253520000</v>
      </c>
      <c r="T3" s="54">
        <v>176732000</v>
      </c>
      <c r="U3" s="54">
        <v>90744400</v>
      </c>
      <c r="V3" s="54">
        <v>68373900</v>
      </c>
      <c r="W3" s="54">
        <v>35317500</v>
      </c>
      <c r="X3" s="54">
        <v>-5083810</v>
      </c>
      <c r="Y3" s="54">
        <v>-52103700</v>
      </c>
      <c r="Z3" s="54">
        <v>-106999000</v>
      </c>
      <c r="AA3" s="54">
        <v>-167170000</v>
      </c>
      <c r="AB3" s="54">
        <v>-234721000</v>
      </c>
      <c r="AC3" s="54">
        <v>-307305000</v>
      </c>
      <c r="AD3" s="54">
        <v>-385023000</v>
      </c>
      <c r="AE3" s="54">
        <v>-469019000</v>
      </c>
      <c r="AF3" s="54">
        <v>-557139000</v>
      </c>
      <c r="AG3" s="54">
        <v>-649297000</v>
      </c>
      <c r="AH3" s="54">
        <v>-784845000</v>
      </c>
      <c r="AI3" s="54">
        <v>-920268000</v>
      </c>
      <c r="AJ3" s="54">
        <v>-1056900000</v>
      </c>
      <c r="AK3" s="54">
        <v>-1192520000</v>
      </c>
    </row>
    <row r="4" spans="1:37" x14ac:dyDescent="0.25">
      <c r="A4" s="53" t="s">
        <v>3</v>
      </c>
      <c r="B4" s="53" t="s">
        <v>72</v>
      </c>
      <c r="C4" s="53" t="s">
        <v>73</v>
      </c>
      <c r="D4" s="53">
        <v>37.436199999999999</v>
      </c>
      <c r="E4" s="53">
        <v>75.331699999999998</v>
      </c>
      <c r="F4" s="53">
        <v>113.185</v>
      </c>
      <c r="G4" s="53">
        <v>147.55500000000001</v>
      </c>
      <c r="H4" s="53">
        <v>181.511</v>
      </c>
      <c r="I4" s="53">
        <v>214.63499999999999</v>
      </c>
      <c r="J4" s="53">
        <v>247.17500000000001</v>
      </c>
      <c r="K4" s="53">
        <v>279.04199999999997</v>
      </c>
      <c r="L4" s="53">
        <v>305.125</v>
      </c>
      <c r="M4" s="53">
        <v>330.85599999999999</v>
      </c>
      <c r="N4" s="53">
        <v>356.10899999999998</v>
      </c>
      <c r="O4" s="53">
        <v>380.988</v>
      </c>
      <c r="P4" s="53">
        <v>405.49700000000001</v>
      </c>
      <c r="Q4" s="53">
        <v>428.80799999999999</v>
      </c>
      <c r="R4" s="53">
        <v>449.28699999999998</v>
      </c>
      <c r="S4" s="53">
        <v>468.91199999999998</v>
      </c>
      <c r="T4" s="53">
        <v>487.00099999999998</v>
      </c>
      <c r="U4" s="53">
        <v>504.13799999999998</v>
      </c>
      <c r="V4" s="53">
        <v>516.40800000000002</v>
      </c>
      <c r="W4" s="53">
        <v>527.99</v>
      </c>
      <c r="X4" s="53">
        <v>538.94000000000005</v>
      </c>
      <c r="Y4" s="53">
        <v>549.25400000000002</v>
      </c>
      <c r="Z4" s="53">
        <v>558.91899999999998</v>
      </c>
      <c r="AA4" s="53">
        <v>567.93600000000004</v>
      </c>
      <c r="AB4" s="53">
        <v>576.10799999999995</v>
      </c>
      <c r="AC4" s="53">
        <v>583.71199999999999</v>
      </c>
      <c r="AD4" s="53">
        <v>590.78300000000002</v>
      </c>
      <c r="AE4" s="53">
        <v>597.33699999999999</v>
      </c>
      <c r="AF4" s="53">
        <v>603.36699999999996</v>
      </c>
      <c r="AG4" s="53">
        <v>608.98500000000001</v>
      </c>
      <c r="AH4" s="53">
        <v>614.29100000000005</v>
      </c>
      <c r="AI4" s="53">
        <v>619.346</v>
      </c>
      <c r="AJ4" s="53">
        <v>624.04399999999998</v>
      </c>
      <c r="AK4" s="53">
        <v>628.80799999999999</v>
      </c>
    </row>
    <row r="5" spans="1:37" x14ac:dyDescent="0.25">
      <c r="A5" s="53" t="s">
        <v>67</v>
      </c>
      <c r="B5" s="53" t="s">
        <v>72</v>
      </c>
      <c r="C5" s="53" t="s">
        <v>73</v>
      </c>
      <c r="D5" s="53">
        <v>0</v>
      </c>
      <c r="E5" s="53">
        <v>0</v>
      </c>
      <c r="F5" s="53">
        <v>0</v>
      </c>
      <c r="G5" s="54">
        <v>89445400</v>
      </c>
      <c r="H5" s="54">
        <v>171395000</v>
      </c>
      <c r="I5" s="54">
        <v>243184000</v>
      </c>
      <c r="J5" s="54">
        <v>303967000</v>
      </c>
      <c r="K5" s="54">
        <v>353165000</v>
      </c>
      <c r="L5" s="54">
        <v>390619000</v>
      </c>
      <c r="M5" s="54">
        <v>409871000</v>
      </c>
      <c r="N5" s="54">
        <v>415869000</v>
      </c>
      <c r="O5" s="54">
        <v>407663000</v>
      </c>
      <c r="P5" s="54">
        <v>385557000</v>
      </c>
      <c r="Q5" s="54">
        <v>349007000</v>
      </c>
      <c r="R5" s="54">
        <v>297413000</v>
      </c>
      <c r="S5" s="54">
        <v>231144000</v>
      </c>
      <c r="T5" s="54">
        <v>152929000</v>
      </c>
      <c r="U5" s="54">
        <v>65538000</v>
      </c>
      <c r="V5" s="54">
        <v>41805300</v>
      </c>
      <c r="W5" s="54">
        <v>7410350</v>
      </c>
      <c r="X5" s="54">
        <v>-34282700</v>
      </c>
      <c r="Y5" s="54">
        <v>-82571800</v>
      </c>
      <c r="Z5" s="54">
        <v>-138700000</v>
      </c>
      <c r="AA5" s="54">
        <v>-200073000</v>
      </c>
      <c r="AB5" s="54">
        <v>-268787000</v>
      </c>
      <c r="AC5" s="54">
        <v>-342498000</v>
      </c>
      <c r="AD5" s="54">
        <v>-421311000</v>
      </c>
      <c r="AE5" s="54">
        <v>-506370000</v>
      </c>
      <c r="AF5" s="54">
        <v>-595516000</v>
      </c>
      <c r="AG5" s="54">
        <v>-688675000</v>
      </c>
      <c r="AH5" s="54">
        <v>-825208000</v>
      </c>
      <c r="AI5" s="54">
        <v>-961580000</v>
      </c>
      <c r="AJ5" s="54">
        <v>-1099130000</v>
      </c>
      <c r="AK5" s="54">
        <v>-1235640000</v>
      </c>
    </row>
    <row r="6" spans="1:37" x14ac:dyDescent="0.25">
      <c r="A6" s="53" t="s">
        <v>3</v>
      </c>
      <c r="B6" s="53" t="s">
        <v>74</v>
      </c>
      <c r="C6" s="53" t="s">
        <v>75</v>
      </c>
      <c r="D6" s="53">
        <v>37.436199999999999</v>
      </c>
      <c r="E6" s="53">
        <v>75.331699999999998</v>
      </c>
      <c r="F6" s="53">
        <v>113.185</v>
      </c>
      <c r="G6" s="53">
        <v>147.55500000000001</v>
      </c>
      <c r="H6" s="53">
        <v>181.511</v>
      </c>
      <c r="I6" s="53">
        <v>214.63499999999999</v>
      </c>
      <c r="J6" s="53">
        <v>247.17500000000001</v>
      </c>
      <c r="K6" s="53">
        <v>279.04199999999997</v>
      </c>
      <c r="L6" s="53">
        <v>305.125</v>
      </c>
      <c r="M6" s="53">
        <v>330.85599999999999</v>
      </c>
      <c r="N6" s="53">
        <v>356.10899999999998</v>
      </c>
      <c r="O6" s="53">
        <v>380.988</v>
      </c>
      <c r="P6" s="53">
        <v>405.49700000000001</v>
      </c>
      <c r="Q6" s="53">
        <v>428.80799999999999</v>
      </c>
      <c r="R6" s="53">
        <v>449.28699999999998</v>
      </c>
      <c r="S6" s="53">
        <v>468.91199999999998</v>
      </c>
      <c r="T6" s="53">
        <v>487.00099999999998</v>
      </c>
      <c r="U6" s="53">
        <v>504.13799999999998</v>
      </c>
      <c r="V6" s="53">
        <v>516.40800000000002</v>
      </c>
      <c r="W6" s="53">
        <v>527.99</v>
      </c>
      <c r="X6" s="53">
        <v>538.94000000000005</v>
      </c>
      <c r="Y6" s="53">
        <v>549.25400000000002</v>
      </c>
      <c r="Z6" s="53">
        <v>558.91899999999998</v>
      </c>
      <c r="AA6" s="53">
        <v>567.93600000000004</v>
      </c>
      <c r="AB6" s="53">
        <v>576.10799999999995</v>
      </c>
      <c r="AC6" s="53">
        <v>583.71199999999999</v>
      </c>
      <c r="AD6" s="53">
        <v>590.78300000000002</v>
      </c>
      <c r="AE6" s="53">
        <v>597.33699999999999</v>
      </c>
      <c r="AF6" s="53">
        <v>603.36699999999996</v>
      </c>
      <c r="AG6" s="53">
        <v>608.98500000000001</v>
      </c>
      <c r="AH6" s="53">
        <v>614.29100000000005</v>
      </c>
      <c r="AI6" s="53">
        <v>619.346</v>
      </c>
      <c r="AJ6" s="53">
        <v>624.04399999999998</v>
      </c>
      <c r="AK6" s="53">
        <v>628.80899999999997</v>
      </c>
    </row>
    <row r="7" spans="1:37" x14ac:dyDescent="0.25">
      <c r="A7" s="53" t="s">
        <v>67</v>
      </c>
      <c r="B7" s="53" t="s">
        <v>74</v>
      </c>
      <c r="C7" s="53" t="s">
        <v>75</v>
      </c>
      <c r="D7" s="53">
        <v>0</v>
      </c>
      <c r="E7" s="53">
        <v>0</v>
      </c>
      <c r="F7" s="53">
        <v>0</v>
      </c>
      <c r="G7" s="54">
        <v>91414300</v>
      </c>
      <c r="H7" s="54">
        <v>175300000</v>
      </c>
      <c r="I7" s="54">
        <v>248982000</v>
      </c>
      <c r="J7" s="54">
        <v>311613000</v>
      </c>
      <c r="K7" s="54">
        <v>362629000</v>
      </c>
      <c r="L7" s="54">
        <v>401836000</v>
      </c>
      <c r="M7" s="54">
        <v>422812000</v>
      </c>
      <c r="N7" s="54">
        <v>430483000</v>
      </c>
      <c r="O7" s="54">
        <v>423923000</v>
      </c>
      <c r="P7" s="54">
        <v>403414000</v>
      </c>
      <c r="Q7" s="54">
        <v>368414000</v>
      </c>
      <c r="R7" s="54">
        <v>318344000</v>
      </c>
      <c r="S7" s="54">
        <v>253547000</v>
      </c>
      <c r="T7" s="54">
        <v>176759000</v>
      </c>
      <c r="U7" s="54">
        <v>90745900</v>
      </c>
      <c r="V7" s="54">
        <v>68359000</v>
      </c>
      <c r="W7" s="54">
        <v>35302600</v>
      </c>
      <c r="X7" s="54">
        <v>-5090980</v>
      </c>
      <c r="Y7" s="54">
        <v>-52118400</v>
      </c>
      <c r="Z7" s="54">
        <v>-107007000</v>
      </c>
      <c r="AA7" s="54">
        <v>-167170000</v>
      </c>
      <c r="AB7" s="54">
        <v>-234715000</v>
      </c>
      <c r="AC7" s="54">
        <v>-307298000</v>
      </c>
      <c r="AD7" s="54">
        <v>-385010000</v>
      </c>
      <c r="AE7" s="54">
        <v>-469013000</v>
      </c>
      <c r="AF7" s="54">
        <v>-557120000</v>
      </c>
      <c r="AG7" s="54">
        <v>-649278000</v>
      </c>
      <c r="AH7" s="54">
        <v>-784826000</v>
      </c>
      <c r="AI7" s="54">
        <v>-920249000</v>
      </c>
      <c r="AJ7" s="54">
        <v>-1056880000</v>
      </c>
      <c r="AK7" s="54">
        <v>-1192500000</v>
      </c>
    </row>
    <row r="8" spans="1:37" x14ac:dyDescent="0.25">
      <c r="A8" s="53" t="s">
        <v>3</v>
      </c>
      <c r="B8" s="53" t="s">
        <v>76</v>
      </c>
      <c r="C8" s="53" t="s">
        <v>77</v>
      </c>
      <c r="D8" s="53">
        <v>37.436199999999999</v>
      </c>
      <c r="E8" s="53">
        <v>75.331699999999998</v>
      </c>
      <c r="F8" s="53">
        <v>113.185</v>
      </c>
      <c r="G8" s="53">
        <v>147.55600000000001</v>
      </c>
      <c r="H8" s="53">
        <v>181.53200000000001</v>
      </c>
      <c r="I8" s="53">
        <v>214.679</v>
      </c>
      <c r="J8" s="53">
        <v>247.24799999999999</v>
      </c>
      <c r="K8" s="53">
        <v>279.14999999999998</v>
      </c>
      <c r="L8" s="53">
        <v>305.40800000000002</v>
      </c>
      <c r="M8" s="53">
        <v>331.33100000000002</v>
      </c>
      <c r="N8" s="53">
        <v>356.79500000000002</v>
      </c>
      <c r="O8" s="53">
        <v>381.90800000000002</v>
      </c>
      <c r="P8" s="53">
        <v>406.673</v>
      </c>
      <c r="Q8" s="53">
        <v>430.25900000000001</v>
      </c>
      <c r="R8" s="53">
        <v>450.95400000000001</v>
      </c>
      <c r="S8" s="53">
        <v>470.79500000000002</v>
      </c>
      <c r="T8" s="53">
        <v>489.17399999999998</v>
      </c>
      <c r="U8" s="53">
        <v>506.61200000000002</v>
      </c>
      <c r="V8" s="53">
        <v>519.16899999999998</v>
      </c>
      <c r="W8" s="53">
        <v>531.03700000000003</v>
      </c>
      <c r="X8" s="53">
        <v>542.27099999999996</v>
      </c>
      <c r="Y8" s="53">
        <v>552.86500000000001</v>
      </c>
      <c r="Z8" s="53">
        <v>562.80799999999999</v>
      </c>
      <c r="AA8" s="53">
        <v>572.1</v>
      </c>
      <c r="AB8" s="53">
        <v>580.54300000000001</v>
      </c>
      <c r="AC8" s="53">
        <v>588.41300000000001</v>
      </c>
      <c r="AD8" s="53">
        <v>595.74300000000005</v>
      </c>
      <c r="AE8" s="53">
        <v>602.55100000000004</v>
      </c>
      <c r="AF8" s="53">
        <v>608.82799999999997</v>
      </c>
      <c r="AG8" s="53">
        <v>614.68499999999995</v>
      </c>
      <c r="AH8" s="53">
        <v>620.22199999999998</v>
      </c>
      <c r="AI8" s="53">
        <v>625.49699999999996</v>
      </c>
      <c r="AJ8" s="53">
        <v>630.40499999999997</v>
      </c>
      <c r="AK8" s="53">
        <v>635.37599999999998</v>
      </c>
    </row>
    <row r="9" spans="1:37" x14ac:dyDescent="0.25">
      <c r="A9" s="53" t="s">
        <v>67</v>
      </c>
      <c r="B9" s="53" t="s">
        <v>76</v>
      </c>
      <c r="C9" s="53" t="s">
        <v>77</v>
      </c>
      <c r="D9" s="53">
        <v>0</v>
      </c>
      <c r="E9" s="53">
        <v>0</v>
      </c>
      <c r="F9" s="53">
        <v>0</v>
      </c>
      <c r="G9" s="54">
        <v>89713900</v>
      </c>
      <c r="H9" s="54">
        <v>169367000</v>
      </c>
      <c r="I9" s="54">
        <v>236794000</v>
      </c>
      <c r="J9" s="54">
        <v>293412000</v>
      </c>
      <c r="K9" s="54">
        <v>338577000</v>
      </c>
      <c r="L9" s="54">
        <v>373736000</v>
      </c>
      <c r="M9" s="54">
        <v>389273000</v>
      </c>
      <c r="N9" s="54">
        <v>394127000</v>
      </c>
      <c r="O9" s="54">
        <v>387688000</v>
      </c>
      <c r="P9" s="54">
        <v>370041000</v>
      </c>
      <c r="Q9" s="54">
        <v>340273000</v>
      </c>
      <c r="R9" s="54">
        <v>297195000</v>
      </c>
      <c r="S9" s="54">
        <v>242728000</v>
      </c>
      <c r="T9" s="54">
        <v>177058000</v>
      </c>
      <c r="U9" s="54">
        <v>100723000</v>
      </c>
      <c r="V9" s="54">
        <v>88183400</v>
      </c>
      <c r="W9" s="54">
        <v>64424900</v>
      </c>
      <c r="X9" s="54">
        <v>33027400</v>
      </c>
      <c r="Y9" s="54">
        <v>-5476180</v>
      </c>
      <c r="Z9" s="54">
        <v>-52205700</v>
      </c>
      <c r="AA9" s="54">
        <v>-105042000</v>
      </c>
      <c r="AB9" s="54">
        <v>-165130000</v>
      </c>
      <c r="AC9" s="54">
        <v>-230241000</v>
      </c>
      <c r="AD9" s="54">
        <v>-300781000</v>
      </c>
      <c r="AE9" s="54">
        <v>-377576000</v>
      </c>
      <c r="AF9" s="54">
        <v>-458796000</v>
      </c>
      <c r="AG9" s="54">
        <v>-544349000</v>
      </c>
      <c r="AH9" s="54">
        <v>-673710000</v>
      </c>
      <c r="AI9" s="54">
        <v>-803281000</v>
      </c>
      <c r="AJ9" s="54">
        <v>-934282000</v>
      </c>
      <c r="AK9" s="54">
        <v>-1064800000</v>
      </c>
    </row>
    <row r="10" spans="1:37" x14ac:dyDescent="0.25">
      <c r="A10" s="53" t="s">
        <v>3</v>
      </c>
      <c r="B10" s="53" t="s">
        <v>4</v>
      </c>
      <c r="C10" s="53" t="s">
        <v>78</v>
      </c>
      <c r="D10" s="53">
        <v>37.436199999999999</v>
      </c>
      <c r="E10" s="53">
        <v>75.331699999999998</v>
      </c>
      <c r="F10" s="53">
        <v>113.185</v>
      </c>
      <c r="G10" s="53">
        <v>147.56</v>
      </c>
      <c r="H10" s="53">
        <v>181.53299999999999</v>
      </c>
      <c r="I10" s="53">
        <v>214.68600000000001</v>
      </c>
      <c r="J10" s="53">
        <v>247.27099999999999</v>
      </c>
      <c r="K10" s="53">
        <v>279.20299999999997</v>
      </c>
      <c r="L10" s="53">
        <v>305.36900000000003</v>
      </c>
      <c r="M10" s="53">
        <v>331.20400000000001</v>
      </c>
      <c r="N10" s="53">
        <v>356.57799999999997</v>
      </c>
      <c r="O10" s="53">
        <v>381.596</v>
      </c>
      <c r="P10" s="53">
        <v>406.26</v>
      </c>
      <c r="Q10" s="53">
        <v>429.74299999999999</v>
      </c>
      <c r="R10" s="53">
        <v>450.40800000000002</v>
      </c>
      <c r="S10" s="53">
        <v>470.23</v>
      </c>
      <c r="T10" s="53">
        <v>488.52600000000001</v>
      </c>
      <c r="U10" s="53">
        <v>505.87700000000001</v>
      </c>
      <c r="V10" s="53">
        <v>518.36</v>
      </c>
      <c r="W10" s="53">
        <v>530.15</v>
      </c>
      <c r="X10" s="53">
        <v>541.29899999999998</v>
      </c>
      <c r="Y10" s="53">
        <v>551.80100000000004</v>
      </c>
      <c r="Z10" s="53">
        <v>561.64099999999996</v>
      </c>
      <c r="AA10" s="53">
        <v>570.81799999999998</v>
      </c>
      <c r="AB10" s="53">
        <v>579.13800000000003</v>
      </c>
      <c r="AC10" s="53">
        <v>586.875</v>
      </c>
      <c r="AD10" s="53">
        <v>594.06799999999998</v>
      </c>
      <c r="AE10" s="53">
        <v>600.73299999999995</v>
      </c>
      <c r="AF10" s="53">
        <v>606.86800000000005</v>
      </c>
      <c r="AG10" s="53">
        <v>612.58399999999995</v>
      </c>
      <c r="AH10" s="53">
        <v>617.98599999999999</v>
      </c>
      <c r="AI10" s="53">
        <v>623.13499999999999</v>
      </c>
      <c r="AJ10" s="53">
        <v>627.92700000000002</v>
      </c>
      <c r="AK10" s="53">
        <v>632.78700000000003</v>
      </c>
    </row>
    <row r="11" spans="1:37" x14ac:dyDescent="0.25">
      <c r="A11" s="53" t="s">
        <v>67</v>
      </c>
      <c r="B11" s="53" t="s">
        <v>4</v>
      </c>
      <c r="C11" s="53" t="s">
        <v>78</v>
      </c>
      <c r="D11" s="53">
        <v>0</v>
      </c>
      <c r="E11" s="53">
        <v>0</v>
      </c>
      <c r="F11" s="53">
        <v>0</v>
      </c>
      <c r="G11" s="54">
        <v>91312000</v>
      </c>
      <c r="H11" s="54">
        <v>175409000</v>
      </c>
      <c r="I11" s="54">
        <v>249512000</v>
      </c>
      <c r="J11" s="54">
        <v>313197000</v>
      </c>
      <c r="K11" s="54">
        <v>366064000</v>
      </c>
      <c r="L11" s="54">
        <v>407852000</v>
      </c>
      <c r="M11" s="54">
        <v>432072000</v>
      </c>
      <c r="N11" s="54">
        <v>444151000</v>
      </c>
      <c r="O11" s="54">
        <v>442698000</v>
      </c>
      <c r="P11" s="54">
        <v>427912000</v>
      </c>
      <c r="Q11" s="54">
        <v>399381000</v>
      </c>
      <c r="R11" s="54">
        <v>356137000</v>
      </c>
      <c r="S11" s="54">
        <v>298692000</v>
      </c>
      <c r="T11" s="54">
        <v>229844000</v>
      </c>
      <c r="U11" s="54">
        <v>151895000</v>
      </c>
      <c r="V11" s="54">
        <v>137558000</v>
      </c>
      <c r="W11" s="54">
        <v>112421000</v>
      </c>
      <c r="X11" s="54">
        <v>79809600</v>
      </c>
      <c r="Y11" s="54">
        <v>39924200</v>
      </c>
      <c r="Z11" s="54">
        <v>-8219810</v>
      </c>
      <c r="AA11" s="54">
        <v>-62196100</v>
      </c>
      <c r="AB11" s="54">
        <v>-124236000</v>
      </c>
      <c r="AC11" s="54">
        <v>-191995000</v>
      </c>
      <c r="AD11" s="54">
        <v>-265438000</v>
      </c>
      <c r="AE11" s="54">
        <v>-345648000</v>
      </c>
      <c r="AF11" s="54">
        <v>-430403000</v>
      </c>
      <c r="AG11" s="54">
        <v>-519508000</v>
      </c>
      <c r="AH11" s="54">
        <v>-652235000</v>
      </c>
      <c r="AI11" s="54">
        <v>-785009000</v>
      </c>
      <c r="AJ11" s="54">
        <v>-919092000</v>
      </c>
      <c r="AK11" s="54">
        <v>-1052220000</v>
      </c>
    </row>
    <row r="12" spans="1:37" x14ac:dyDescent="0.25">
      <c r="A12" s="53" t="s">
        <v>3</v>
      </c>
      <c r="B12" s="53" t="s">
        <v>5</v>
      </c>
      <c r="C12" s="53" t="s">
        <v>66</v>
      </c>
      <c r="D12" s="53">
        <v>37.436199999999999</v>
      </c>
      <c r="E12" s="53">
        <v>75.331699999999998</v>
      </c>
      <c r="F12" s="53">
        <v>113.185</v>
      </c>
      <c r="G12" s="53">
        <v>147.56200000000001</v>
      </c>
      <c r="H12" s="53">
        <v>181.53200000000001</v>
      </c>
      <c r="I12" s="53">
        <v>214.673</v>
      </c>
      <c r="J12" s="53">
        <v>247.233</v>
      </c>
      <c r="K12" s="53">
        <v>279.12200000000001</v>
      </c>
      <c r="L12" s="53">
        <v>305.22699999999998</v>
      </c>
      <c r="M12" s="53">
        <v>330.98</v>
      </c>
      <c r="N12" s="53">
        <v>356.25299999999999</v>
      </c>
      <c r="O12" s="53">
        <v>381.15199999999999</v>
      </c>
      <c r="P12" s="53">
        <v>405.67700000000002</v>
      </c>
      <c r="Q12" s="53">
        <v>429.00299999999999</v>
      </c>
      <c r="R12" s="53">
        <v>449.48899999999998</v>
      </c>
      <c r="S12" s="53">
        <v>469.12</v>
      </c>
      <c r="T12" s="53">
        <v>487.21499999999997</v>
      </c>
      <c r="U12" s="53">
        <v>504.35700000000003</v>
      </c>
      <c r="V12" s="53">
        <v>516.62400000000002</v>
      </c>
      <c r="W12" s="53">
        <v>528.20399999999995</v>
      </c>
      <c r="X12" s="53">
        <v>539.15300000000002</v>
      </c>
      <c r="Y12" s="53">
        <v>549.46699999999998</v>
      </c>
      <c r="Z12" s="53">
        <v>559.13400000000001</v>
      </c>
      <c r="AA12" s="53">
        <v>568.154</v>
      </c>
      <c r="AB12" s="53">
        <v>576.33100000000002</v>
      </c>
      <c r="AC12" s="53">
        <v>583.94000000000005</v>
      </c>
      <c r="AD12" s="53">
        <v>591.01900000000001</v>
      </c>
      <c r="AE12" s="53">
        <v>597.58299999999997</v>
      </c>
      <c r="AF12" s="53">
        <v>603.62599999999998</v>
      </c>
      <c r="AG12" s="53">
        <v>609.26099999999997</v>
      </c>
      <c r="AH12" s="53">
        <v>614.58799999999997</v>
      </c>
      <c r="AI12" s="53">
        <v>619.66899999999998</v>
      </c>
      <c r="AJ12" s="53">
        <v>624.39700000000005</v>
      </c>
      <c r="AK12" s="53">
        <v>629.16099999999994</v>
      </c>
    </row>
    <row r="13" spans="1:37" x14ac:dyDescent="0.25">
      <c r="A13" s="53" t="s">
        <v>67</v>
      </c>
      <c r="B13" s="53" t="s">
        <v>5</v>
      </c>
      <c r="C13" s="53" t="s">
        <v>66</v>
      </c>
      <c r="D13" s="53">
        <v>0</v>
      </c>
      <c r="E13" s="53">
        <v>0</v>
      </c>
      <c r="F13" s="53">
        <v>0</v>
      </c>
      <c r="G13" s="54">
        <v>92628900</v>
      </c>
      <c r="H13" s="54">
        <v>178886000</v>
      </c>
      <c r="I13" s="54">
        <v>255520000</v>
      </c>
      <c r="J13" s="54">
        <v>322644000</v>
      </c>
      <c r="K13" s="54">
        <v>378772000</v>
      </c>
      <c r="L13" s="54">
        <v>423768000</v>
      </c>
      <c r="M13" s="54">
        <v>450912000</v>
      </c>
      <c r="N13" s="54">
        <v>465632000</v>
      </c>
      <c r="O13" s="54">
        <v>466702000</v>
      </c>
      <c r="P13" s="54">
        <v>454414000</v>
      </c>
      <c r="Q13" s="54">
        <v>428376000</v>
      </c>
      <c r="R13" s="54">
        <v>387662000</v>
      </c>
      <c r="S13" s="54">
        <v>332764000</v>
      </c>
      <c r="T13" s="54">
        <v>266702000</v>
      </c>
      <c r="U13" s="54">
        <v>191864000</v>
      </c>
      <c r="V13" s="54">
        <v>181491000</v>
      </c>
      <c r="W13" s="54">
        <v>160943000</v>
      </c>
      <c r="X13" s="54">
        <v>133661000</v>
      </c>
      <c r="Y13" s="54">
        <v>100459000</v>
      </c>
      <c r="Z13" s="54">
        <v>60146100</v>
      </c>
      <c r="AA13" s="54">
        <v>15075000</v>
      </c>
      <c r="AB13" s="54">
        <v>-36944400</v>
      </c>
      <c r="AC13" s="54">
        <v>-93667400</v>
      </c>
      <c r="AD13" s="54">
        <v>-155288000</v>
      </c>
      <c r="AE13" s="54">
        <v>-222824000</v>
      </c>
      <c r="AF13" s="54">
        <v>-294146000</v>
      </c>
      <c r="AG13" s="54">
        <v>-369354000</v>
      </c>
      <c r="AH13" s="54">
        <v>-487709000</v>
      </c>
      <c r="AI13" s="54">
        <v>-605697000</v>
      </c>
      <c r="AJ13" s="54">
        <v>-724675000</v>
      </c>
      <c r="AK13" s="54">
        <v>-842816000</v>
      </c>
    </row>
    <row r="14" spans="1:37" x14ac:dyDescent="0.25">
      <c r="A14" s="53" t="s">
        <v>3</v>
      </c>
      <c r="B14" s="53" t="s">
        <v>69</v>
      </c>
      <c r="C14" s="53" t="s">
        <v>79</v>
      </c>
      <c r="D14" s="53">
        <v>37.436199999999999</v>
      </c>
      <c r="E14" s="53">
        <v>75.331699999999998</v>
      </c>
      <c r="F14" s="53">
        <v>113.185</v>
      </c>
      <c r="G14" s="53">
        <v>147.55500000000001</v>
      </c>
      <c r="H14" s="53">
        <v>181.51400000000001</v>
      </c>
      <c r="I14" s="53">
        <v>214.64</v>
      </c>
      <c r="J14" s="53">
        <v>247.184</v>
      </c>
      <c r="K14" s="53">
        <v>279.05900000000003</v>
      </c>
      <c r="L14" s="53">
        <v>305.279</v>
      </c>
      <c r="M14" s="53">
        <v>331.154</v>
      </c>
      <c r="N14" s="53">
        <v>356.56</v>
      </c>
      <c r="O14" s="53">
        <v>381.60300000000001</v>
      </c>
      <c r="P14" s="53">
        <v>406.28800000000001</v>
      </c>
      <c r="Q14" s="53">
        <v>429.78800000000001</v>
      </c>
      <c r="R14" s="53">
        <v>450.375</v>
      </c>
      <c r="S14" s="53">
        <v>470.12</v>
      </c>
      <c r="T14" s="53">
        <v>488.392</v>
      </c>
      <c r="U14" s="53">
        <v>505.71800000000002</v>
      </c>
      <c r="V14" s="53">
        <v>518.20600000000002</v>
      </c>
      <c r="W14" s="53">
        <v>530.024</v>
      </c>
      <c r="X14" s="53">
        <v>541.22500000000002</v>
      </c>
      <c r="Y14" s="53">
        <v>551.80499999999995</v>
      </c>
      <c r="Z14" s="53">
        <v>561.75199999999995</v>
      </c>
      <c r="AA14" s="53">
        <v>571.06299999999999</v>
      </c>
      <c r="AB14" s="53">
        <v>579.54600000000005</v>
      </c>
      <c r="AC14" s="53">
        <v>587.47199999999998</v>
      </c>
      <c r="AD14" s="53">
        <v>594.87699999999995</v>
      </c>
      <c r="AE14" s="53">
        <v>601.77700000000004</v>
      </c>
      <c r="AF14" s="53">
        <v>608.16200000000003</v>
      </c>
      <c r="AG14" s="53">
        <v>614.14800000000002</v>
      </c>
      <c r="AH14" s="53">
        <v>619.83000000000004</v>
      </c>
      <c r="AI14" s="53">
        <v>625.26700000000005</v>
      </c>
      <c r="AJ14" s="53">
        <v>630.35900000000004</v>
      </c>
      <c r="AK14" s="53">
        <v>635.48900000000003</v>
      </c>
    </row>
    <row r="15" spans="1:37" x14ac:dyDescent="0.25">
      <c r="A15" s="53" t="s">
        <v>67</v>
      </c>
      <c r="B15" s="53" t="s">
        <v>69</v>
      </c>
      <c r="C15" s="53" t="s">
        <v>79</v>
      </c>
      <c r="D15" s="53">
        <v>0</v>
      </c>
      <c r="E15" s="53">
        <v>0</v>
      </c>
      <c r="F15" s="53">
        <v>0</v>
      </c>
      <c r="G15" s="54">
        <v>91542100</v>
      </c>
      <c r="H15" s="54">
        <v>175763000</v>
      </c>
      <c r="I15" s="54">
        <v>250096000</v>
      </c>
      <c r="J15" s="54">
        <v>313769000</v>
      </c>
      <c r="K15" s="54">
        <v>366295000</v>
      </c>
      <c r="L15" s="54">
        <v>407663000</v>
      </c>
      <c r="M15" s="54">
        <v>428917000</v>
      </c>
      <c r="N15" s="54">
        <v>438055000</v>
      </c>
      <c r="O15" s="54">
        <v>434079000</v>
      </c>
      <c r="P15" s="54">
        <v>417244000</v>
      </c>
      <c r="Q15" s="54">
        <v>386906000</v>
      </c>
      <c r="R15" s="54">
        <v>342415000</v>
      </c>
      <c r="S15" s="54">
        <v>286100000</v>
      </c>
      <c r="T15" s="54">
        <v>218375000</v>
      </c>
      <c r="U15" s="54">
        <v>140172000</v>
      </c>
      <c r="V15" s="54">
        <v>126558000</v>
      </c>
      <c r="W15" s="54">
        <v>103445000</v>
      </c>
      <c r="X15" s="54">
        <v>73571300</v>
      </c>
      <c r="Y15" s="54">
        <v>37568500</v>
      </c>
      <c r="Z15" s="54">
        <v>-5734060</v>
      </c>
      <c r="AA15" s="54">
        <v>-53934000</v>
      </c>
      <c r="AB15" s="54">
        <v>-109067000</v>
      </c>
      <c r="AC15" s="54">
        <v>-168932000</v>
      </c>
      <c r="AD15" s="54">
        <v>-233662000</v>
      </c>
      <c r="AE15" s="54">
        <v>-304394000</v>
      </c>
      <c r="AF15" s="54">
        <v>-379068000</v>
      </c>
      <c r="AG15" s="54">
        <v>-457554000</v>
      </c>
      <c r="AH15" s="54">
        <v>-579335000</v>
      </c>
      <c r="AI15" s="54">
        <v>-700943000</v>
      </c>
      <c r="AJ15" s="54">
        <v>-823600000</v>
      </c>
      <c r="AK15" s="54">
        <v>-945470000</v>
      </c>
    </row>
    <row r="16" spans="1:37" x14ac:dyDescent="0.25">
      <c r="A16" s="53" t="s">
        <v>3</v>
      </c>
      <c r="B16" s="53" t="s">
        <v>6</v>
      </c>
      <c r="C16" s="53" t="s">
        <v>80</v>
      </c>
      <c r="D16" s="53">
        <v>37.436199999999999</v>
      </c>
      <c r="E16" s="53">
        <v>75.331699999999998</v>
      </c>
      <c r="F16" s="53">
        <v>113.185</v>
      </c>
      <c r="G16" s="53">
        <v>147.566</v>
      </c>
      <c r="H16" s="53">
        <v>181.559</v>
      </c>
      <c r="I16" s="53">
        <v>214.756</v>
      </c>
      <c r="J16" s="53">
        <v>247.422</v>
      </c>
      <c r="K16" s="53">
        <v>279.47899999999998</v>
      </c>
      <c r="L16" s="53">
        <v>305.77199999999999</v>
      </c>
      <c r="M16" s="53">
        <v>331.79399999999998</v>
      </c>
      <c r="N16" s="53">
        <v>357.42899999999997</v>
      </c>
      <c r="O16" s="53">
        <v>382.79599999999999</v>
      </c>
      <c r="P16" s="53">
        <v>407.91199999999998</v>
      </c>
      <c r="Q16" s="53">
        <v>431.95299999999997</v>
      </c>
      <c r="R16" s="53">
        <v>453.15800000000002</v>
      </c>
      <c r="S16" s="53">
        <v>473.666</v>
      </c>
      <c r="T16" s="53">
        <v>492.80599999999998</v>
      </c>
      <c r="U16" s="53">
        <v>511.16199999999998</v>
      </c>
      <c r="V16" s="53">
        <v>524.86099999999999</v>
      </c>
      <c r="W16" s="53">
        <v>538.05399999999997</v>
      </c>
      <c r="X16" s="53">
        <v>550.80899999999997</v>
      </c>
      <c r="Y16" s="53">
        <v>563.11699999999996</v>
      </c>
      <c r="Z16" s="53">
        <v>574.97699999999998</v>
      </c>
      <c r="AA16" s="53">
        <v>586.38099999999997</v>
      </c>
      <c r="AB16" s="53">
        <v>597.14</v>
      </c>
      <c r="AC16" s="53">
        <v>607.529</v>
      </c>
      <c r="AD16" s="53">
        <v>617.59500000000003</v>
      </c>
      <c r="AE16" s="53">
        <v>627.351</v>
      </c>
      <c r="AF16" s="53">
        <v>636.78899999999999</v>
      </c>
      <c r="AG16" s="53">
        <v>646.07500000000005</v>
      </c>
      <c r="AH16" s="53">
        <v>655.27300000000002</v>
      </c>
      <c r="AI16" s="53">
        <v>664.447</v>
      </c>
      <c r="AJ16" s="53">
        <v>673.49199999999996</v>
      </c>
      <c r="AK16" s="53">
        <v>682.84100000000001</v>
      </c>
    </row>
    <row r="17" spans="1:37" x14ac:dyDescent="0.25">
      <c r="A17" s="53" t="s">
        <v>67</v>
      </c>
      <c r="B17" s="53" t="s">
        <v>6</v>
      </c>
      <c r="C17" s="53" t="s">
        <v>80</v>
      </c>
      <c r="D17" s="53">
        <v>0</v>
      </c>
      <c r="E17" s="53">
        <v>0</v>
      </c>
      <c r="F17" s="53">
        <v>0</v>
      </c>
      <c r="G17" s="54">
        <v>91465400</v>
      </c>
      <c r="H17" s="54">
        <v>175935000</v>
      </c>
      <c r="I17" s="54">
        <v>251195000</v>
      </c>
      <c r="J17" s="54">
        <v>316880000</v>
      </c>
      <c r="K17" s="54">
        <v>372871000</v>
      </c>
      <c r="L17" s="54">
        <v>419291000</v>
      </c>
      <c r="M17" s="54">
        <v>450439000</v>
      </c>
      <c r="N17" s="54">
        <v>471313000</v>
      </c>
      <c r="O17" s="54">
        <v>481355000</v>
      </c>
      <c r="P17" s="54">
        <v>481169000</v>
      </c>
      <c r="Q17" s="54">
        <v>470229000</v>
      </c>
      <c r="R17" s="54">
        <v>448459000</v>
      </c>
      <c r="S17" s="54">
        <v>419746000</v>
      </c>
      <c r="T17" s="54">
        <v>382675000</v>
      </c>
      <c r="U17" s="54">
        <v>340362000</v>
      </c>
      <c r="V17" s="54">
        <v>366220000</v>
      </c>
      <c r="W17" s="54">
        <v>385931000</v>
      </c>
      <c r="X17" s="54">
        <v>402353000</v>
      </c>
      <c r="Y17" s="54">
        <v>416149000</v>
      </c>
      <c r="Z17" s="54">
        <v>425795000</v>
      </c>
      <c r="AA17" s="54">
        <v>433752000</v>
      </c>
      <c r="AB17" s="54">
        <v>437545000</v>
      </c>
      <c r="AC17" s="54">
        <v>439300000</v>
      </c>
      <c r="AD17" s="54">
        <v>438983000</v>
      </c>
      <c r="AE17" s="54">
        <v>435178000</v>
      </c>
      <c r="AF17" s="54">
        <v>429737000</v>
      </c>
      <c r="AG17" s="54">
        <v>423109000</v>
      </c>
      <c r="AH17" s="54">
        <v>376153000</v>
      </c>
      <c r="AI17" s="54">
        <v>331471000</v>
      </c>
      <c r="AJ17" s="54">
        <v>287515000</v>
      </c>
      <c r="AK17" s="54">
        <v>246350000</v>
      </c>
    </row>
    <row r="18" spans="1:37" x14ac:dyDescent="0.25">
      <c r="A18" s="53" t="s">
        <v>3</v>
      </c>
      <c r="B18" s="53" t="s">
        <v>81</v>
      </c>
      <c r="C18" s="53" t="s">
        <v>82</v>
      </c>
      <c r="D18" s="53">
        <v>37.436199999999999</v>
      </c>
      <c r="E18" s="53">
        <v>75.331699999999998</v>
      </c>
      <c r="F18" s="53">
        <v>113.185</v>
      </c>
      <c r="G18" s="53">
        <v>147.56700000000001</v>
      </c>
      <c r="H18" s="53">
        <v>181.55</v>
      </c>
      <c r="I18" s="53">
        <v>214.714</v>
      </c>
      <c r="J18" s="53">
        <v>247.309</v>
      </c>
      <c r="K18" s="53">
        <v>279.24400000000003</v>
      </c>
      <c r="L18" s="53">
        <v>305.39100000000002</v>
      </c>
      <c r="M18" s="53">
        <v>331.2</v>
      </c>
      <c r="N18" s="53">
        <v>356.54300000000001</v>
      </c>
      <c r="O18" s="53">
        <v>381.52300000000002</v>
      </c>
      <c r="P18" s="53">
        <v>406.14499999999998</v>
      </c>
      <c r="Q18" s="53">
        <v>429.584</v>
      </c>
      <c r="R18" s="53">
        <v>450.13799999999998</v>
      </c>
      <c r="S18" s="53">
        <v>469.85300000000001</v>
      </c>
      <c r="T18" s="53">
        <v>488.09399999999999</v>
      </c>
      <c r="U18" s="53">
        <v>505.38900000000001</v>
      </c>
      <c r="V18" s="53">
        <v>517.85500000000002</v>
      </c>
      <c r="W18" s="53">
        <v>529.63400000000001</v>
      </c>
      <c r="X18" s="53">
        <v>540.78099999999995</v>
      </c>
      <c r="Y18" s="53">
        <v>551.29300000000001</v>
      </c>
      <c r="Z18" s="53">
        <v>561.15499999999997</v>
      </c>
      <c r="AA18" s="53">
        <v>570.36800000000005</v>
      </c>
      <c r="AB18" s="53">
        <v>578.73699999999997</v>
      </c>
      <c r="AC18" s="53">
        <v>586.53599999999994</v>
      </c>
      <c r="AD18" s="53">
        <v>593.80200000000002</v>
      </c>
      <c r="AE18" s="53">
        <v>600.54999999999995</v>
      </c>
      <c r="AF18" s="53">
        <v>606.77300000000002</v>
      </c>
      <c r="AG18" s="53">
        <v>612.58199999999999</v>
      </c>
      <c r="AH18" s="53">
        <v>618.07899999999995</v>
      </c>
      <c r="AI18" s="53">
        <v>623.32299999999998</v>
      </c>
      <c r="AJ18" s="53">
        <v>628.20899999999995</v>
      </c>
      <c r="AK18" s="53">
        <v>633.15</v>
      </c>
    </row>
    <row r="19" spans="1:37" x14ac:dyDescent="0.25">
      <c r="A19" s="53" t="s">
        <v>67</v>
      </c>
      <c r="B19" s="53" t="s">
        <v>81</v>
      </c>
      <c r="C19" s="53" t="s">
        <v>82</v>
      </c>
      <c r="D19" s="53">
        <v>0</v>
      </c>
      <c r="E19" s="53">
        <v>0</v>
      </c>
      <c r="F19" s="53">
        <v>0</v>
      </c>
      <c r="G19" s="54">
        <v>91951300</v>
      </c>
      <c r="H19" s="54">
        <v>176892000</v>
      </c>
      <c r="I19" s="54">
        <v>252116000</v>
      </c>
      <c r="J19" s="54">
        <v>316772000</v>
      </c>
      <c r="K19" s="54">
        <v>370275000</v>
      </c>
      <c r="L19" s="54">
        <v>412416000</v>
      </c>
      <c r="M19" s="54">
        <v>436818000</v>
      </c>
      <c r="N19" s="54">
        <v>448336000</v>
      </c>
      <c r="O19" s="54">
        <v>445975000</v>
      </c>
      <c r="P19" s="54">
        <v>430091000</v>
      </c>
      <c r="Q19" s="54">
        <v>400066000</v>
      </c>
      <c r="R19" s="54">
        <v>355206000</v>
      </c>
      <c r="S19" s="54">
        <v>297896000</v>
      </c>
      <c r="T19" s="54">
        <v>228221000</v>
      </c>
      <c r="U19" s="54">
        <v>147567000</v>
      </c>
      <c r="V19" s="54">
        <v>131293000</v>
      </c>
      <c r="W19" s="54">
        <v>104834000</v>
      </c>
      <c r="X19" s="54">
        <v>70837500</v>
      </c>
      <c r="Y19" s="54">
        <v>30035900</v>
      </c>
      <c r="Z19" s="54">
        <v>-18830000</v>
      </c>
      <c r="AA19" s="54">
        <v>-73160200</v>
      </c>
      <c r="AB19" s="54">
        <v>-135056000</v>
      </c>
      <c r="AC19" s="54">
        <v>-202174000</v>
      </c>
      <c r="AD19" s="54">
        <v>-274587000</v>
      </c>
      <c r="AE19" s="54">
        <v>-353464000</v>
      </c>
      <c r="AF19" s="54">
        <v>-436644000</v>
      </c>
      <c r="AG19" s="54">
        <v>-524041000</v>
      </c>
      <c r="AH19" s="54">
        <v>-655001000</v>
      </c>
      <c r="AI19" s="54">
        <v>-786004000</v>
      </c>
      <c r="AJ19" s="54">
        <v>-918377000</v>
      </c>
      <c r="AK19" s="54">
        <v>-1049970000</v>
      </c>
    </row>
    <row r="20" spans="1:37" x14ac:dyDescent="0.25">
      <c r="A20" s="53" t="s">
        <v>3</v>
      </c>
      <c r="B20" s="53" t="s">
        <v>83</v>
      </c>
      <c r="C20" s="53" t="s">
        <v>84</v>
      </c>
      <c r="D20" s="53">
        <v>37.436199999999999</v>
      </c>
      <c r="E20" s="53">
        <v>75.331699999999998</v>
      </c>
      <c r="F20" s="53">
        <v>113.185</v>
      </c>
      <c r="G20" s="53">
        <v>147.60400000000001</v>
      </c>
      <c r="H20" s="53">
        <v>181.648</v>
      </c>
      <c r="I20" s="53">
        <v>214.92500000000001</v>
      </c>
      <c r="J20" s="53">
        <v>247.685</v>
      </c>
      <c r="K20" s="53">
        <v>279.83600000000001</v>
      </c>
      <c r="L20" s="53">
        <v>306.23</v>
      </c>
      <c r="M20" s="53">
        <v>332.33199999999999</v>
      </c>
      <c r="N20" s="53">
        <v>358.012</v>
      </c>
      <c r="O20" s="53">
        <v>383.37599999999998</v>
      </c>
      <c r="P20" s="53">
        <v>408.43</v>
      </c>
      <c r="Q20" s="53">
        <v>432.34300000000002</v>
      </c>
      <c r="R20" s="53">
        <v>453.41199999999998</v>
      </c>
      <c r="S20" s="53">
        <v>473.69400000000002</v>
      </c>
      <c r="T20" s="53">
        <v>492.49400000000003</v>
      </c>
      <c r="U20" s="53">
        <v>510.36599999999999</v>
      </c>
      <c r="V20" s="53">
        <v>523.42200000000003</v>
      </c>
      <c r="W20" s="53">
        <v>535.79399999999998</v>
      </c>
      <c r="X20" s="53">
        <v>547.53599999999994</v>
      </c>
      <c r="Y20" s="53">
        <v>558.64499999999998</v>
      </c>
      <c r="Z20" s="53">
        <v>569.10599999999999</v>
      </c>
      <c r="AA20" s="53">
        <v>578.91999999999996</v>
      </c>
      <c r="AB20" s="53">
        <v>587.89</v>
      </c>
      <c r="AC20" s="53">
        <v>596.29200000000003</v>
      </c>
      <c r="AD20" s="53">
        <v>604.16200000000003</v>
      </c>
      <c r="AE20" s="53">
        <v>611.51400000000001</v>
      </c>
      <c r="AF20" s="53">
        <v>618.34100000000001</v>
      </c>
      <c r="AG20" s="53">
        <v>624.755</v>
      </c>
      <c r="AH20" s="53">
        <v>630.85500000000002</v>
      </c>
      <c r="AI20" s="53">
        <v>636.70299999999997</v>
      </c>
      <c r="AJ20" s="53">
        <v>642.19200000000001</v>
      </c>
      <c r="AK20" s="53">
        <v>647.74199999999996</v>
      </c>
    </row>
    <row r="21" spans="1:37" x14ac:dyDescent="0.25">
      <c r="A21" s="53" t="s">
        <v>67</v>
      </c>
      <c r="B21" s="53" t="s">
        <v>83</v>
      </c>
      <c r="C21" s="53" t="s">
        <v>84</v>
      </c>
      <c r="D21" s="53">
        <v>0</v>
      </c>
      <c r="E21" s="53">
        <v>0</v>
      </c>
      <c r="F21" s="53">
        <v>0</v>
      </c>
      <c r="G21" s="54">
        <v>90161300</v>
      </c>
      <c r="H21" s="54">
        <v>175413000</v>
      </c>
      <c r="I21" s="54">
        <v>253385000</v>
      </c>
      <c r="J21" s="54">
        <v>322650000</v>
      </c>
      <c r="K21" s="54">
        <v>382606000</v>
      </c>
      <c r="L21" s="54">
        <v>433161000</v>
      </c>
      <c r="M21" s="54">
        <v>467414000</v>
      </c>
      <c r="N21" s="54">
        <v>490409000</v>
      </c>
      <c r="O21" s="54">
        <v>501148000</v>
      </c>
      <c r="P21" s="54">
        <v>499815000</v>
      </c>
      <c r="Q21" s="54">
        <v>485650000</v>
      </c>
      <c r="R21" s="54">
        <v>458282000</v>
      </c>
      <c r="S21" s="54">
        <v>419499000</v>
      </c>
      <c r="T21" s="54">
        <v>369587000</v>
      </c>
      <c r="U21" s="54">
        <v>310216000</v>
      </c>
      <c r="V21" s="54">
        <v>314730000</v>
      </c>
      <c r="W21" s="54">
        <v>308077000</v>
      </c>
      <c r="X21" s="54">
        <v>293194000</v>
      </c>
      <c r="Y21" s="54">
        <v>270852000</v>
      </c>
      <c r="Z21" s="54">
        <v>239835000</v>
      </c>
      <c r="AA21" s="54">
        <v>202763000</v>
      </c>
      <c r="AB21" s="54">
        <v>157548000</v>
      </c>
      <c r="AC21" s="54">
        <v>106543000</v>
      </c>
      <c r="AD21" s="54">
        <v>49710200</v>
      </c>
      <c r="AE21" s="54">
        <v>-14077700</v>
      </c>
      <c r="AF21" s="54">
        <v>-82706300</v>
      </c>
      <c r="AG21" s="54">
        <v>-156023000</v>
      </c>
      <c r="AH21" s="54">
        <v>-273401000</v>
      </c>
      <c r="AI21" s="54">
        <v>-391265000</v>
      </c>
      <c r="AJ21" s="54">
        <v>-510965000</v>
      </c>
      <c r="AK21" s="54">
        <v>-630286000</v>
      </c>
    </row>
    <row r="22" spans="1:37" x14ac:dyDescent="0.25">
      <c r="A22" s="53" t="s">
        <v>3</v>
      </c>
      <c r="B22" s="53" t="s">
        <v>70</v>
      </c>
      <c r="C22" s="53" t="s">
        <v>71</v>
      </c>
      <c r="D22" s="53">
        <v>37.436199999999999</v>
      </c>
      <c r="E22" s="53">
        <v>75.331699999999998</v>
      </c>
      <c r="F22" s="53">
        <v>113.185</v>
      </c>
      <c r="G22" s="53">
        <v>147.60400000000001</v>
      </c>
      <c r="H22" s="53">
        <v>181.648</v>
      </c>
      <c r="I22" s="53">
        <v>214.92500000000001</v>
      </c>
      <c r="J22" s="53">
        <v>247.685</v>
      </c>
      <c r="K22" s="53">
        <v>279.83499999999998</v>
      </c>
      <c r="L22" s="53">
        <v>306.214</v>
      </c>
      <c r="M22" s="53">
        <v>332.29700000000003</v>
      </c>
      <c r="N22" s="53">
        <v>357.95600000000002</v>
      </c>
      <c r="O22" s="53">
        <v>383.29399999999998</v>
      </c>
      <c r="P22" s="53">
        <v>408.31700000000001</v>
      </c>
      <c r="Q22" s="53">
        <v>432.19799999999998</v>
      </c>
      <c r="R22" s="53">
        <v>453.17399999999998</v>
      </c>
      <c r="S22" s="53">
        <v>473.34100000000001</v>
      </c>
      <c r="T22" s="53">
        <v>492.08</v>
      </c>
      <c r="U22" s="53">
        <v>509.911</v>
      </c>
      <c r="V22" s="53">
        <v>522.95399999999995</v>
      </c>
      <c r="W22" s="53">
        <v>535.35599999999999</v>
      </c>
      <c r="X22" s="53">
        <v>547.17200000000003</v>
      </c>
      <c r="Y22" s="53">
        <v>558.399</v>
      </c>
      <c r="Z22" s="53">
        <v>569.02300000000002</v>
      </c>
      <c r="AA22" s="53">
        <v>579.04300000000001</v>
      </c>
      <c r="AB22" s="53">
        <v>588.26499999999999</v>
      </c>
      <c r="AC22" s="53">
        <v>596.96299999999997</v>
      </c>
      <c r="AD22" s="53">
        <v>605.17700000000002</v>
      </c>
      <c r="AE22" s="53">
        <v>612.91899999999998</v>
      </c>
      <c r="AF22" s="53">
        <v>620.17899999999997</v>
      </c>
      <c r="AG22" s="53">
        <v>627.096</v>
      </c>
      <c r="AH22" s="53">
        <v>633.65499999999997</v>
      </c>
      <c r="AI22" s="53">
        <v>639.904</v>
      </c>
      <c r="AJ22" s="53">
        <v>645.73699999999997</v>
      </c>
      <c r="AK22" s="53">
        <v>651.56500000000005</v>
      </c>
    </row>
    <row r="23" spans="1:37" x14ac:dyDescent="0.25">
      <c r="A23" s="53" t="s">
        <v>67</v>
      </c>
      <c r="B23" s="53" t="s">
        <v>70</v>
      </c>
      <c r="C23" s="53" t="s">
        <v>71</v>
      </c>
      <c r="D23" s="53">
        <v>0</v>
      </c>
      <c r="E23" s="53">
        <v>0</v>
      </c>
      <c r="F23" s="53">
        <v>0</v>
      </c>
      <c r="G23" s="54">
        <v>3899490</v>
      </c>
      <c r="H23" s="54">
        <v>5264900</v>
      </c>
      <c r="I23" s="54">
        <v>1661570</v>
      </c>
      <c r="J23" s="54">
        <v>-8400680</v>
      </c>
      <c r="K23" s="54">
        <v>-25621700</v>
      </c>
      <c r="L23" s="54">
        <v>-50171400</v>
      </c>
      <c r="M23" s="54">
        <v>-88910900</v>
      </c>
      <c r="N23" s="54">
        <v>-136969000</v>
      </c>
      <c r="O23" s="54">
        <v>-195497000</v>
      </c>
      <c r="P23" s="54">
        <v>-264295000</v>
      </c>
      <c r="Q23" s="54">
        <v>-344141000</v>
      </c>
      <c r="R23" s="54">
        <v>-435700000</v>
      </c>
      <c r="S23" s="54">
        <v>-535363000</v>
      </c>
      <c r="T23" s="54">
        <v>-645217000</v>
      </c>
      <c r="U23" s="54">
        <v>-763611000</v>
      </c>
      <c r="V23" s="54">
        <v>-815401000</v>
      </c>
      <c r="W23" s="54">
        <v>-874878000</v>
      </c>
      <c r="X23" s="54">
        <v>-939459000</v>
      </c>
      <c r="Y23" s="54">
        <v>-1008520000</v>
      </c>
      <c r="Z23" s="54">
        <v>-1083410000</v>
      </c>
      <c r="AA23" s="54">
        <v>-1161650000</v>
      </c>
      <c r="AB23" s="54">
        <v>-1245400000</v>
      </c>
      <c r="AC23" s="54">
        <v>-1332430000</v>
      </c>
      <c r="AD23" s="54">
        <v>-1422820000</v>
      </c>
      <c r="AE23" s="54">
        <v>-1517880000</v>
      </c>
      <c r="AF23" s="54">
        <v>-1615610000</v>
      </c>
      <c r="AG23" s="54">
        <v>-1715730000</v>
      </c>
      <c r="AH23" s="54">
        <v>-1819300000</v>
      </c>
      <c r="AI23" s="54">
        <v>-1925240000</v>
      </c>
      <c r="AJ23" s="54">
        <v>-2034750000</v>
      </c>
      <c r="AK23" s="54">
        <v>-2145570000</v>
      </c>
    </row>
    <row r="24" spans="1:37" x14ac:dyDescent="0.25">
      <c r="A24" s="53" t="s">
        <v>3</v>
      </c>
      <c r="B24" s="53" t="s">
        <v>85</v>
      </c>
      <c r="C24" s="53" t="s">
        <v>86</v>
      </c>
      <c r="D24" s="53">
        <v>37.436199999999999</v>
      </c>
      <c r="E24" s="53">
        <v>75.331699999999998</v>
      </c>
      <c r="F24" s="53">
        <v>113.185</v>
      </c>
      <c r="G24" s="53">
        <v>147.55500000000001</v>
      </c>
      <c r="H24" s="53">
        <v>181.511</v>
      </c>
      <c r="I24" s="53">
        <v>214.63499999999999</v>
      </c>
      <c r="J24" s="53">
        <v>247.17500000000001</v>
      </c>
      <c r="K24" s="53">
        <v>279.04199999999997</v>
      </c>
      <c r="L24" s="53">
        <v>305.125</v>
      </c>
      <c r="M24" s="53">
        <v>330.85599999999999</v>
      </c>
      <c r="N24" s="53">
        <v>356.10899999999998</v>
      </c>
      <c r="O24" s="53">
        <v>380.988</v>
      </c>
      <c r="P24" s="53">
        <v>405.49700000000001</v>
      </c>
      <c r="Q24" s="53">
        <v>428.80799999999999</v>
      </c>
      <c r="R24" s="53">
        <v>449.28699999999998</v>
      </c>
      <c r="S24" s="53">
        <v>468.91199999999998</v>
      </c>
      <c r="T24" s="53">
        <v>487.00099999999998</v>
      </c>
      <c r="U24" s="53">
        <v>504.13799999999998</v>
      </c>
      <c r="V24" s="53">
        <v>516.40800000000002</v>
      </c>
      <c r="W24" s="53">
        <v>527.99</v>
      </c>
      <c r="X24" s="53">
        <v>538.94000000000005</v>
      </c>
      <c r="Y24" s="53">
        <v>549.25400000000002</v>
      </c>
      <c r="Z24" s="53">
        <v>558.91899999999998</v>
      </c>
      <c r="AA24" s="53">
        <v>567.93600000000004</v>
      </c>
      <c r="AB24" s="53">
        <v>576.10799999999995</v>
      </c>
      <c r="AC24" s="53">
        <v>583.71199999999999</v>
      </c>
      <c r="AD24" s="53">
        <v>590.78300000000002</v>
      </c>
      <c r="AE24" s="53">
        <v>597.33699999999999</v>
      </c>
      <c r="AF24" s="53">
        <v>603.36699999999996</v>
      </c>
      <c r="AG24" s="53">
        <v>608.98500000000001</v>
      </c>
      <c r="AH24" s="53">
        <v>614.29100000000005</v>
      </c>
      <c r="AI24" s="53">
        <v>619.346</v>
      </c>
      <c r="AJ24" s="53">
        <v>624.04399999999998</v>
      </c>
      <c r="AK24" s="53">
        <v>628.80799999999999</v>
      </c>
    </row>
    <row r="25" spans="1:37" x14ac:dyDescent="0.25">
      <c r="A25" s="53" t="s">
        <v>67</v>
      </c>
      <c r="B25" s="53" t="s">
        <v>85</v>
      </c>
      <c r="C25" s="53" t="s">
        <v>86</v>
      </c>
      <c r="D25" s="53">
        <v>0</v>
      </c>
      <c r="E25" s="53">
        <v>0</v>
      </c>
      <c r="F25" s="53">
        <v>0</v>
      </c>
      <c r="G25" s="54">
        <v>91427100</v>
      </c>
      <c r="H25" s="54">
        <v>175313000</v>
      </c>
      <c r="I25" s="54">
        <v>248995000</v>
      </c>
      <c r="J25" s="54">
        <v>311626000</v>
      </c>
      <c r="K25" s="54">
        <v>362630000</v>
      </c>
      <c r="L25" s="54">
        <v>401837000</v>
      </c>
      <c r="M25" s="54">
        <v>422813000</v>
      </c>
      <c r="N25" s="54">
        <v>430485000</v>
      </c>
      <c r="O25" s="54">
        <v>423915000</v>
      </c>
      <c r="P25" s="54">
        <v>403406000</v>
      </c>
      <c r="Q25" s="54">
        <v>368406000</v>
      </c>
      <c r="R25" s="54">
        <v>318327000</v>
      </c>
      <c r="S25" s="54">
        <v>253520000</v>
      </c>
      <c r="T25" s="54">
        <v>176732000</v>
      </c>
      <c r="U25" s="54">
        <v>90744400</v>
      </c>
      <c r="V25" s="54">
        <v>68373900</v>
      </c>
      <c r="W25" s="54">
        <v>35317500</v>
      </c>
      <c r="X25" s="54">
        <v>-5083810</v>
      </c>
      <c r="Y25" s="54">
        <v>-52103700</v>
      </c>
      <c r="Z25" s="54">
        <v>-106999000</v>
      </c>
      <c r="AA25" s="54">
        <v>-167170000</v>
      </c>
      <c r="AB25" s="54">
        <v>-234721000</v>
      </c>
      <c r="AC25" s="54">
        <v>-307305000</v>
      </c>
      <c r="AD25" s="54">
        <v>-385023000</v>
      </c>
      <c r="AE25" s="54">
        <v>-469019000</v>
      </c>
      <c r="AF25" s="54">
        <v>-557139000</v>
      </c>
      <c r="AG25" s="54">
        <v>-649297000</v>
      </c>
      <c r="AH25" s="54">
        <v>-784845000</v>
      </c>
      <c r="AI25" s="54">
        <v>-920268000</v>
      </c>
      <c r="AJ25" s="54">
        <v>-1056900000</v>
      </c>
      <c r="AK25" s="54">
        <v>-1192520000</v>
      </c>
    </row>
    <row r="26" spans="1:37" x14ac:dyDescent="0.25">
      <c r="A26" s="53" t="s">
        <v>3</v>
      </c>
      <c r="B26" s="53" t="s">
        <v>87</v>
      </c>
      <c r="C26" s="53" t="s">
        <v>88</v>
      </c>
      <c r="D26" s="53">
        <v>37.436199999999999</v>
      </c>
      <c r="E26" s="53">
        <v>75.331699999999998</v>
      </c>
      <c r="F26" s="53">
        <v>113.185</v>
      </c>
      <c r="G26" s="53">
        <v>147.59100000000001</v>
      </c>
      <c r="H26" s="53">
        <v>181.60900000000001</v>
      </c>
      <c r="I26" s="53">
        <v>214.84399999999999</v>
      </c>
      <c r="J26" s="53">
        <v>247.54599999999999</v>
      </c>
      <c r="K26" s="53">
        <v>279.62099999999998</v>
      </c>
      <c r="L26" s="53">
        <v>305.721</v>
      </c>
      <c r="M26" s="53">
        <v>331.48899999999998</v>
      </c>
      <c r="N26" s="53">
        <v>356.79500000000002</v>
      </c>
      <c r="O26" s="53">
        <v>381.74700000000001</v>
      </c>
      <c r="P26" s="53">
        <v>406.34699999999998</v>
      </c>
      <c r="Q26" s="53">
        <v>429.77</v>
      </c>
      <c r="R26" s="53">
        <v>450.233</v>
      </c>
      <c r="S26" s="53">
        <v>469.84399999999999</v>
      </c>
      <c r="T26" s="53">
        <v>487.97699999999998</v>
      </c>
      <c r="U26" s="53">
        <v>505.15499999999997</v>
      </c>
      <c r="V26" s="53">
        <v>517.476</v>
      </c>
      <c r="W26" s="53">
        <v>529.10799999999995</v>
      </c>
      <c r="X26" s="53">
        <v>540.10900000000004</v>
      </c>
      <c r="Y26" s="53">
        <v>550.47299999999996</v>
      </c>
      <c r="Z26" s="53">
        <v>560.18799999999999</v>
      </c>
      <c r="AA26" s="53">
        <v>569.255</v>
      </c>
      <c r="AB26" s="53">
        <v>577.47799999999995</v>
      </c>
      <c r="AC26" s="53">
        <v>585.13300000000004</v>
      </c>
      <c r="AD26" s="53">
        <v>592.25400000000002</v>
      </c>
      <c r="AE26" s="53">
        <v>598.85799999999995</v>
      </c>
      <c r="AF26" s="53">
        <v>604.93799999999999</v>
      </c>
      <c r="AG26" s="53">
        <v>610.60599999999999</v>
      </c>
      <c r="AH26" s="53">
        <v>615.96299999999997</v>
      </c>
      <c r="AI26" s="53">
        <v>621.06700000000001</v>
      </c>
      <c r="AJ26" s="53">
        <v>625.81600000000003</v>
      </c>
      <c r="AK26" s="53">
        <v>630.63</v>
      </c>
    </row>
    <row r="27" spans="1:37" x14ac:dyDescent="0.25">
      <c r="A27" s="53" t="s">
        <v>67</v>
      </c>
      <c r="B27" s="53" t="s">
        <v>87</v>
      </c>
      <c r="C27" s="53" t="s">
        <v>88</v>
      </c>
      <c r="D27" s="53">
        <v>0</v>
      </c>
      <c r="E27" s="53">
        <v>0</v>
      </c>
      <c r="F27" s="53">
        <v>0</v>
      </c>
      <c r="G27" s="54">
        <v>91823400</v>
      </c>
      <c r="H27" s="54">
        <v>175734000</v>
      </c>
      <c r="I27" s="54">
        <v>249633000</v>
      </c>
      <c r="J27" s="54">
        <v>312346000</v>
      </c>
      <c r="K27" s="54">
        <v>363475000</v>
      </c>
      <c r="L27" s="54">
        <v>400752000</v>
      </c>
      <c r="M27" s="54">
        <v>422949000</v>
      </c>
      <c r="N27" s="54">
        <v>431546000</v>
      </c>
      <c r="O27" s="54">
        <v>425702000</v>
      </c>
      <c r="P27" s="54">
        <v>405820000</v>
      </c>
      <c r="Q27" s="54">
        <v>371372000</v>
      </c>
      <c r="R27" s="54">
        <v>320923000</v>
      </c>
      <c r="S27" s="54">
        <v>258377000</v>
      </c>
      <c r="T27" s="54">
        <v>183217000</v>
      </c>
      <c r="U27" s="54">
        <v>96958600</v>
      </c>
      <c r="V27" s="54">
        <v>74547100</v>
      </c>
      <c r="W27" s="54">
        <v>41721700</v>
      </c>
      <c r="X27" s="54">
        <v>1591170</v>
      </c>
      <c r="Y27" s="54">
        <v>-45150900</v>
      </c>
      <c r="Z27" s="54">
        <v>-99747600</v>
      </c>
      <c r="AA27" s="54">
        <v>-159614000</v>
      </c>
      <c r="AB27" s="54">
        <v>-226849000</v>
      </c>
      <c r="AC27" s="54">
        <v>-299119000</v>
      </c>
      <c r="AD27" s="54">
        <v>-376526000</v>
      </c>
      <c r="AE27" s="54">
        <v>-460208000</v>
      </c>
      <c r="AF27" s="54">
        <v>-548023000</v>
      </c>
      <c r="AG27" s="54">
        <v>-639872000</v>
      </c>
      <c r="AH27" s="54">
        <v>-775132000</v>
      </c>
      <c r="AI27" s="54">
        <v>-910270000</v>
      </c>
      <c r="AJ27" s="54">
        <v>-1046630000</v>
      </c>
      <c r="AK27" s="54">
        <v>-1181970000</v>
      </c>
    </row>
    <row r="28" spans="1:37" x14ac:dyDescent="0.25">
      <c r="A28" s="53" t="s">
        <v>3</v>
      </c>
      <c r="B28" s="53" t="s">
        <v>89</v>
      </c>
      <c r="C28" s="53" t="s">
        <v>90</v>
      </c>
      <c r="D28" s="53">
        <v>37.436199999999999</v>
      </c>
      <c r="E28" s="53">
        <v>75.331699999999998</v>
      </c>
      <c r="F28" s="53">
        <v>113.185</v>
      </c>
      <c r="G28" s="53">
        <v>147.55500000000001</v>
      </c>
      <c r="H28" s="53">
        <v>181.511</v>
      </c>
      <c r="I28" s="53">
        <v>214.63499999999999</v>
      </c>
      <c r="J28" s="53">
        <v>247.17500000000001</v>
      </c>
      <c r="K28" s="53">
        <v>279.04199999999997</v>
      </c>
      <c r="L28" s="53">
        <v>305.125</v>
      </c>
      <c r="M28" s="53">
        <v>330.85599999999999</v>
      </c>
      <c r="N28" s="53">
        <v>356.10899999999998</v>
      </c>
      <c r="O28" s="53">
        <v>380.988</v>
      </c>
      <c r="P28" s="53">
        <v>405.49700000000001</v>
      </c>
      <c r="Q28" s="53">
        <v>428.80799999999999</v>
      </c>
      <c r="R28" s="53">
        <v>449.28699999999998</v>
      </c>
      <c r="S28" s="53">
        <v>468.91199999999998</v>
      </c>
      <c r="T28" s="53">
        <v>487.00099999999998</v>
      </c>
      <c r="U28" s="53">
        <v>504.13799999999998</v>
      </c>
      <c r="V28" s="53">
        <v>521</v>
      </c>
      <c r="W28" s="53">
        <v>537.22</v>
      </c>
      <c r="X28" s="53">
        <v>552.85599999999999</v>
      </c>
      <c r="Y28" s="53">
        <v>567.90099999999995</v>
      </c>
      <c r="Z28" s="53">
        <v>582.34400000000005</v>
      </c>
      <c r="AA28" s="53">
        <v>596.18600000000004</v>
      </c>
      <c r="AB28" s="53">
        <v>609.22900000000004</v>
      </c>
      <c r="AC28" s="53">
        <v>621.74900000000002</v>
      </c>
      <c r="AD28" s="53">
        <v>633.78200000000004</v>
      </c>
      <c r="AE28" s="53">
        <v>645.34400000000005</v>
      </c>
      <c r="AF28" s="53">
        <v>656.428</v>
      </c>
      <c r="AG28" s="53">
        <v>667.13300000000004</v>
      </c>
      <c r="AH28" s="53">
        <v>677.57299999999998</v>
      </c>
      <c r="AI28" s="53">
        <v>687.80700000000002</v>
      </c>
      <c r="AJ28" s="53">
        <v>697.73</v>
      </c>
      <c r="AK28" s="53">
        <v>707.73400000000004</v>
      </c>
    </row>
    <row r="29" spans="1:37" x14ac:dyDescent="0.25">
      <c r="A29" s="53" t="s">
        <v>67</v>
      </c>
      <c r="B29" s="53" t="s">
        <v>89</v>
      </c>
      <c r="C29" s="53" t="s">
        <v>90</v>
      </c>
      <c r="D29" s="53">
        <v>0</v>
      </c>
      <c r="E29" s="53">
        <v>0</v>
      </c>
      <c r="F29" s="53">
        <v>0</v>
      </c>
      <c r="G29" s="54">
        <v>91427100</v>
      </c>
      <c r="H29" s="54">
        <v>175313000</v>
      </c>
      <c r="I29" s="54">
        <v>248995000</v>
      </c>
      <c r="J29" s="54">
        <v>311626000</v>
      </c>
      <c r="K29" s="54">
        <v>362630000</v>
      </c>
      <c r="L29" s="54">
        <v>401837000</v>
      </c>
      <c r="M29" s="54">
        <v>422813000</v>
      </c>
      <c r="N29" s="54">
        <v>430485000</v>
      </c>
      <c r="O29" s="54">
        <v>423915000</v>
      </c>
      <c r="P29" s="54">
        <v>403406000</v>
      </c>
      <c r="Q29" s="54">
        <v>368406000</v>
      </c>
      <c r="R29" s="54">
        <v>318327000</v>
      </c>
      <c r="S29" s="54">
        <v>253520000</v>
      </c>
      <c r="T29" s="54">
        <v>176732000</v>
      </c>
      <c r="U29" s="54">
        <v>90744400</v>
      </c>
      <c r="V29" s="54">
        <v>-4145550</v>
      </c>
      <c r="W29" s="54">
        <v>-108063000</v>
      </c>
      <c r="X29" s="54">
        <v>-217981000</v>
      </c>
      <c r="Y29" s="54">
        <v>-333184000</v>
      </c>
      <c r="Z29" s="54">
        <v>-454941000</v>
      </c>
      <c r="AA29" s="54">
        <v>-580661000</v>
      </c>
      <c r="AB29" s="54">
        <v>-712472000</v>
      </c>
      <c r="AC29" s="54">
        <v>-848044000</v>
      </c>
      <c r="AD29" s="54">
        <v>-987480000</v>
      </c>
      <c r="AE29" s="54">
        <v>-1131960000</v>
      </c>
      <c r="AF29" s="54">
        <v>-1279340000</v>
      </c>
      <c r="AG29" s="54">
        <v>-1429650000</v>
      </c>
      <c r="AH29" s="54">
        <v>-1622170000</v>
      </c>
      <c r="AI29" s="54">
        <v>-1813390000</v>
      </c>
      <c r="AJ29" s="54">
        <v>-2004660000</v>
      </c>
      <c r="AK29" s="54">
        <v>-2194020000</v>
      </c>
    </row>
    <row r="30" spans="1:37" x14ac:dyDescent="0.25">
      <c r="A30" s="53" t="s">
        <v>3</v>
      </c>
      <c r="B30" s="53" t="s">
        <v>91</v>
      </c>
      <c r="C30" s="53" t="s">
        <v>92</v>
      </c>
      <c r="D30" s="53">
        <v>37.436199999999999</v>
      </c>
      <c r="E30" s="53">
        <v>75.331699999999998</v>
      </c>
      <c r="F30" s="53">
        <v>113.185</v>
      </c>
      <c r="G30" s="53">
        <v>147.57</v>
      </c>
      <c r="H30" s="53">
        <v>181.55699999999999</v>
      </c>
      <c r="I30" s="53">
        <v>214.72499999999999</v>
      </c>
      <c r="J30" s="53">
        <v>247.32599999999999</v>
      </c>
      <c r="K30" s="53">
        <v>279.26600000000002</v>
      </c>
      <c r="L30" s="53">
        <v>305.41899999999998</v>
      </c>
      <c r="M30" s="53">
        <v>331.23200000000003</v>
      </c>
      <c r="N30" s="53">
        <v>356.57799999999997</v>
      </c>
      <c r="O30" s="53">
        <v>381.56</v>
      </c>
      <c r="P30" s="53">
        <v>406.18099999999998</v>
      </c>
      <c r="Q30" s="53">
        <v>429.61599999999999</v>
      </c>
      <c r="R30" s="53">
        <v>450.166</v>
      </c>
      <c r="S30" s="53">
        <v>469.86599999999999</v>
      </c>
      <c r="T30" s="53">
        <v>488.096</v>
      </c>
      <c r="U30" s="53">
        <v>505.37799999999999</v>
      </c>
      <c r="V30" s="53">
        <v>517.82000000000005</v>
      </c>
      <c r="W30" s="53">
        <v>529.58199999999999</v>
      </c>
      <c r="X30" s="53">
        <v>540.72</v>
      </c>
      <c r="Y30" s="53">
        <v>551.23099999999999</v>
      </c>
      <c r="Z30" s="53">
        <v>561.09900000000005</v>
      </c>
      <c r="AA30" s="53">
        <v>570.32799999999997</v>
      </c>
      <c r="AB30" s="53">
        <v>578.72</v>
      </c>
      <c r="AC30" s="53">
        <v>586.55100000000004</v>
      </c>
      <c r="AD30" s="53">
        <v>593.85599999999999</v>
      </c>
      <c r="AE30" s="53">
        <v>600.65099999999995</v>
      </c>
      <c r="AF30" s="53">
        <v>606.92899999999997</v>
      </c>
      <c r="AG30" s="53">
        <v>612.79999999999995</v>
      </c>
      <c r="AH30" s="53">
        <v>618.36699999999996</v>
      </c>
      <c r="AI30" s="53">
        <v>623.68799999999999</v>
      </c>
      <c r="AJ30" s="53">
        <v>628.66</v>
      </c>
      <c r="AK30" s="53">
        <v>633.71100000000001</v>
      </c>
    </row>
    <row r="31" spans="1:37" x14ac:dyDescent="0.25">
      <c r="A31" s="53" t="s">
        <v>67</v>
      </c>
      <c r="B31" s="53" t="s">
        <v>91</v>
      </c>
      <c r="C31" s="53" t="s">
        <v>92</v>
      </c>
      <c r="D31" s="53">
        <v>0</v>
      </c>
      <c r="E31" s="53">
        <v>0</v>
      </c>
      <c r="F31" s="53">
        <v>0</v>
      </c>
      <c r="G31" s="54">
        <v>91887300</v>
      </c>
      <c r="H31" s="54">
        <v>176729000</v>
      </c>
      <c r="I31" s="54">
        <v>251833000</v>
      </c>
      <c r="J31" s="54">
        <v>316325000</v>
      </c>
      <c r="K31" s="54">
        <v>369578000</v>
      </c>
      <c r="L31" s="54">
        <v>411377000</v>
      </c>
      <c r="M31" s="54">
        <v>435340000</v>
      </c>
      <c r="N31" s="54">
        <v>446297000</v>
      </c>
      <c r="O31" s="54">
        <v>443259000</v>
      </c>
      <c r="P31" s="54">
        <v>426562000</v>
      </c>
      <c r="Q31" s="54">
        <v>395586000</v>
      </c>
      <c r="R31" s="54">
        <v>349626000</v>
      </c>
      <c r="S31" s="54">
        <v>290962000</v>
      </c>
      <c r="T31" s="54">
        <v>219668000</v>
      </c>
      <c r="U31" s="54">
        <v>137484000</v>
      </c>
      <c r="V31" s="54">
        <v>119430000</v>
      </c>
      <c r="W31" s="54">
        <v>91297100</v>
      </c>
      <c r="X31" s="54">
        <v>55931500</v>
      </c>
      <c r="Y31" s="54">
        <v>14033400</v>
      </c>
      <c r="Z31" s="54">
        <v>-35663700</v>
      </c>
      <c r="AA31" s="54">
        <v>-90567300</v>
      </c>
      <c r="AB31" s="54">
        <v>-152799000</v>
      </c>
      <c r="AC31" s="54">
        <v>-220045000</v>
      </c>
      <c r="AD31" s="54">
        <v>-292400000</v>
      </c>
      <c r="AE31" s="54">
        <v>-371018000</v>
      </c>
      <c r="AF31" s="54">
        <v>-453764000</v>
      </c>
      <c r="AG31" s="54">
        <v>-540557000</v>
      </c>
      <c r="AH31" s="54">
        <v>-670769000</v>
      </c>
      <c r="AI31" s="54">
        <v>-800872000</v>
      </c>
      <c r="AJ31" s="54">
        <v>-932225000</v>
      </c>
      <c r="AK31" s="54">
        <v>-1062530000</v>
      </c>
    </row>
    <row r="32" spans="1:37" x14ac:dyDescent="0.25">
      <c r="A32" s="53" t="s">
        <v>3</v>
      </c>
      <c r="B32" s="53" t="s">
        <v>93</v>
      </c>
      <c r="C32" s="53" t="s">
        <v>94</v>
      </c>
      <c r="D32" s="53">
        <v>37.436199999999999</v>
      </c>
      <c r="E32" s="53">
        <v>75.331699999999998</v>
      </c>
      <c r="F32" s="53">
        <v>113.185</v>
      </c>
      <c r="G32" s="53">
        <v>147.55500000000001</v>
      </c>
      <c r="H32" s="53">
        <v>181.511</v>
      </c>
      <c r="I32" s="53">
        <v>214.63499999999999</v>
      </c>
      <c r="J32" s="53">
        <v>247.17500000000001</v>
      </c>
      <c r="K32" s="53">
        <v>279.04199999999997</v>
      </c>
      <c r="L32" s="53">
        <v>305.125</v>
      </c>
      <c r="M32" s="53">
        <v>330.85599999999999</v>
      </c>
      <c r="N32" s="53">
        <v>356.10899999999998</v>
      </c>
      <c r="O32" s="53">
        <v>380.988</v>
      </c>
      <c r="P32" s="53">
        <v>405.49700000000001</v>
      </c>
      <c r="Q32" s="53">
        <v>429.613</v>
      </c>
      <c r="R32" s="53">
        <v>451.32900000000001</v>
      </c>
      <c r="S32" s="53">
        <v>472.66899999999998</v>
      </c>
      <c r="T32" s="53">
        <v>492.98899999999998</v>
      </c>
      <c r="U32" s="53">
        <v>512.86900000000003</v>
      </c>
      <c r="V32" s="53">
        <v>527.16</v>
      </c>
      <c r="W32" s="53">
        <v>541.09699999999998</v>
      </c>
      <c r="X32" s="53">
        <v>554.702</v>
      </c>
      <c r="Y32" s="53">
        <v>567.971</v>
      </c>
      <c r="Z32" s="53">
        <v>580.89499999999998</v>
      </c>
      <c r="AA32" s="53">
        <v>593.47400000000005</v>
      </c>
      <c r="AB32" s="53">
        <v>605.59400000000005</v>
      </c>
      <c r="AC32" s="53">
        <v>617.35299999999995</v>
      </c>
      <c r="AD32" s="53">
        <v>628.77800000000002</v>
      </c>
      <c r="AE32" s="53">
        <v>639.87300000000005</v>
      </c>
      <c r="AF32" s="53">
        <v>650.61599999999999</v>
      </c>
      <c r="AG32" s="53">
        <v>661.01400000000001</v>
      </c>
      <c r="AH32" s="53">
        <v>671.154</v>
      </c>
      <c r="AI32" s="53">
        <v>681.07600000000002</v>
      </c>
      <c r="AJ32" s="53">
        <v>690.66099999999994</v>
      </c>
      <c r="AK32" s="53">
        <v>700.03399999999999</v>
      </c>
    </row>
    <row r="33" spans="1:37" x14ac:dyDescent="0.25">
      <c r="A33" s="53" t="s">
        <v>67</v>
      </c>
      <c r="B33" s="53" t="s">
        <v>93</v>
      </c>
      <c r="C33" s="53" t="s">
        <v>94</v>
      </c>
      <c r="D33" s="53">
        <v>0</v>
      </c>
      <c r="E33" s="53">
        <v>0</v>
      </c>
      <c r="F33" s="53">
        <v>0</v>
      </c>
      <c r="G33" s="54">
        <v>91427100</v>
      </c>
      <c r="H33" s="54">
        <v>175313000</v>
      </c>
      <c r="I33" s="54">
        <v>248995000</v>
      </c>
      <c r="J33" s="54">
        <v>311626000</v>
      </c>
      <c r="K33" s="54">
        <v>362630000</v>
      </c>
      <c r="L33" s="54">
        <v>401837000</v>
      </c>
      <c r="M33" s="54">
        <v>422813000</v>
      </c>
      <c r="N33" s="54">
        <v>430485000</v>
      </c>
      <c r="O33" s="54">
        <v>423915000</v>
      </c>
      <c r="P33" s="54">
        <v>403406000</v>
      </c>
      <c r="Q33" s="54">
        <v>368406000</v>
      </c>
      <c r="R33" s="54">
        <v>317985000</v>
      </c>
      <c r="S33" s="54">
        <v>252201000</v>
      </c>
      <c r="T33" s="54">
        <v>174098000</v>
      </c>
      <c r="U33" s="54">
        <v>86496200</v>
      </c>
      <c r="V33" s="54">
        <v>62246400</v>
      </c>
      <c r="W33" s="54">
        <v>27524800</v>
      </c>
      <c r="X33" s="54">
        <v>-14423500</v>
      </c>
      <c r="Y33" s="54">
        <v>-63050600</v>
      </c>
      <c r="Z33" s="54">
        <v>-119609000</v>
      </c>
      <c r="AA33" s="54">
        <v>-181485000</v>
      </c>
      <c r="AB33" s="54">
        <v>-250823000</v>
      </c>
      <c r="AC33" s="54">
        <v>-325255000</v>
      </c>
      <c r="AD33" s="54">
        <v>-404859000</v>
      </c>
      <c r="AE33" s="54">
        <v>-490704000</v>
      </c>
      <c r="AF33" s="54">
        <v>-580638000</v>
      </c>
      <c r="AG33" s="54">
        <v>-674562000</v>
      </c>
      <c r="AH33" s="54">
        <v>-811819000</v>
      </c>
      <c r="AI33" s="54">
        <v>-948851000</v>
      </c>
      <c r="AJ33" s="54">
        <v>-1087000000</v>
      </c>
      <c r="AK33" s="54">
        <v>-1224010000</v>
      </c>
    </row>
    <row r="34" spans="1:37" x14ac:dyDescent="0.25">
      <c r="A34" s="53" t="s">
        <v>3</v>
      </c>
      <c r="B34" s="53" t="s">
        <v>12</v>
      </c>
      <c r="C34" s="53" t="s">
        <v>13</v>
      </c>
      <c r="D34" s="53">
        <v>37.436199999999999</v>
      </c>
      <c r="E34" s="53">
        <v>75.331699999999998</v>
      </c>
      <c r="F34" s="53">
        <v>113.185</v>
      </c>
      <c r="G34" s="53">
        <v>147.73500000000001</v>
      </c>
      <c r="H34" s="53">
        <v>182.03899999999999</v>
      </c>
      <c r="I34" s="53">
        <v>215.78800000000001</v>
      </c>
      <c r="J34" s="53">
        <v>249.25</v>
      </c>
      <c r="K34" s="53">
        <v>282.33600000000001</v>
      </c>
      <c r="L34" s="53">
        <v>309.51600000000002</v>
      </c>
      <c r="M34" s="53">
        <v>336.63299999999998</v>
      </c>
      <c r="N34" s="53">
        <v>363.58</v>
      </c>
      <c r="O34" s="53">
        <v>390.48</v>
      </c>
      <c r="P34" s="53">
        <v>417.34300000000002</v>
      </c>
      <c r="Q34" s="53">
        <v>444.06700000000001</v>
      </c>
      <c r="R34" s="53">
        <v>468.65800000000002</v>
      </c>
      <c r="S34" s="53">
        <v>493.226</v>
      </c>
      <c r="T34" s="53">
        <v>517.11800000000005</v>
      </c>
      <c r="U34" s="53">
        <v>540.87900000000002</v>
      </c>
      <c r="V34" s="53">
        <v>563.92999999999995</v>
      </c>
      <c r="W34" s="53">
        <v>586.93600000000004</v>
      </c>
      <c r="X34" s="53">
        <v>609.91700000000003</v>
      </c>
      <c r="Y34" s="53">
        <v>632.84799999999996</v>
      </c>
      <c r="Z34" s="53">
        <v>655.73800000000006</v>
      </c>
      <c r="AA34" s="53">
        <v>678.56799999999998</v>
      </c>
      <c r="AB34" s="53">
        <v>701.24599999999998</v>
      </c>
      <c r="AC34" s="53">
        <v>723.86400000000003</v>
      </c>
      <c r="AD34" s="53">
        <v>746.44799999999998</v>
      </c>
      <c r="AE34" s="53">
        <v>769.01300000000003</v>
      </c>
      <c r="AF34" s="53">
        <v>791.53200000000004</v>
      </c>
      <c r="AG34" s="53">
        <v>813.99400000000003</v>
      </c>
      <c r="AH34" s="53">
        <v>836.42600000000004</v>
      </c>
      <c r="AI34" s="53">
        <v>858.84699999999998</v>
      </c>
      <c r="AJ34" s="53">
        <v>881.15499999999997</v>
      </c>
      <c r="AK34" s="53">
        <v>903.40800000000002</v>
      </c>
    </row>
    <row r="35" spans="1:37" x14ac:dyDescent="0.25">
      <c r="A35" s="53" t="s">
        <v>67</v>
      </c>
      <c r="B35" s="53" t="s">
        <v>12</v>
      </c>
      <c r="C35" s="53" t="s">
        <v>13</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c r="V35" s="53">
        <v>0</v>
      </c>
      <c r="W35" s="53">
        <v>0</v>
      </c>
      <c r="X35" s="53">
        <v>0</v>
      </c>
      <c r="Y35" s="53">
        <v>0</v>
      </c>
      <c r="Z35" s="53">
        <v>0</v>
      </c>
      <c r="AA35" s="53">
        <v>0</v>
      </c>
      <c r="AB35" s="53">
        <v>0</v>
      </c>
      <c r="AC35" s="53">
        <v>0</v>
      </c>
      <c r="AD35" s="53">
        <v>0</v>
      </c>
      <c r="AE35" s="53">
        <v>0</v>
      </c>
      <c r="AF35" s="53">
        <v>0</v>
      </c>
      <c r="AG35" s="53">
        <v>0</v>
      </c>
      <c r="AH35" s="53">
        <v>0</v>
      </c>
      <c r="AI35" s="53">
        <v>0</v>
      </c>
      <c r="AJ35" s="53">
        <v>0</v>
      </c>
      <c r="AK35" s="5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E1DB47-82AA-4383-BFE5-8B725946ECD4}">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64FF72D-6186-4DDA-8201-64A86E45673E}">
  <ds:schemaRefs>
    <ds:schemaRef ds:uri="http://schemas.microsoft.com/sharepoint/v3/contenttype/forms"/>
  </ds:schemaRefs>
</ds:datastoreItem>
</file>

<file path=customXml/itemProps3.xml><?xml version="1.0" encoding="utf-8"?>
<ds:datastoreItem xmlns:ds="http://schemas.openxmlformats.org/officeDocument/2006/customXml" ds:itemID="{E599D582-C7B6-41BB-9647-A44DF6A3B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2.0.0-hk-Decarbonization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Jeffrey Rissman</cp:lastModifiedBy>
  <dcterms:created xsi:type="dcterms:W3CDTF">2017-03-20T18:51:30Z</dcterms:created>
  <dcterms:modified xsi:type="dcterms:W3CDTF">2019-12-03T20:58:12Z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