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CCaMC\"/>
    </mc:Choice>
  </mc:AlternateContent>
  <xr:revisionPtr revIDLastSave="2" documentId="11_27396B66DF773B6F0D451177B561DB468CD1DB1F" xr6:coauthVersionLast="45" xr6:coauthVersionMax="45" xr10:uidLastSave="{D5AE304B-E2FE-4B02-987D-08B95421C4C0}"/>
  <bookViews>
    <workbookView xWindow="-120" yWindow="-120" windowWidth="20730" windowHeight="11160" firstSheet="3" activeTab="5" xr2:uid="{00000000-000D-0000-FFFF-FFFF00000000}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7" l="1"/>
  <c r="B15" i="7"/>
  <c r="B53" i="15" l="1"/>
  <c r="C45" i="15" l="1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B52" i="15"/>
  <c r="B51" i="15"/>
  <c r="B50" i="15"/>
  <c r="B49" i="15"/>
  <c r="B48" i="15"/>
  <c r="B47" i="15"/>
  <c r="B46" i="15"/>
  <c r="B45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D17" i="8" l="1"/>
  <c r="B17" i="8"/>
  <c r="D17" i="7"/>
  <c r="B17" i="7"/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G2" i="6"/>
  <c r="F2" i="6"/>
  <c r="B33" i="6" l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B34" i="6"/>
  <c r="I34" i="6" l="1"/>
  <c r="Q34" i="6"/>
  <c r="I26" i="6"/>
  <c r="Q26" i="6"/>
  <c r="I18" i="6"/>
  <c r="Q18" i="6"/>
  <c r="I10" i="6"/>
  <c r="Q10" i="6"/>
  <c r="I2" i="6"/>
  <c r="Q2" i="6"/>
  <c r="I33" i="6"/>
  <c r="Q33" i="6"/>
  <c r="I25" i="6"/>
  <c r="Q25" i="6"/>
  <c r="I17" i="6"/>
  <c r="Q17" i="6"/>
  <c r="I9" i="6"/>
  <c r="Q9" i="6"/>
  <c r="I32" i="6"/>
  <c r="Q32" i="6"/>
  <c r="I24" i="6"/>
  <c r="Q24" i="6"/>
  <c r="I16" i="6"/>
  <c r="Q16" i="6"/>
  <c r="I8" i="6"/>
  <c r="Q8" i="6"/>
  <c r="I31" i="6"/>
  <c r="Q31" i="6"/>
  <c r="I23" i="6"/>
  <c r="Q23" i="6"/>
  <c r="I15" i="6"/>
  <c r="Q15" i="6"/>
  <c r="I7" i="6"/>
  <c r="Q7" i="6"/>
  <c r="I30" i="6"/>
  <c r="Q30" i="6"/>
  <c r="I22" i="6"/>
  <c r="Q22" i="6"/>
  <c r="I14" i="6"/>
  <c r="Q14" i="6"/>
  <c r="I6" i="6"/>
  <c r="Q6" i="6"/>
  <c r="I29" i="6"/>
  <c r="Q29" i="6"/>
  <c r="I21" i="6"/>
  <c r="Q21" i="6"/>
  <c r="I13" i="6"/>
  <c r="Q13" i="6"/>
  <c r="I5" i="6"/>
  <c r="Q5" i="6"/>
  <c r="I28" i="6"/>
  <c r="Q28" i="6"/>
  <c r="I20" i="6"/>
  <c r="Q20" i="6"/>
  <c r="I12" i="6"/>
  <c r="Q12" i="6"/>
  <c r="I4" i="6"/>
  <c r="Q4" i="6"/>
  <c r="I27" i="6"/>
  <c r="Q27" i="6"/>
  <c r="I19" i="6"/>
  <c r="Q19" i="6"/>
  <c r="I11" i="6"/>
  <c r="Q11" i="6"/>
  <c r="I3" i="6"/>
  <c r="Q3" i="6"/>
  <c r="K2" i="6"/>
  <c r="L2" i="6"/>
  <c r="K33" i="6"/>
  <c r="L33" i="6"/>
  <c r="K25" i="6"/>
  <c r="L25" i="6"/>
  <c r="K17" i="6"/>
  <c r="L17" i="6"/>
  <c r="K9" i="6"/>
  <c r="L9" i="6"/>
  <c r="K32" i="6"/>
  <c r="L32" i="6"/>
  <c r="K24" i="6"/>
  <c r="L24" i="6"/>
  <c r="K16" i="6"/>
  <c r="L16" i="6"/>
  <c r="K8" i="6"/>
  <c r="L8" i="6"/>
  <c r="K34" i="6"/>
  <c r="L34" i="6"/>
  <c r="K31" i="6"/>
  <c r="L31" i="6"/>
  <c r="K23" i="6"/>
  <c r="L23" i="6"/>
  <c r="K15" i="6"/>
  <c r="L15" i="6"/>
  <c r="K7" i="6"/>
  <c r="L7" i="6"/>
  <c r="K30" i="6"/>
  <c r="L30" i="6"/>
  <c r="K22" i="6"/>
  <c r="L22" i="6"/>
  <c r="K14" i="6"/>
  <c r="L14" i="6"/>
  <c r="K6" i="6"/>
  <c r="L6" i="6"/>
  <c r="K26" i="6"/>
  <c r="L26" i="6"/>
  <c r="K29" i="6"/>
  <c r="L29" i="6"/>
  <c r="K21" i="6"/>
  <c r="L21" i="6"/>
  <c r="K13" i="6"/>
  <c r="L13" i="6"/>
  <c r="K5" i="6"/>
  <c r="L5" i="6"/>
  <c r="K10" i="6"/>
  <c r="L10" i="6"/>
  <c r="K28" i="6"/>
  <c r="L28" i="6"/>
  <c r="K20" i="6"/>
  <c r="L20" i="6"/>
  <c r="K12" i="6"/>
  <c r="L12" i="6"/>
  <c r="K4" i="6"/>
  <c r="L4" i="6"/>
  <c r="K18" i="6"/>
  <c r="L18" i="6"/>
  <c r="K27" i="6"/>
  <c r="L27" i="6"/>
  <c r="K19" i="6"/>
  <c r="L19" i="6"/>
  <c r="K11" i="6"/>
  <c r="L11" i="6"/>
  <c r="K3" i="6"/>
  <c r="L3" i="6"/>
  <c r="B4" i="6"/>
  <c r="B12" i="6"/>
  <c r="B20" i="6"/>
  <c r="B28" i="6"/>
  <c r="B2" i="6"/>
  <c r="B3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19" i="6"/>
  <c r="B21" i="6"/>
  <c r="B22" i="6"/>
  <c r="B23" i="6"/>
  <c r="B24" i="6"/>
  <c r="B25" i="6"/>
  <c r="B26" i="6"/>
  <c r="B27" i="6"/>
  <c r="B29" i="6"/>
  <c r="B30" i="6"/>
  <c r="B31" i="6"/>
  <c r="B32" i="6"/>
  <c r="B35" i="12"/>
  <c r="B13" i="7" s="1"/>
  <c r="B34" i="12"/>
  <c r="C13" i="8" s="1"/>
  <c r="B33" i="12"/>
  <c r="M33" i="6" s="1"/>
  <c r="C13" i="7"/>
  <c r="B14" i="8"/>
  <c r="B11" i="8"/>
  <c r="D11" i="8"/>
  <c r="D11" i="7"/>
  <c r="D13" i="7"/>
  <c r="M26" i="6" l="1"/>
  <c r="M17" i="6"/>
  <c r="M8" i="6"/>
  <c r="M12" i="6"/>
  <c r="B13" i="8"/>
  <c r="M30" i="6"/>
  <c r="M21" i="6"/>
  <c r="M11" i="6"/>
  <c r="M2" i="6"/>
  <c r="D13" i="8"/>
  <c r="M29" i="6"/>
  <c r="M24" i="6"/>
  <c r="M19" i="6"/>
  <c r="M15" i="6"/>
  <c r="M10" i="6"/>
  <c r="M6" i="6"/>
  <c r="M28" i="6"/>
  <c r="M34" i="6"/>
  <c r="M31" i="6"/>
  <c r="M22" i="6"/>
  <c r="M13" i="6"/>
  <c r="M3" i="6"/>
  <c r="M25" i="6"/>
  <c r="M16" i="6"/>
  <c r="M7" i="6"/>
  <c r="M4" i="6"/>
  <c r="M32" i="6"/>
  <c r="M27" i="6"/>
  <c r="M23" i="6"/>
  <c r="M18" i="6"/>
  <c r="M14" i="6"/>
  <c r="M9" i="6"/>
  <c r="M5" i="6"/>
  <c r="M20" i="6"/>
  <c r="O11" i="6"/>
  <c r="P11" i="6"/>
  <c r="O4" i="6"/>
  <c r="P4" i="6"/>
  <c r="P10" i="6"/>
  <c r="O10" i="6"/>
  <c r="O29" i="6"/>
  <c r="P29" i="6"/>
  <c r="P22" i="6"/>
  <c r="O22" i="6"/>
  <c r="O23" i="6"/>
  <c r="P23" i="6"/>
  <c r="O16" i="6"/>
  <c r="P16" i="6"/>
  <c r="O17" i="6"/>
  <c r="P17" i="6"/>
  <c r="B15" i="8"/>
  <c r="B16" i="8"/>
  <c r="O19" i="6"/>
  <c r="P19" i="6"/>
  <c r="O12" i="6"/>
  <c r="P12" i="6"/>
  <c r="O5" i="6"/>
  <c r="P5" i="6"/>
  <c r="O26" i="6"/>
  <c r="P26" i="6"/>
  <c r="P30" i="6"/>
  <c r="O30" i="6"/>
  <c r="O31" i="6"/>
  <c r="P31" i="6"/>
  <c r="O24" i="6"/>
  <c r="P24" i="6"/>
  <c r="O25" i="6"/>
  <c r="P25" i="6"/>
  <c r="D15" i="7"/>
  <c r="D16" i="7"/>
  <c r="O27" i="6"/>
  <c r="P27" i="6"/>
  <c r="O20" i="6"/>
  <c r="P20" i="6"/>
  <c r="O13" i="6"/>
  <c r="P13" i="6"/>
  <c r="P6" i="6"/>
  <c r="O6" i="6"/>
  <c r="O7" i="6"/>
  <c r="P7" i="6"/>
  <c r="O34" i="6"/>
  <c r="P34" i="6"/>
  <c r="O32" i="6"/>
  <c r="P32" i="6"/>
  <c r="O33" i="6"/>
  <c r="P33" i="6"/>
  <c r="D15" i="8"/>
  <c r="D16" i="8"/>
  <c r="O3" i="6"/>
  <c r="P3" i="6"/>
  <c r="P18" i="6"/>
  <c r="O18" i="6"/>
  <c r="O28" i="6"/>
  <c r="P28" i="6"/>
  <c r="O21" i="6"/>
  <c r="P21" i="6"/>
  <c r="P14" i="6"/>
  <c r="O14" i="6"/>
  <c r="O15" i="6"/>
  <c r="P15" i="6"/>
  <c r="O8" i="6"/>
  <c r="P8" i="6"/>
  <c r="O9" i="6"/>
  <c r="P9" i="6"/>
  <c r="P2" i="6"/>
  <c r="O2" i="6"/>
</calcChain>
</file>

<file path=xl/sharedStrings.xml><?xml version="1.0" encoding="utf-8"?>
<sst xmlns="http://schemas.openxmlformats.org/spreadsheetml/2006/main" count="360" uniqueCount="239">
  <si>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</si>
  <si>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</si>
  <si>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</si>
  <si>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</si>
  <si>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</si>
  <si>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</si>
  <si>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</si>
  <si>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</si>
  <si>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</si>
  <si>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</si>
  <si>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</si>
  <si>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</si>
  <si>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</si>
  <si>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</si>
  <si>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</si>
  <si>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</si>
  <si>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</si>
  <si>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</si>
  <si>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</si>
  <si>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</si>
  <si>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</si>
  <si>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</si>
  <si>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</si>
  <si>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</si>
  <si>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</si>
  <si>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</si>
  <si>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</si>
  <si>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</si>
  <si>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</si>
  <si>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</si>
  <si>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</si>
  <si>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</si>
  <si>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</si>
  <si>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</si>
  <si>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</si>
  <si>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</si>
  <si>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</si>
  <si>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</si>
  <si>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</si>
  <si>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</si>
  <si>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</si>
  <si>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</si>
  <si>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</si>
  <si>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</si>
  <si>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</si>
  <si>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</si>
  <si>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</si>
  <si>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</si>
  <si>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</si>
  <si>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</si>
  <si>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</si>
  <si>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</si>
  <si>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</si>
  <si>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</si>
  <si>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</si>
  <si>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</si>
  <si>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</si>
  <si>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</si>
  <si>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</si>
  <si>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</si>
  <si>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</si>
  <si>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</si>
  <si>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</si>
  <si>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</si>
  <si>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</si>
  <si>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</si>
  <si>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</si>
  <si>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</si>
  <si>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</si>
  <si>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</si>
  <si>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</si>
  <si>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</si>
  <si>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</si>
  <si>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</si>
  <si>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</si>
  <si>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</si>
  <si>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</si>
  <si>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</si>
  <si>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</si>
  <si>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</si>
  <si>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</si>
  <si>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</si>
  <si>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</si>
  <si>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</si>
  <si>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</si>
  <si>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</si>
  <si>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</si>
  <si>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</si>
  <si>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</si>
  <si>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</si>
  <si>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</si>
  <si>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</si>
  <si>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</si>
  <si>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</si>
  <si>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</si>
  <si>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</si>
  <si>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</si>
  <si>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</si>
  <si>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</si>
  <si>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</si>
  <si>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</si>
  <si>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</si>
  <si>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</si>
  <si>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</si>
  <si>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</si>
  <si>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</si>
  <si>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</si>
  <si>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</si>
  <si>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</si>
  <si>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</si>
  <si>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</si>
  <si>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</si>
  <si>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</si>
  <si>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</si>
  <si>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</si>
  <si>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</si>
  <si>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</si>
  <si>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</si>
  <si>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</si>
  <si>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</si>
  <si>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</si>
  <si>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</si>
  <si>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</si>
  <si>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</si>
  <si>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</si>
  <si>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</si>
  <si>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</si>
  <si>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</si>
  <si>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</si>
  <si>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</si>
  <si>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</si>
  <si>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</si>
  <si>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</si>
  <si>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</si>
  <si>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</si>
  <si>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</si>
  <si>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</si>
  <si>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</si>
  <si>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</si>
  <si>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</si>
  <si>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</si>
  <si>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</si>
  <si>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</si>
  <si>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</si>
  <si>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</si>
  <si>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</si>
  <si>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</si>
  <si>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</si>
  <si>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</si>
  <si>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</si>
  <si>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</si>
  <si>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</si>
  <si>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For offshore wind, we decline costs according to NREL's annual technology baseline.</t>
  </si>
  <si>
    <t>Overnight Capital Cost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</si>
  <si>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</si>
  <si>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</si>
  <si>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</si>
  <si>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</si>
  <si>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</si>
  <si>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</si>
  <si>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</si>
  <si>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</si>
  <si>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</si>
  <si>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</si>
  <si>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</si>
  <si>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</si>
  <si>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</si>
  <si>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</si>
  <si>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</si>
  <si>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</si>
  <si>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</si>
  <si>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</si>
  <si>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</si>
  <si>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</si>
  <si>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</si>
  <si>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</si>
  <si>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</si>
  <si>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</si>
  <si>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Solar Energy Industries Association</t>
  </si>
  <si>
    <t>"National Solar PV System Pricing" section, last paragraph (using "fixed-tilt" value)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</si>
  <si>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</si>
  <si>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</si>
  <si>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</si>
  <si>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</si>
  <si>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</si>
  <si>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AEO 2018</t>
  </si>
  <si>
    <t>Capital Costs (Except Wind and Solar), Fixed O&amp;M, Variable O&amp;M</t>
  </si>
  <si>
    <t>2015, 2018</t>
  </si>
  <si>
    <t>Assumptions to Annual Energy Outlook 2015, 2018</t>
  </si>
  <si>
    <t>Electricity Market Module</t>
  </si>
  <si>
    <t>2017 Onshore Wind Capital Cost</t>
  </si>
  <si>
    <t>2017 Wind Technologies Market Report</t>
  </si>
  <si>
    <t>Page x, Cost Trends, bullet point 3</t>
  </si>
  <si>
    <t>https://emp.lbl.gov/sites/default/files/2017_wind_technologies_market_report.pdf</t>
  </si>
  <si>
    <t>Berkeley National Lab and Greentech Media.) Note that we use 2016 year in review data for</t>
  </si>
  <si>
    <t>show almost no change between 2017 and 2016 (due to tariffs).</t>
  </si>
  <si>
    <t>solar PV, as more recent numerical figures are not given by SEIA and graphs of year over year prices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</si>
  <si>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</si>
  <si>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</si>
  <si>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</si>
  <si>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</si>
  <si>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</si>
  <si>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</si>
  <si>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</si>
  <si>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https://data.nrel.gov/files/89/2018-ATB-data-interim-geo.xlsm</t>
  </si>
  <si>
    <t>Cost Improvement Rate and 2017 Offshore Wind Costs</t>
  </si>
  <si>
    <t>Annual Technology Baseline (ATB) Spreadsheet - 2018 Final</t>
  </si>
  <si>
    <t>We adjust 2016 dollars to 2012 dollars using the following conversion factor: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</si>
  <si>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</si>
  <si>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</si>
  <si>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</si>
  <si>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</si>
  <si>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</si>
  <si>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</si>
  <si>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</si>
  <si>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</si>
  <si>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</si>
  <si>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</si>
  <si>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</si>
  <si>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</si>
  <si>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</si>
  <si>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</si>
  <si>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</si>
  <si>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</si>
  <si>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</si>
  <si>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</si>
  <si>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U.S. Solar Market Insight Report: 2018 Year in Review (Executive Summary)</t>
  </si>
  <si>
    <t>https://www.seia.org/research-resources/solar-market-insight-report-2018-year-review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</si>
  <si>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</si>
  <si>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</si>
  <si>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</si>
  <si>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</si>
  <si>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</si>
  <si>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</si>
  <si>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</si>
  <si>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</si>
  <si>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</si>
  <si>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Potential Wind Plant Capacity</t>
  </si>
  <si>
    <t>2018 Solar Capital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</si>
</sst>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228">
    <cellStyle name="20% - Accent1 2" xfId="16" xr:uid="{00000000-0005-0000-0000-000000000000}"/>
    <cellStyle name="20% - Accent1 2 2" xfId="17" xr:uid="{00000000-0005-0000-0000-000001000000}"/>
    <cellStyle name="20% - Accent1 2 2 2" xfId="151" xr:uid="{00000000-0005-0000-0000-000002000000}"/>
    <cellStyle name="20% - Accent1 2 2 2 2" xfId="173" xr:uid="{00000000-0005-0000-0000-000003000000}"/>
    <cellStyle name="20% - Accent1 2 2 2 2 2" xfId="217" xr:uid="{00000000-0005-0000-0000-000004000000}"/>
    <cellStyle name="20% - Accent1 2 2 2 3" xfId="195" xr:uid="{00000000-0005-0000-0000-000005000000}"/>
    <cellStyle name="20% - Accent1 2 2 3" xfId="162" xr:uid="{00000000-0005-0000-0000-000006000000}"/>
    <cellStyle name="20% - Accent1 2 2 3 2" xfId="206" xr:uid="{00000000-0005-0000-0000-000007000000}"/>
    <cellStyle name="20% - Accent1 2 2 4" xfId="184" xr:uid="{00000000-0005-0000-0000-000008000000}"/>
    <cellStyle name="20% - Accent2 2" xfId="18" xr:uid="{00000000-0005-0000-0000-000009000000}"/>
    <cellStyle name="20% - Accent2 2 2" xfId="19" xr:uid="{00000000-0005-0000-0000-00000A000000}"/>
    <cellStyle name="20% - Accent2 2 2 2" xfId="152" xr:uid="{00000000-0005-0000-0000-00000B000000}"/>
    <cellStyle name="20% - Accent2 2 2 2 2" xfId="174" xr:uid="{00000000-0005-0000-0000-00000C000000}"/>
    <cellStyle name="20% - Accent2 2 2 2 2 2" xfId="218" xr:uid="{00000000-0005-0000-0000-00000D000000}"/>
    <cellStyle name="20% - Accent2 2 2 2 3" xfId="196" xr:uid="{00000000-0005-0000-0000-00000E000000}"/>
    <cellStyle name="20% - Accent2 2 2 3" xfId="163" xr:uid="{00000000-0005-0000-0000-00000F000000}"/>
    <cellStyle name="20% - Accent2 2 2 3 2" xfId="207" xr:uid="{00000000-0005-0000-0000-000010000000}"/>
    <cellStyle name="20% - Accent2 2 2 4" xfId="185" xr:uid="{00000000-0005-0000-0000-000011000000}"/>
    <cellStyle name="20% - Accent3 2" xfId="20" xr:uid="{00000000-0005-0000-0000-000012000000}"/>
    <cellStyle name="20% - Accent3 2 2" xfId="21" xr:uid="{00000000-0005-0000-0000-000013000000}"/>
    <cellStyle name="20% - Accent3 2 2 2" xfId="153" xr:uid="{00000000-0005-0000-0000-000014000000}"/>
    <cellStyle name="20% - Accent3 2 2 2 2" xfId="175" xr:uid="{00000000-0005-0000-0000-000015000000}"/>
    <cellStyle name="20% - Accent3 2 2 2 2 2" xfId="219" xr:uid="{00000000-0005-0000-0000-000016000000}"/>
    <cellStyle name="20% - Accent3 2 2 2 3" xfId="197" xr:uid="{00000000-0005-0000-0000-000017000000}"/>
    <cellStyle name="20% - Accent3 2 2 3" xfId="164" xr:uid="{00000000-0005-0000-0000-000018000000}"/>
    <cellStyle name="20% - Accent3 2 2 3 2" xfId="208" xr:uid="{00000000-0005-0000-0000-000019000000}"/>
    <cellStyle name="20% - Accent3 2 2 4" xfId="186" xr:uid="{00000000-0005-0000-0000-00001A000000}"/>
    <cellStyle name="20% - Accent4 2" xfId="22" xr:uid="{00000000-0005-0000-0000-00001B000000}"/>
    <cellStyle name="20% - Accent4 2 2" xfId="23" xr:uid="{00000000-0005-0000-0000-00001C000000}"/>
    <cellStyle name="20% - Accent4 2 2 2" xfId="154" xr:uid="{00000000-0005-0000-0000-00001D000000}"/>
    <cellStyle name="20% - Accent4 2 2 2 2" xfId="176" xr:uid="{00000000-0005-0000-0000-00001E000000}"/>
    <cellStyle name="20% - Accent4 2 2 2 2 2" xfId="220" xr:uid="{00000000-0005-0000-0000-00001F000000}"/>
    <cellStyle name="20% - Accent4 2 2 2 3" xfId="198" xr:uid="{00000000-0005-0000-0000-000020000000}"/>
    <cellStyle name="20% - Accent4 2 2 3" xfId="165" xr:uid="{00000000-0005-0000-0000-000021000000}"/>
    <cellStyle name="20% - Accent4 2 2 3 2" xfId="209" xr:uid="{00000000-0005-0000-0000-000022000000}"/>
    <cellStyle name="20% - Accent4 2 2 4" xfId="187" xr:uid="{00000000-0005-0000-0000-000023000000}"/>
    <cellStyle name="Body: normal cell" xfId="4" xr:uid="{00000000-0005-0000-0000-000024000000}"/>
    <cellStyle name="Calculated" xfId="24" xr:uid="{00000000-0005-0000-0000-000025000000}"/>
    <cellStyle name="Comma 10" xfId="25" xr:uid="{00000000-0005-0000-0000-000026000000}"/>
    <cellStyle name="Comma 10 2" xfId="155" xr:uid="{00000000-0005-0000-0000-000027000000}"/>
    <cellStyle name="Comma 10 2 2" xfId="177" xr:uid="{00000000-0005-0000-0000-000028000000}"/>
    <cellStyle name="Comma 10 2 2 2" xfId="221" xr:uid="{00000000-0005-0000-0000-000029000000}"/>
    <cellStyle name="Comma 10 2 3" xfId="199" xr:uid="{00000000-0005-0000-0000-00002A000000}"/>
    <cellStyle name="Comma 10 3" xfId="166" xr:uid="{00000000-0005-0000-0000-00002B000000}"/>
    <cellStyle name="Comma 10 3 2" xfId="210" xr:uid="{00000000-0005-0000-0000-00002C000000}"/>
    <cellStyle name="Comma 10 4" xfId="188" xr:uid="{00000000-0005-0000-0000-00002D000000}"/>
    <cellStyle name="Comma 11" xfId="26" xr:uid="{00000000-0005-0000-0000-00002E000000}"/>
    <cellStyle name="Comma 2" xfId="27" xr:uid="{00000000-0005-0000-0000-00002F000000}"/>
    <cellStyle name="Comma 2 2" xfId="28" xr:uid="{00000000-0005-0000-0000-000030000000}"/>
    <cellStyle name="Comma 2 2 2" xfId="156" xr:uid="{00000000-0005-0000-0000-000031000000}"/>
    <cellStyle name="Comma 2 2 2 2" xfId="178" xr:uid="{00000000-0005-0000-0000-000032000000}"/>
    <cellStyle name="Comma 2 2 2 2 2" xfId="222" xr:uid="{00000000-0005-0000-0000-000033000000}"/>
    <cellStyle name="Comma 2 2 2 3" xfId="200" xr:uid="{00000000-0005-0000-0000-000034000000}"/>
    <cellStyle name="Comma 2 2 3" xfId="167" xr:uid="{00000000-0005-0000-0000-000035000000}"/>
    <cellStyle name="Comma 2 2 3 2" xfId="211" xr:uid="{00000000-0005-0000-0000-000036000000}"/>
    <cellStyle name="Comma 2 2 4" xfId="189" xr:uid="{00000000-0005-0000-0000-000037000000}"/>
    <cellStyle name="Comma 3" xfId="29" xr:uid="{00000000-0005-0000-0000-000038000000}"/>
    <cellStyle name="Comma 3 2" xfId="30" xr:uid="{00000000-0005-0000-0000-000039000000}"/>
    <cellStyle name="Comma 3 2 2" xfId="157" xr:uid="{00000000-0005-0000-0000-00003A000000}"/>
    <cellStyle name="Comma 3 2 2 2" xfId="179" xr:uid="{00000000-0005-0000-0000-00003B000000}"/>
    <cellStyle name="Comma 3 2 2 2 2" xfId="223" xr:uid="{00000000-0005-0000-0000-00003C000000}"/>
    <cellStyle name="Comma 3 2 2 3" xfId="201" xr:uid="{00000000-0005-0000-0000-00003D000000}"/>
    <cellStyle name="Comma 3 2 3" xfId="168" xr:uid="{00000000-0005-0000-0000-00003E000000}"/>
    <cellStyle name="Comma 3 2 3 2" xfId="212" xr:uid="{00000000-0005-0000-0000-00003F000000}"/>
    <cellStyle name="Comma 3 2 4" xfId="190" xr:uid="{00000000-0005-0000-0000-000040000000}"/>
    <cellStyle name="Comma 4" xfId="31" xr:uid="{00000000-0005-0000-0000-000041000000}"/>
    <cellStyle name="Comma 5" xfId="32" xr:uid="{00000000-0005-0000-0000-000042000000}"/>
    <cellStyle name="Comma 6" xfId="33" xr:uid="{00000000-0005-0000-0000-000043000000}"/>
    <cellStyle name="Comma 7" xfId="34" xr:uid="{00000000-0005-0000-0000-000044000000}"/>
    <cellStyle name="Comma 8" xfId="35" xr:uid="{00000000-0005-0000-0000-000045000000}"/>
    <cellStyle name="Comma 9" xfId="36" xr:uid="{00000000-0005-0000-0000-000046000000}"/>
    <cellStyle name="Currency 2" xfId="37" xr:uid="{00000000-0005-0000-0000-000047000000}"/>
    <cellStyle name="Currency 3" xfId="38" xr:uid="{00000000-0005-0000-0000-000048000000}"/>
    <cellStyle name="Currency 4" xfId="39" xr:uid="{00000000-0005-0000-0000-000049000000}"/>
    <cellStyle name="Currency 5" xfId="40" xr:uid="{00000000-0005-0000-0000-00004A000000}"/>
    <cellStyle name="Currency 6" xfId="41" xr:uid="{00000000-0005-0000-0000-00004B000000}"/>
    <cellStyle name="Currency 7" xfId="42" xr:uid="{00000000-0005-0000-0000-00004C000000}"/>
    <cellStyle name="Currency 8" xfId="43" xr:uid="{00000000-0005-0000-0000-00004D000000}"/>
    <cellStyle name="Currency 8 2" xfId="158" xr:uid="{00000000-0005-0000-0000-00004E000000}"/>
    <cellStyle name="Currency 8 2 2" xfId="180" xr:uid="{00000000-0005-0000-0000-00004F000000}"/>
    <cellStyle name="Currency 8 2 2 2" xfId="224" xr:uid="{00000000-0005-0000-0000-000050000000}"/>
    <cellStyle name="Currency 8 2 3" xfId="202" xr:uid="{00000000-0005-0000-0000-000051000000}"/>
    <cellStyle name="Currency 8 3" xfId="169" xr:uid="{00000000-0005-0000-0000-000052000000}"/>
    <cellStyle name="Currency 8 3 2" xfId="213" xr:uid="{00000000-0005-0000-0000-000053000000}"/>
    <cellStyle name="Currency 8 4" xfId="191" xr:uid="{00000000-0005-0000-0000-000054000000}"/>
    <cellStyle name="Followed Hyperlink" xfId="8" builtinId="9" customBuiltin="1"/>
    <cellStyle name="Font: Calibri, 9pt regular" xfId="6" xr:uid="{00000000-0005-0000-0000-000056000000}"/>
    <cellStyle name="Footnotes: all except top row" xfId="9" xr:uid="{00000000-0005-0000-0000-000057000000}"/>
    <cellStyle name="Footnotes: top row" xfId="7" xr:uid="{00000000-0005-0000-0000-000058000000}"/>
    <cellStyle name="Header: bottom row" xfId="2" xr:uid="{00000000-0005-0000-0000-000059000000}"/>
    <cellStyle name="Header: top rows" xfId="10" xr:uid="{00000000-0005-0000-0000-00005A000000}"/>
    <cellStyle name="Heading" xfId="44" xr:uid="{00000000-0005-0000-0000-00005B000000}"/>
    <cellStyle name="Heading 2 2" xfId="45" xr:uid="{00000000-0005-0000-0000-00005C000000}"/>
    <cellStyle name="Heading2" xfId="46" xr:uid="{00000000-0005-0000-0000-00005D000000}"/>
    <cellStyle name="Hyperlink" xfId="5" builtinId="8"/>
    <cellStyle name="Hyperlink 10" xfId="47" xr:uid="{00000000-0005-0000-0000-00005F000000}"/>
    <cellStyle name="Hyperlink 10 2" xfId="48" xr:uid="{00000000-0005-0000-0000-000060000000}"/>
    <cellStyle name="Hyperlink 10 3" xfId="49" xr:uid="{00000000-0005-0000-0000-000061000000}"/>
    <cellStyle name="Hyperlink 11" xfId="50" xr:uid="{00000000-0005-0000-0000-000062000000}"/>
    <cellStyle name="Hyperlink 11 2" xfId="51" xr:uid="{00000000-0005-0000-0000-000063000000}"/>
    <cellStyle name="Hyperlink 11 3" xfId="52" xr:uid="{00000000-0005-0000-0000-000064000000}"/>
    <cellStyle name="Hyperlink 12" xfId="53" xr:uid="{00000000-0005-0000-0000-000065000000}"/>
    <cellStyle name="Hyperlink 12 2" xfId="54" xr:uid="{00000000-0005-0000-0000-000066000000}"/>
    <cellStyle name="Hyperlink 12 3" xfId="55" xr:uid="{00000000-0005-0000-0000-000067000000}"/>
    <cellStyle name="Hyperlink 13" xfId="56" xr:uid="{00000000-0005-0000-0000-000068000000}"/>
    <cellStyle name="Hyperlink 13 2" xfId="57" xr:uid="{00000000-0005-0000-0000-000069000000}"/>
    <cellStyle name="Hyperlink 13 3" xfId="58" xr:uid="{00000000-0005-0000-0000-00006A000000}"/>
    <cellStyle name="Hyperlink 14" xfId="59" xr:uid="{00000000-0005-0000-0000-00006B000000}"/>
    <cellStyle name="Hyperlink 14 2" xfId="60" xr:uid="{00000000-0005-0000-0000-00006C000000}"/>
    <cellStyle name="Hyperlink 14 3" xfId="61" xr:uid="{00000000-0005-0000-0000-00006D000000}"/>
    <cellStyle name="Hyperlink 15" xfId="62" xr:uid="{00000000-0005-0000-0000-00006E000000}"/>
    <cellStyle name="Hyperlink 15 2" xfId="63" xr:uid="{00000000-0005-0000-0000-00006F000000}"/>
    <cellStyle name="Hyperlink 15 3" xfId="64" xr:uid="{00000000-0005-0000-0000-000070000000}"/>
    <cellStyle name="Hyperlink 16" xfId="65" xr:uid="{00000000-0005-0000-0000-000071000000}"/>
    <cellStyle name="Hyperlink 16 2" xfId="66" xr:uid="{00000000-0005-0000-0000-000072000000}"/>
    <cellStyle name="Hyperlink 16 3" xfId="67" xr:uid="{00000000-0005-0000-0000-000073000000}"/>
    <cellStyle name="Hyperlink 17" xfId="68" xr:uid="{00000000-0005-0000-0000-000074000000}"/>
    <cellStyle name="Hyperlink 17 2" xfId="69" xr:uid="{00000000-0005-0000-0000-000075000000}"/>
    <cellStyle name="Hyperlink 17 3" xfId="70" xr:uid="{00000000-0005-0000-0000-000076000000}"/>
    <cellStyle name="Hyperlink 18" xfId="71" xr:uid="{00000000-0005-0000-0000-000077000000}"/>
    <cellStyle name="Hyperlink 18 2" xfId="72" xr:uid="{00000000-0005-0000-0000-000078000000}"/>
    <cellStyle name="Hyperlink 18 3" xfId="73" xr:uid="{00000000-0005-0000-0000-000079000000}"/>
    <cellStyle name="Hyperlink 19" xfId="74" xr:uid="{00000000-0005-0000-0000-00007A000000}"/>
    <cellStyle name="Hyperlink 19 2" xfId="75" xr:uid="{00000000-0005-0000-0000-00007B000000}"/>
    <cellStyle name="Hyperlink 19 3" xfId="76" xr:uid="{00000000-0005-0000-0000-00007C000000}"/>
    <cellStyle name="Hyperlink 2" xfId="11" xr:uid="{00000000-0005-0000-0000-00007D000000}"/>
    <cellStyle name="Hyperlink 2 2" xfId="78" xr:uid="{00000000-0005-0000-0000-00007E000000}"/>
    <cellStyle name="Hyperlink 2 3" xfId="79" xr:uid="{00000000-0005-0000-0000-00007F000000}"/>
    <cellStyle name="Hyperlink 2 4" xfId="77" xr:uid="{00000000-0005-0000-0000-000080000000}"/>
    <cellStyle name="Hyperlink 20" xfId="80" xr:uid="{00000000-0005-0000-0000-000081000000}"/>
    <cellStyle name="Hyperlink 20 2" xfId="81" xr:uid="{00000000-0005-0000-0000-000082000000}"/>
    <cellStyle name="Hyperlink 20 3" xfId="82" xr:uid="{00000000-0005-0000-0000-000083000000}"/>
    <cellStyle name="Hyperlink 21" xfId="83" xr:uid="{00000000-0005-0000-0000-000084000000}"/>
    <cellStyle name="Hyperlink 21 2" xfId="84" xr:uid="{00000000-0005-0000-0000-000085000000}"/>
    <cellStyle name="Hyperlink 21 3" xfId="85" xr:uid="{00000000-0005-0000-0000-000086000000}"/>
    <cellStyle name="Hyperlink 22" xfId="86" xr:uid="{00000000-0005-0000-0000-000087000000}"/>
    <cellStyle name="Hyperlink 22 2" xfId="87" xr:uid="{00000000-0005-0000-0000-000088000000}"/>
    <cellStyle name="Hyperlink 22 3" xfId="88" xr:uid="{00000000-0005-0000-0000-000089000000}"/>
    <cellStyle name="Hyperlink 23" xfId="89" xr:uid="{00000000-0005-0000-0000-00008A000000}"/>
    <cellStyle name="Hyperlink 23 2" xfId="90" xr:uid="{00000000-0005-0000-0000-00008B000000}"/>
    <cellStyle name="Hyperlink 23 3" xfId="91" xr:uid="{00000000-0005-0000-0000-00008C000000}"/>
    <cellStyle name="Hyperlink 24" xfId="92" xr:uid="{00000000-0005-0000-0000-00008D000000}"/>
    <cellStyle name="Hyperlink 25" xfId="93" xr:uid="{00000000-0005-0000-0000-00008E000000}"/>
    <cellStyle name="Hyperlink 26" xfId="94" xr:uid="{00000000-0005-0000-0000-00008F000000}"/>
    <cellStyle name="Hyperlink 27" xfId="95" xr:uid="{00000000-0005-0000-0000-000090000000}"/>
    <cellStyle name="Hyperlink 28" xfId="96" xr:uid="{00000000-0005-0000-0000-000091000000}"/>
    <cellStyle name="Hyperlink 29" xfId="97" xr:uid="{00000000-0005-0000-0000-000092000000}"/>
    <cellStyle name="Hyperlink 3" xfId="98" xr:uid="{00000000-0005-0000-0000-000093000000}"/>
    <cellStyle name="Hyperlink 3 2" xfId="99" xr:uid="{00000000-0005-0000-0000-000094000000}"/>
    <cellStyle name="Hyperlink 3 3" xfId="100" xr:uid="{00000000-0005-0000-0000-000095000000}"/>
    <cellStyle name="Hyperlink 30" xfId="101" xr:uid="{00000000-0005-0000-0000-000096000000}"/>
    <cellStyle name="Hyperlink 31" xfId="102" xr:uid="{00000000-0005-0000-0000-000097000000}"/>
    <cellStyle name="Hyperlink 32" xfId="103" xr:uid="{00000000-0005-0000-0000-000098000000}"/>
    <cellStyle name="Hyperlink 33" xfId="104" xr:uid="{00000000-0005-0000-0000-000099000000}"/>
    <cellStyle name="Hyperlink 33 2" xfId="105" xr:uid="{00000000-0005-0000-0000-00009A000000}"/>
    <cellStyle name="Hyperlink 33 3" xfId="106" xr:uid="{00000000-0005-0000-0000-00009B000000}"/>
    <cellStyle name="Hyperlink 34" xfId="107" xr:uid="{00000000-0005-0000-0000-00009C000000}"/>
    <cellStyle name="Hyperlink 34 2" xfId="108" xr:uid="{00000000-0005-0000-0000-00009D000000}"/>
    <cellStyle name="Hyperlink 34 3" xfId="109" xr:uid="{00000000-0005-0000-0000-00009E000000}"/>
    <cellStyle name="Hyperlink 34 4" xfId="110" xr:uid="{00000000-0005-0000-0000-00009F000000}"/>
    <cellStyle name="Hyperlink 34 5" xfId="111" xr:uid="{00000000-0005-0000-0000-0000A0000000}"/>
    <cellStyle name="Hyperlink 4" xfId="112" xr:uid="{00000000-0005-0000-0000-0000A1000000}"/>
    <cellStyle name="Hyperlink 4 2" xfId="113" xr:uid="{00000000-0005-0000-0000-0000A2000000}"/>
    <cellStyle name="Hyperlink 4 3" xfId="114" xr:uid="{00000000-0005-0000-0000-0000A3000000}"/>
    <cellStyle name="Hyperlink 5" xfId="115" xr:uid="{00000000-0005-0000-0000-0000A4000000}"/>
    <cellStyle name="Hyperlink 5 2" xfId="116" xr:uid="{00000000-0005-0000-0000-0000A5000000}"/>
    <cellStyle name="Hyperlink 5 3" xfId="117" xr:uid="{00000000-0005-0000-0000-0000A6000000}"/>
    <cellStyle name="Hyperlink 6" xfId="118" xr:uid="{00000000-0005-0000-0000-0000A7000000}"/>
    <cellStyle name="Hyperlink 6 2" xfId="119" xr:uid="{00000000-0005-0000-0000-0000A8000000}"/>
    <cellStyle name="Hyperlink 6 3" xfId="120" xr:uid="{00000000-0005-0000-0000-0000A9000000}"/>
    <cellStyle name="Hyperlink 7" xfId="121" xr:uid="{00000000-0005-0000-0000-0000AA000000}"/>
    <cellStyle name="Hyperlink 7 2" xfId="122" xr:uid="{00000000-0005-0000-0000-0000AB000000}"/>
    <cellStyle name="Hyperlink 7 3" xfId="123" xr:uid="{00000000-0005-0000-0000-0000AC000000}"/>
    <cellStyle name="Hyperlink 8" xfId="124" xr:uid="{00000000-0005-0000-0000-0000AD000000}"/>
    <cellStyle name="Hyperlink 8 2" xfId="125" xr:uid="{00000000-0005-0000-0000-0000AE000000}"/>
    <cellStyle name="Hyperlink 8 3" xfId="126" xr:uid="{00000000-0005-0000-0000-0000AF000000}"/>
    <cellStyle name="Hyperlink 9" xfId="127" xr:uid="{00000000-0005-0000-0000-0000B0000000}"/>
    <cellStyle name="Hyperlink 9 2" xfId="128" xr:uid="{00000000-0005-0000-0000-0000B1000000}"/>
    <cellStyle name="Hyperlink 9 3" xfId="129" xr:uid="{00000000-0005-0000-0000-0000B2000000}"/>
    <cellStyle name="Input 2" xfId="130" xr:uid="{00000000-0005-0000-0000-0000B3000000}"/>
    <cellStyle name="Linked" xfId="131" xr:uid="{00000000-0005-0000-0000-0000B4000000}"/>
    <cellStyle name="Normal" xfId="0" builtinId="0"/>
    <cellStyle name="Normal 2" xfId="15" xr:uid="{00000000-0005-0000-0000-0000B6000000}"/>
    <cellStyle name="Normal 2 2" xfId="14" xr:uid="{00000000-0005-0000-0000-0000B7000000}"/>
    <cellStyle name="Normal 2 2 2" xfId="132" xr:uid="{00000000-0005-0000-0000-0000B8000000}"/>
    <cellStyle name="Normal 2 2 2 2" xfId="159" xr:uid="{00000000-0005-0000-0000-0000B9000000}"/>
    <cellStyle name="Normal 2 2 2 2 2" xfId="181" xr:uid="{00000000-0005-0000-0000-0000BA000000}"/>
    <cellStyle name="Normal 2 2 2 2 2 2" xfId="225" xr:uid="{00000000-0005-0000-0000-0000BB000000}"/>
    <cellStyle name="Normal 2 2 2 2 3" xfId="203" xr:uid="{00000000-0005-0000-0000-0000BC000000}"/>
    <cellStyle name="Normal 2 2 2 3" xfId="170" xr:uid="{00000000-0005-0000-0000-0000BD000000}"/>
    <cellStyle name="Normal 2 2 2 3 2" xfId="214" xr:uid="{00000000-0005-0000-0000-0000BE000000}"/>
    <cellStyle name="Normal 2 2 2 4" xfId="192" xr:uid="{00000000-0005-0000-0000-0000BF000000}"/>
    <cellStyle name="Normal 3" xfId="133" xr:uid="{00000000-0005-0000-0000-0000C0000000}"/>
    <cellStyle name="Normal 4" xfId="134" xr:uid="{00000000-0005-0000-0000-0000C1000000}"/>
    <cellStyle name="Normal 5" xfId="135" xr:uid="{00000000-0005-0000-0000-0000C2000000}"/>
    <cellStyle name="Normal 6" xfId="136" xr:uid="{00000000-0005-0000-0000-0000C3000000}"/>
    <cellStyle name="Normal 6 2" xfId="160" xr:uid="{00000000-0005-0000-0000-0000C4000000}"/>
    <cellStyle name="Normal 6 2 2" xfId="182" xr:uid="{00000000-0005-0000-0000-0000C5000000}"/>
    <cellStyle name="Normal 6 2 2 2" xfId="226" xr:uid="{00000000-0005-0000-0000-0000C6000000}"/>
    <cellStyle name="Normal 6 2 3" xfId="204" xr:uid="{00000000-0005-0000-0000-0000C7000000}"/>
    <cellStyle name="Normal 6 3" xfId="171" xr:uid="{00000000-0005-0000-0000-0000C8000000}"/>
    <cellStyle name="Normal 6 3 2" xfId="215" xr:uid="{00000000-0005-0000-0000-0000C9000000}"/>
    <cellStyle name="Normal 6 4" xfId="193" xr:uid="{00000000-0005-0000-0000-0000CA000000}"/>
    <cellStyle name="Normal 7" xfId="137" xr:uid="{00000000-0005-0000-0000-0000CB000000}"/>
    <cellStyle name="Normal 8" xfId="138" xr:uid="{00000000-0005-0000-0000-0000CC000000}"/>
    <cellStyle name="Normal Small" xfId="139" xr:uid="{00000000-0005-0000-0000-0000CD000000}"/>
    <cellStyle name="Parent row" xfId="3" xr:uid="{00000000-0005-0000-0000-0000CE000000}"/>
    <cellStyle name="Percent 2" xfId="140" xr:uid="{00000000-0005-0000-0000-0000CF000000}"/>
    <cellStyle name="Percent 2 2" xfId="141" xr:uid="{00000000-0005-0000-0000-0000D0000000}"/>
    <cellStyle name="Percent 2 3" xfId="142" xr:uid="{00000000-0005-0000-0000-0000D1000000}"/>
    <cellStyle name="Percent 2 4" xfId="161" xr:uid="{00000000-0005-0000-0000-0000D2000000}"/>
    <cellStyle name="Percent 2 4 2" xfId="183" xr:uid="{00000000-0005-0000-0000-0000D3000000}"/>
    <cellStyle name="Percent 2 4 2 2" xfId="227" xr:uid="{00000000-0005-0000-0000-0000D4000000}"/>
    <cellStyle name="Percent 2 4 3" xfId="205" xr:uid="{00000000-0005-0000-0000-0000D5000000}"/>
    <cellStyle name="Percent 2 5" xfId="172" xr:uid="{00000000-0005-0000-0000-0000D6000000}"/>
    <cellStyle name="Percent 2 5 2" xfId="216" xr:uid="{00000000-0005-0000-0000-0000D7000000}"/>
    <cellStyle name="Percent 2 6" xfId="194" xr:uid="{00000000-0005-0000-0000-0000D8000000}"/>
    <cellStyle name="Percent 3" xfId="143" xr:uid="{00000000-0005-0000-0000-0000D9000000}"/>
    <cellStyle name="Percent 3 2" xfId="144" xr:uid="{00000000-0005-0000-0000-0000DA000000}"/>
    <cellStyle name="Results" xfId="145" xr:uid="{00000000-0005-0000-0000-0000DB000000}"/>
    <cellStyle name="Section Break" xfId="12" xr:uid="{00000000-0005-0000-0000-0000DC000000}"/>
    <cellStyle name="Section Break: parent row" xfId="13" xr:uid="{00000000-0005-0000-0000-0000DD000000}"/>
    <cellStyle name="Table title" xfId="1" xr:uid="{00000000-0005-0000-0000-0000DE000000}"/>
    <cellStyle name="Title 2" xfId="146" xr:uid="{00000000-0005-0000-0000-0000DF000000}"/>
    <cellStyle name="Title 3" xfId="147" xr:uid="{00000000-0005-0000-0000-0000E0000000}"/>
    <cellStyle name="Unit" xfId="148" xr:uid="{00000000-0005-0000-0000-0000E1000000}"/>
    <cellStyle name="UserInput" xfId="149" xr:uid="{00000000-0005-0000-0000-0000E2000000}"/>
    <cellStyle name="Variable" xfId="150" xr:uid="{00000000-0005-0000-0000-0000E3000000}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 xr9:uid="{00000000-0011-0000-FFFF-FFFF00000000}">
      <tableStyleElement type="wholeTable" dxfId="3"/>
      <tableStyleElement type="headerRow" dxfId="2"/>
    </tableStyle>
    <tableStyle name="MySqlDefault" pivot="0" table="0" count="2" xr9:uid="{00000000-0011-0000-FFFF-FFFF01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ia.org/research-resources/solar-market-insight-report-2018-year-review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forecasts/aeo/assumptions/pdf/electricity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workbookViewId="0">
      <selection activeCell="D9" sqref="D9"/>
    </sheetView>
  </sheetViews>
  <sheetFormatPr defaultColWidth="9.140625" defaultRowHeight="1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186</v>
      </c>
      <c r="C5" s="8"/>
      <c r="D5" s="15" t="s">
        <v>190</v>
      </c>
      <c r="E5" s="8"/>
    </row>
    <row r="6" spans="1:5">
      <c r="B6" t="s">
        <v>1</v>
      </c>
      <c r="D6" s="19" t="s">
        <v>5</v>
      </c>
    </row>
    <row r="7" spans="1:5">
      <c r="B7" s="2" t="s">
        <v>187</v>
      </c>
      <c r="D7" s="2">
        <v>2018</v>
      </c>
    </row>
    <row r="8" spans="1:5">
      <c r="B8" t="s">
        <v>188</v>
      </c>
      <c r="D8" s="19" t="s">
        <v>191</v>
      </c>
    </row>
    <row r="9" spans="1:5">
      <c r="B9" s="3" t="s">
        <v>55</v>
      </c>
      <c r="D9" s="3" t="s">
        <v>193</v>
      </c>
    </row>
    <row r="10" spans="1:5">
      <c r="B10" t="s">
        <v>189</v>
      </c>
      <c r="D10" s="19" t="s">
        <v>192</v>
      </c>
    </row>
    <row r="11" spans="1:5">
      <c r="B11"/>
      <c r="D11" s="9"/>
    </row>
    <row r="12" spans="1:5">
      <c r="B12" s="6" t="s">
        <v>128</v>
      </c>
      <c r="D12" s="14" t="s">
        <v>238</v>
      </c>
    </row>
    <row r="13" spans="1:5">
      <c r="B13" s="23" t="s">
        <v>129</v>
      </c>
      <c r="D13" s="19" t="s">
        <v>178</v>
      </c>
    </row>
    <row r="14" spans="1:5">
      <c r="B14" s="2">
        <v>2009</v>
      </c>
      <c r="D14" s="2">
        <v>2019</v>
      </c>
    </row>
    <row r="15" spans="1:5">
      <c r="B15" s="2" t="s">
        <v>130</v>
      </c>
      <c r="D15" s="19" t="s">
        <v>226</v>
      </c>
    </row>
    <row r="16" spans="1:5">
      <c r="B16" s="3" t="s">
        <v>131</v>
      </c>
      <c r="D16" s="3" t="s">
        <v>227</v>
      </c>
    </row>
    <row r="17" spans="1:11">
      <c r="B17" s="23" t="s">
        <v>132</v>
      </c>
      <c r="D17" s="19" t="s">
        <v>179</v>
      </c>
    </row>
    <row r="18" spans="1:11">
      <c r="B18" s="23"/>
    </row>
    <row r="19" spans="1:11">
      <c r="A19" s="7"/>
      <c r="B19" s="6" t="s">
        <v>28</v>
      </c>
      <c r="D19" s="6" t="s">
        <v>205</v>
      </c>
    </row>
    <row r="20" spans="1:11">
      <c r="A20" s="7"/>
      <c r="B20" s="2" t="s">
        <v>68</v>
      </c>
      <c r="D20" s="23" t="s">
        <v>151</v>
      </c>
    </row>
    <row r="21" spans="1:11">
      <c r="A21" s="7"/>
      <c r="B21" s="2">
        <v>2015</v>
      </c>
      <c r="D21" s="2">
        <v>2018</v>
      </c>
    </row>
    <row r="22" spans="1:11">
      <c r="A22" s="7"/>
      <c r="B22" s="2" t="s">
        <v>69</v>
      </c>
      <c r="D22" s="23" t="s">
        <v>206</v>
      </c>
    </row>
    <row r="23" spans="1:11" ht="45">
      <c r="A23" s="7"/>
      <c r="B23" s="50" t="s">
        <v>70</v>
      </c>
      <c r="D23" s="3" t="s">
        <v>204</v>
      </c>
    </row>
    <row r="24" spans="1:11" ht="15.75" thickBot="1">
      <c r="A24" s="7"/>
      <c r="B24" s="2" t="s">
        <v>71</v>
      </c>
      <c r="D24" s="23"/>
    </row>
    <row r="25" spans="1:11" ht="15.7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60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72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152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61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180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76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62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194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 t="s">
        <v>196</v>
      </c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195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/>
      <c r="D40" s="7"/>
      <c r="E40" s="11"/>
      <c r="F40" s="11"/>
      <c r="G40" s="11"/>
      <c r="H40" s="11"/>
      <c r="I40" s="11"/>
      <c r="J40" s="11"/>
      <c r="K40" s="11"/>
    </row>
    <row r="41" spans="1:11">
      <c r="A41" s="10" t="s">
        <v>30</v>
      </c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31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/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73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63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64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65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 t="s">
        <v>66</v>
      </c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67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/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133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 t="s">
        <v>134</v>
      </c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135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/>
      <c r="D54" s="7"/>
      <c r="E54" s="11"/>
      <c r="F54" s="11"/>
      <c r="G54" s="11"/>
      <c r="H54" s="11"/>
      <c r="I54" s="11"/>
      <c r="J54" s="11"/>
      <c r="K54" s="11"/>
    </row>
    <row r="55" spans="1:11">
      <c r="A55" s="10" t="s">
        <v>235</v>
      </c>
      <c r="D55" s="7"/>
      <c r="E55" s="11"/>
      <c r="F55" s="11"/>
      <c r="G55" s="11"/>
      <c r="H55" s="11"/>
      <c r="I55" s="11"/>
      <c r="J55" s="11"/>
      <c r="K55" s="11"/>
    </row>
    <row r="56" spans="1:11">
      <c r="A56" s="10" t="s">
        <v>236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/>
      <c r="D57" s="7"/>
      <c r="E57" s="11"/>
      <c r="F57" s="11"/>
      <c r="G57" s="11"/>
      <c r="H57" s="11"/>
      <c r="I57" s="11"/>
      <c r="J57" s="11"/>
      <c r="K57" s="11"/>
    </row>
    <row r="58" spans="1:11">
      <c r="A58" s="7" t="s">
        <v>27</v>
      </c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58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0" t="s">
        <v>59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0" t="s">
        <v>75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19" t="s">
        <v>25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19">
        <v>0.98599999999999999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3" t="s">
        <v>138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18">
        <v>0.97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2" t="s">
        <v>74</v>
      </c>
    </row>
    <row r="67" spans="1:11">
      <c r="A67" s="25">
        <v>0.96899999999999997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2" t="s">
        <v>207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25">
        <v>9.5699999999999993E-2</v>
      </c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2" t="s">
        <v>225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25">
        <v>0.9143</v>
      </c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25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9" t="s">
        <v>24</v>
      </c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>
      <c r="A89" s="10"/>
      <c r="B89" s="9"/>
      <c r="D89" s="7"/>
      <c r="E89" s="11"/>
      <c r="F89" s="11"/>
      <c r="G89" s="11"/>
      <c r="H89" s="11"/>
      <c r="I89" s="11"/>
      <c r="J89" s="11"/>
      <c r="K89" s="11"/>
    </row>
    <row r="90" spans="1:11">
      <c r="A90" s="10"/>
      <c r="B90" s="9"/>
      <c r="D90" s="7"/>
      <c r="E90" s="11"/>
      <c r="F90" s="11"/>
      <c r="G90" s="11"/>
      <c r="H90" s="11"/>
      <c r="I90" s="11"/>
      <c r="J90" s="11"/>
      <c r="K90" s="11"/>
    </row>
    <row r="91" spans="1:11">
      <c r="A91" s="10"/>
      <c r="B91" s="9"/>
      <c r="D91" s="7"/>
      <c r="E91" s="11"/>
      <c r="F91" s="11"/>
      <c r="G91" s="11"/>
      <c r="H91" s="11"/>
      <c r="I91" s="11"/>
      <c r="J91" s="11"/>
      <c r="K91" s="11"/>
    </row>
    <row r="92" spans="1:11">
      <c r="A92" s="7"/>
      <c r="B92" s="9"/>
      <c r="D92" s="7"/>
      <c r="E92" s="11"/>
      <c r="F92" s="11"/>
      <c r="G92" s="11"/>
      <c r="H92" s="11"/>
      <c r="I92" s="11"/>
      <c r="J92" s="11"/>
      <c r="K92" s="11"/>
    </row>
  </sheetData>
  <hyperlinks>
    <hyperlink ref="B23" r:id="rId1" display="http://rredc.nrel.gov/solar/calculators/pvwatts/system.html" xr:uid="{00000000-0004-0000-0000-000000000000}"/>
    <hyperlink ref="B16" r:id="rId2" xr:uid="{00000000-0004-0000-0000-000001000000}"/>
    <hyperlink ref="D16" r:id="rId3" xr:uid="{00000000-0004-0000-0000-000002000000}"/>
    <hyperlink ref="B9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C9" sqref="C9:D9"/>
    </sheetView>
  </sheetViews>
  <sheetFormatPr defaultRowHeight="1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8">
      <c r="A1" s="1" t="s">
        <v>41</v>
      </c>
      <c r="B1" s="1" t="s">
        <v>77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181</v>
      </c>
      <c r="H1" s="1" t="s">
        <v>183</v>
      </c>
    </row>
    <row r="2" spans="1:8">
      <c r="A2" s="23" t="s">
        <v>123</v>
      </c>
      <c r="B2" s="23" t="s">
        <v>78</v>
      </c>
      <c r="C2" t="s">
        <v>45</v>
      </c>
      <c r="D2">
        <v>2917</v>
      </c>
      <c r="E2" s="16">
        <v>4.47</v>
      </c>
      <c r="F2" s="16">
        <v>31.16</v>
      </c>
      <c r="G2" t="s">
        <v>182</v>
      </c>
      <c r="H2">
        <v>2013</v>
      </c>
    </row>
    <row r="3" spans="1:8">
      <c r="A3" t="s">
        <v>123</v>
      </c>
      <c r="B3" s="23" t="s">
        <v>79</v>
      </c>
      <c r="C3" t="s">
        <v>184</v>
      </c>
      <c r="D3">
        <v>5089</v>
      </c>
      <c r="E3" s="16">
        <v>7.17</v>
      </c>
      <c r="F3" s="16">
        <v>70.7</v>
      </c>
      <c r="G3" t="s">
        <v>185</v>
      </c>
      <c r="H3">
        <v>2017</v>
      </c>
    </row>
    <row r="4" spans="1:8">
      <c r="A4" s="23" t="s">
        <v>33</v>
      </c>
      <c r="B4" s="23" t="s">
        <v>78</v>
      </c>
      <c r="C4" t="s">
        <v>47</v>
      </c>
      <c r="D4">
        <v>982</v>
      </c>
      <c r="E4" s="16">
        <v>3.54</v>
      </c>
      <c r="F4" s="16">
        <v>11.11</v>
      </c>
      <c r="G4" s="23" t="s">
        <v>185</v>
      </c>
      <c r="H4" s="23">
        <v>2017</v>
      </c>
    </row>
    <row r="5" spans="1:8">
      <c r="A5" t="s">
        <v>33</v>
      </c>
      <c r="B5" s="23" t="s">
        <v>79</v>
      </c>
      <c r="C5" t="s">
        <v>48</v>
      </c>
      <c r="D5">
        <v>1108</v>
      </c>
      <c r="E5" s="16">
        <v>2.02</v>
      </c>
      <c r="F5" s="16">
        <v>10.1</v>
      </c>
      <c r="G5" s="23" t="s">
        <v>185</v>
      </c>
      <c r="H5" s="23">
        <v>2017</v>
      </c>
    </row>
    <row r="6" spans="1:8">
      <c r="A6" s="23" t="s">
        <v>36</v>
      </c>
      <c r="B6" s="23" t="s">
        <v>78</v>
      </c>
      <c r="C6" t="s">
        <v>49</v>
      </c>
      <c r="D6">
        <v>1107</v>
      </c>
      <c r="E6" s="16">
        <v>3.54</v>
      </c>
      <c r="F6" s="16">
        <v>17.670000000000002</v>
      </c>
      <c r="G6" s="23" t="s">
        <v>185</v>
      </c>
      <c r="H6" s="23">
        <v>2017</v>
      </c>
    </row>
    <row r="7" spans="1:8">
      <c r="A7" s="23" t="s">
        <v>36</v>
      </c>
      <c r="B7" s="23" t="s">
        <v>79</v>
      </c>
      <c r="C7" t="s">
        <v>50</v>
      </c>
      <c r="D7">
        <v>680</v>
      </c>
      <c r="E7" s="16">
        <v>10.81</v>
      </c>
      <c r="F7" s="16">
        <v>6.87</v>
      </c>
      <c r="G7" s="23" t="s">
        <v>185</v>
      </c>
      <c r="H7" s="23">
        <v>2017</v>
      </c>
    </row>
    <row r="8" spans="1:8">
      <c r="A8" t="s">
        <v>16</v>
      </c>
      <c r="B8" s="23" t="s">
        <v>80</v>
      </c>
      <c r="C8" t="s">
        <v>51</v>
      </c>
      <c r="D8">
        <v>5946</v>
      </c>
      <c r="E8" s="16">
        <v>2.3199999999999998</v>
      </c>
      <c r="F8" s="16">
        <v>101.28</v>
      </c>
      <c r="G8" s="23" t="s">
        <v>185</v>
      </c>
      <c r="H8" s="23">
        <v>2017</v>
      </c>
    </row>
    <row r="9" spans="1:8">
      <c r="A9" t="s">
        <v>20</v>
      </c>
      <c r="B9" s="23" t="s">
        <v>80</v>
      </c>
      <c r="C9" t="s">
        <v>2</v>
      </c>
      <c r="D9">
        <v>3837</v>
      </c>
      <c r="E9" s="16">
        <v>5.58</v>
      </c>
      <c r="F9" s="16">
        <v>112.15</v>
      </c>
      <c r="G9" s="23" t="s">
        <v>185</v>
      </c>
      <c r="H9" s="23">
        <v>2017</v>
      </c>
    </row>
    <row r="10" spans="1:8">
      <c r="A10" t="s">
        <v>34</v>
      </c>
      <c r="B10" s="23" t="s">
        <v>80</v>
      </c>
      <c r="C10" t="s">
        <v>32</v>
      </c>
      <c r="D10">
        <v>2746</v>
      </c>
      <c r="E10" s="16">
        <v>0</v>
      </c>
      <c r="F10" s="16">
        <v>119.87</v>
      </c>
      <c r="G10" s="23" t="s">
        <v>185</v>
      </c>
      <c r="H10" s="23">
        <v>2017</v>
      </c>
    </row>
    <row r="11" spans="1:8">
      <c r="A11" t="s">
        <v>17</v>
      </c>
      <c r="B11" s="23" t="s">
        <v>80</v>
      </c>
      <c r="C11" t="s">
        <v>52</v>
      </c>
      <c r="D11">
        <v>2898</v>
      </c>
      <c r="E11" s="16">
        <v>1.33</v>
      </c>
      <c r="F11" s="16">
        <v>40.049999999999997</v>
      </c>
      <c r="G11" s="23" t="s">
        <v>185</v>
      </c>
      <c r="H11" s="23">
        <v>2017</v>
      </c>
    </row>
    <row r="12" spans="1:8">
      <c r="A12" t="s">
        <v>125</v>
      </c>
      <c r="B12" s="23" t="s">
        <v>80</v>
      </c>
      <c r="C12" t="s">
        <v>0</v>
      </c>
      <c r="D12" s="24">
        <v>1657</v>
      </c>
      <c r="E12" s="16">
        <v>0</v>
      </c>
      <c r="F12" s="16">
        <v>47.47</v>
      </c>
      <c r="G12" s="23" t="s">
        <v>185</v>
      </c>
      <c r="H12" s="23">
        <v>2017</v>
      </c>
    </row>
    <row r="13" spans="1:8">
      <c r="A13" t="s">
        <v>124</v>
      </c>
      <c r="B13" s="23" t="s">
        <v>80</v>
      </c>
      <c r="C13" t="s">
        <v>53</v>
      </c>
      <c r="D13" s="24">
        <v>6454</v>
      </c>
      <c r="E13" s="16">
        <v>0</v>
      </c>
      <c r="F13" s="16">
        <v>78.56</v>
      </c>
      <c r="G13" s="23" t="s">
        <v>185</v>
      </c>
      <c r="H13" s="23">
        <v>2017</v>
      </c>
    </row>
    <row r="14" spans="1:8">
      <c r="A14" t="s">
        <v>19</v>
      </c>
      <c r="B14" s="23" t="s">
        <v>80</v>
      </c>
      <c r="C14" t="s">
        <v>9</v>
      </c>
      <c r="D14">
        <v>4228</v>
      </c>
      <c r="E14" s="16">
        <v>0</v>
      </c>
      <c r="F14" s="16">
        <v>71.41</v>
      </c>
      <c r="G14" s="23" t="s">
        <v>185</v>
      </c>
      <c r="H14" s="23">
        <v>2017</v>
      </c>
    </row>
    <row r="15" spans="1:8">
      <c r="A15" t="s">
        <v>18</v>
      </c>
      <c r="B15" s="23" t="s">
        <v>80</v>
      </c>
      <c r="C15" t="s">
        <v>54</v>
      </c>
      <c r="D15" s="24">
        <v>2105</v>
      </c>
      <c r="E15" s="16">
        <v>0</v>
      </c>
      <c r="F15" s="16">
        <v>22.02</v>
      </c>
      <c r="G15" s="23" t="s">
        <v>185</v>
      </c>
      <c r="H15" s="23">
        <v>2017</v>
      </c>
    </row>
    <row r="16" spans="1:8" s="23" customFormat="1">
      <c r="A16" s="23" t="s">
        <v>230</v>
      </c>
      <c r="B16" s="23" t="s">
        <v>80</v>
      </c>
      <c r="C16" s="23" t="s">
        <v>234</v>
      </c>
      <c r="D16" s="52">
        <v>8742</v>
      </c>
      <c r="E16" s="16">
        <v>9.2899999999999991</v>
      </c>
      <c r="F16" s="16">
        <v>417.02</v>
      </c>
      <c r="G16" s="23" t="s">
        <v>185</v>
      </c>
      <c r="H16" s="23">
        <v>2017</v>
      </c>
    </row>
    <row r="18" spans="1:1">
      <c r="A18" t="s">
        <v>57</v>
      </c>
    </row>
    <row r="19" spans="1:1">
      <c r="A1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4" sqref="B4"/>
    </sheetView>
  </sheetViews>
  <sheetFormatPr defaultRowHeight="15"/>
  <cols>
    <col min="1" max="1" width="12.5703125" customWidth="1"/>
    <col min="2" max="2" width="18.42578125" customWidth="1"/>
  </cols>
  <sheetData>
    <row r="1" spans="1:2" s="19" customFormat="1">
      <c r="A1" s="1" t="s">
        <v>209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1610</v>
      </c>
    </row>
    <row r="4" spans="1:2" s="19" customFormat="1"/>
    <row r="5" spans="1:2">
      <c r="A5" s="1" t="s">
        <v>208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1.04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"/>
  <sheetViews>
    <sheetView workbookViewId="0"/>
  </sheetViews>
  <sheetFormatPr defaultRowHeight="15"/>
  <cols>
    <col min="1" max="2" width="20.7109375" style="47" customWidth="1"/>
    <col min="3" max="3" width="21" style="47" customWidth="1"/>
    <col min="4" max="8" width="20.7109375" style="47" customWidth="1"/>
  </cols>
  <sheetData>
    <row r="1" spans="1:8">
      <c r="A1" s="26"/>
      <c r="B1" s="26"/>
      <c r="C1" s="27" t="s">
        <v>82</v>
      </c>
      <c r="D1" s="27" t="s">
        <v>82</v>
      </c>
      <c r="E1" s="27" t="s">
        <v>82</v>
      </c>
      <c r="F1" s="27" t="s">
        <v>83</v>
      </c>
      <c r="G1" s="27" t="s">
        <v>83</v>
      </c>
      <c r="H1" s="27" t="s">
        <v>83</v>
      </c>
    </row>
    <row r="2" spans="1:8" ht="45">
      <c r="A2" s="28" t="s">
        <v>84</v>
      </c>
      <c r="B2" s="56" t="s">
        <v>85</v>
      </c>
      <c r="C2" s="58" t="s">
        <v>114</v>
      </c>
      <c r="D2" s="58" t="s">
        <v>115</v>
      </c>
      <c r="E2" s="58" t="s">
        <v>116</v>
      </c>
      <c r="F2" s="60" t="s">
        <v>117</v>
      </c>
      <c r="G2" s="60" t="s">
        <v>118</v>
      </c>
      <c r="H2" s="54" t="s">
        <v>86</v>
      </c>
    </row>
    <row r="3" spans="1:8" ht="30">
      <c r="A3" s="27" t="s">
        <v>87</v>
      </c>
      <c r="B3" s="57"/>
      <c r="C3" s="59"/>
      <c r="D3" s="59"/>
      <c r="E3" s="59"/>
      <c r="F3" s="61"/>
      <c r="G3" s="61"/>
      <c r="H3" s="55"/>
    </row>
    <row r="4" spans="1:8">
      <c r="A4" s="27" t="s">
        <v>88</v>
      </c>
      <c r="B4" s="29">
        <v>1000</v>
      </c>
      <c r="C4" s="26"/>
      <c r="D4" s="26"/>
      <c r="E4" s="26"/>
      <c r="F4" s="26"/>
      <c r="G4" s="26"/>
      <c r="H4" s="26"/>
    </row>
    <row r="5" spans="1:8" ht="28.5">
      <c r="A5" s="30" t="s">
        <v>89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>
      <c r="A6" s="32" t="s">
        <v>90</v>
      </c>
      <c r="B6" s="32" t="s">
        <v>91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119</v>
      </c>
      <c r="B7" s="35"/>
      <c r="C7" s="35"/>
      <c r="D7" s="35"/>
      <c r="E7" s="35"/>
      <c r="F7" s="35"/>
      <c r="G7" s="35"/>
      <c r="H7" s="35"/>
    </row>
    <row r="8" spans="1:8" ht="28.5">
      <c r="A8" s="36" t="s">
        <v>92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120</v>
      </c>
      <c r="B9" s="35"/>
      <c r="C9" s="35"/>
      <c r="D9" s="35"/>
      <c r="E9" s="35"/>
      <c r="F9" s="35"/>
      <c r="G9" s="35"/>
      <c r="H9" s="35"/>
    </row>
    <row r="10" spans="1:8">
      <c r="A10" s="36" t="s">
        <v>93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>
      <c r="A11" s="39" t="s">
        <v>121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94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>
      <c r="A13" s="36" t="s">
        <v>95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96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97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>
      <c r="A16" s="36" t="s">
        <v>98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>
      <c r="A17" s="36" t="s">
        <v>99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>
      <c r="A18" s="36" t="s">
        <v>100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101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102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>
      <c r="A21" s="36" t="s">
        <v>103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104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105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106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107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108</v>
      </c>
      <c r="B26" s="37">
        <v>1000</v>
      </c>
      <c r="C26" s="42" t="s">
        <v>109</v>
      </c>
      <c r="D26" s="42" t="s">
        <v>109</v>
      </c>
      <c r="E26" s="42" t="s">
        <v>109</v>
      </c>
      <c r="F26" s="41">
        <v>555</v>
      </c>
      <c r="G26" s="41">
        <v>272</v>
      </c>
      <c r="H26" s="41">
        <v>65</v>
      </c>
    </row>
    <row r="27" spans="1:8">
      <c r="A27" s="36" t="s">
        <v>110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111</v>
      </c>
      <c r="B28" s="43" t="s">
        <v>112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>
      <c r="A29" s="32" t="s">
        <v>113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>
      <c r="A30" s="43" t="s">
        <v>113</v>
      </c>
      <c r="B30" s="43" t="s">
        <v>112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136</v>
      </c>
    </row>
    <row r="33" spans="1:4">
      <c r="A33" s="48" t="s">
        <v>122</v>
      </c>
      <c r="B33" s="49">
        <f>D6/AVERAGE(C6,E6)</f>
        <v>1.1589422803525733</v>
      </c>
      <c r="C33" s="49"/>
      <c r="D33" s="49"/>
    </row>
    <row r="34" spans="1:4">
      <c r="A34" s="48" t="s">
        <v>111</v>
      </c>
      <c r="B34" s="49">
        <f>D28/(AVERAGE(C28,E28))</f>
        <v>1.6941176470588235</v>
      </c>
      <c r="C34" s="49"/>
      <c r="D34" s="49"/>
    </row>
    <row r="35" spans="1:4">
      <c r="A35" s="48" t="s">
        <v>93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2"/>
  <sheetViews>
    <sheetView topLeftCell="A22" workbookViewId="0">
      <selection activeCell="B54" sqref="B54"/>
    </sheetView>
  </sheetViews>
  <sheetFormatPr defaultRowHeight="15"/>
  <cols>
    <col min="1" max="1" width="21.85546875" bestFit="1" customWidth="1"/>
    <col min="2" max="2" width="27.140625" style="23" customWidth="1"/>
  </cols>
  <sheetData>
    <row r="1" spans="1:36" s="23" customFormat="1">
      <c r="C1" s="23" t="s">
        <v>153</v>
      </c>
    </row>
    <row r="2" spans="1:36" s="23" customFormat="1">
      <c r="A2" s="23" t="s">
        <v>155</v>
      </c>
      <c r="B2" s="23" t="s">
        <v>154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202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203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156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157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158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159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160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161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162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163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164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165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166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167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168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169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170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171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172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173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174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175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176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177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124</v>
      </c>
      <c r="B27" s="23" t="s">
        <v>141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124</v>
      </c>
      <c r="B28" s="23" t="s">
        <v>142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124</v>
      </c>
      <c r="B29" s="23" t="s">
        <v>143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124</v>
      </c>
      <c r="B30" s="23" t="s">
        <v>144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124</v>
      </c>
      <c r="B31" s="23" t="s">
        <v>145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124</v>
      </c>
      <c r="B32" s="23" t="s">
        <v>146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124</v>
      </c>
      <c r="B33" s="23" t="s">
        <v>147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124</v>
      </c>
      <c r="B34" s="23" t="s">
        <v>148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124</v>
      </c>
      <c r="B35" s="23" t="s">
        <v>149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124</v>
      </c>
      <c r="B36" s="23" t="s">
        <v>150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124</v>
      </c>
      <c r="B37" s="23" t="s">
        <v>197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124</v>
      </c>
      <c r="B38" s="23" t="s">
        <v>198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124</v>
      </c>
      <c r="B39" s="23" t="s">
        <v>199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124</v>
      </c>
      <c r="B40" s="23" t="s">
        <v>200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124</v>
      </c>
      <c r="B41" s="23" t="s">
        <v>201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23" customFormat="1"/>
    <row r="44" spans="1:36">
      <c r="A44" s="23"/>
      <c r="B44" s="23">
        <v>2017</v>
      </c>
      <c r="C44" s="47">
        <v>2018</v>
      </c>
      <c r="D44" s="47">
        <v>2019</v>
      </c>
      <c r="E44" s="47">
        <v>2020</v>
      </c>
      <c r="F44" s="47">
        <v>2021</v>
      </c>
      <c r="G44" s="47">
        <v>2022</v>
      </c>
      <c r="H44" s="47">
        <v>2023</v>
      </c>
      <c r="I44" s="47">
        <v>2024</v>
      </c>
      <c r="J44" s="47">
        <v>2025</v>
      </c>
      <c r="K44" s="47">
        <v>2026</v>
      </c>
      <c r="L44" s="47">
        <v>2027</v>
      </c>
      <c r="M44" s="47">
        <v>2028</v>
      </c>
      <c r="N44" s="47">
        <v>2029</v>
      </c>
      <c r="O44" s="47">
        <v>2030</v>
      </c>
      <c r="P44" s="47">
        <v>2031</v>
      </c>
      <c r="Q44" s="47">
        <v>2032</v>
      </c>
      <c r="R44" s="47">
        <v>2033</v>
      </c>
      <c r="S44" s="47">
        <v>2034</v>
      </c>
      <c r="T44" s="47">
        <v>2035</v>
      </c>
      <c r="U44" s="47">
        <v>2036</v>
      </c>
      <c r="V44" s="47">
        <v>2037</v>
      </c>
      <c r="W44" s="47">
        <v>2038</v>
      </c>
      <c r="X44" s="47">
        <v>2039</v>
      </c>
      <c r="Y44" s="47">
        <v>2040</v>
      </c>
      <c r="Z44" s="47">
        <v>2041</v>
      </c>
      <c r="AA44" s="47">
        <v>2042</v>
      </c>
      <c r="AB44" s="47">
        <v>2043</v>
      </c>
      <c r="AC44" s="47">
        <v>2044</v>
      </c>
      <c r="AD44" s="47">
        <v>2045</v>
      </c>
      <c r="AE44" s="47">
        <v>2046</v>
      </c>
      <c r="AF44" s="47">
        <v>2047</v>
      </c>
      <c r="AG44" s="47">
        <v>2048</v>
      </c>
      <c r="AH44" s="47">
        <v>2049</v>
      </c>
      <c r="AI44" s="47">
        <v>2050</v>
      </c>
    </row>
    <row r="45" spans="1:36">
      <c r="A45" s="23" t="s">
        <v>15</v>
      </c>
      <c r="B45" s="23">
        <f t="shared" ref="B45:AI45" si="0">AVERAGEIF($A$3:$A$41,$A45,C$3:C$41)/AVERAGEIF($A$3:$A$41,$A45,$C$3:$C$41)</f>
        <v>1</v>
      </c>
      <c r="C45" s="53">
        <f t="shared" si="0"/>
        <v>0.99361387867111461</v>
      </c>
      <c r="D45" s="53">
        <f t="shared" si="0"/>
        <v>0.98722775734222923</v>
      </c>
      <c r="E45" s="53">
        <f t="shared" si="0"/>
        <v>0.98084163601334406</v>
      </c>
      <c r="F45" s="53">
        <f t="shared" si="0"/>
        <v>0.97445551468445868</v>
      </c>
      <c r="G45" s="53">
        <f t="shared" si="0"/>
        <v>0.96806939335557329</v>
      </c>
      <c r="H45" s="53">
        <f t="shared" si="0"/>
        <v>0.96168327202668813</v>
      </c>
      <c r="I45" s="53">
        <f t="shared" si="0"/>
        <v>0.95575502423058456</v>
      </c>
      <c r="J45" s="53">
        <f t="shared" si="0"/>
        <v>0.95376418570365662</v>
      </c>
      <c r="K45" s="53">
        <f t="shared" si="0"/>
        <v>0.95139261374308337</v>
      </c>
      <c r="L45" s="53">
        <f t="shared" si="0"/>
        <v>0.94852007231170787</v>
      </c>
      <c r="M45" s="53">
        <f t="shared" si="0"/>
        <v>0.94466258129256508</v>
      </c>
      <c r="N45" s="53">
        <f t="shared" si="0"/>
        <v>0.93884950207788953</v>
      </c>
      <c r="O45" s="53">
        <f t="shared" si="0"/>
        <v>0.93456496865882499</v>
      </c>
      <c r="P45" s="53">
        <f t="shared" si="0"/>
        <v>0.93030546804985181</v>
      </c>
      <c r="Q45" s="53">
        <f t="shared" si="0"/>
        <v>0.92553728258489454</v>
      </c>
      <c r="R45" s="53">
        <f t="shared" si="0"/>
        <v>0.9211574901041627</v>
      </c>
      <c r="S45" s="53">
        <f t="shared" si="0"/>
        <v>0.91750184895739795</v>
      </c>
      <c r="T45" s="53">
        <f t="shared" si="0"/>
        <v>0.91269144432598337</v>
      </c>
      <c r="U45" s="53">
        <f t="shared" si="0"/>
        <v>0.90827188751369381</v>
      </c>
      <c r="V45" s="53">
        <f t="shared" si="0"/>
        <v>0.90363470423676473</v>
      </c>
      <c r="W45" s="53">
        <f t="shared" si="0"/>
        <v>0.89949479347065597</v>
      </c>
      <c r="X45" s="53">
        <f t="shared" si="0"/>
        <v>0.89487579418408858</v>
      </c>
      <c r="Y45" s="53">
        <f t="shared" si="0"/>
        <v>0.89037032831183294</v>
      </c>
      <c r="Z45" s="53">
        <f t="shared" si="0"/>
        <v>0.88678090500801032</v>
      </c>
      <c r="AA45" s="53">
        <f t="shared" si="0"/>
        <v>0.88119299673102536</v>
      </c>
      <c r="AB45" s="53">
        <f t="shared" si="0"/>
        <v>0.87806005588995828</v>
      </c>
      <c r="AC45" s="53">
        <f t="shared" si="0"/>
        <v>0.87266621682046297</v>
      </c>
      <c r="AD45" s="53">
        <f t="shared" si="0"/>
        <v>0.86933443748820738</v>
      </c>
      <c r="AE45" s="53">
        <f t="shared" si="0"/>
        <v>0.86428508846842067</v>
      </c>
      <c r="AF45" s="53">
        <f t="shared" si="0"/>
        <v>0.86004245813458313</v>
      </c>
      <c r="AG45" s="53">
        <f t="shared" si="0"/>
        <v>0.85578564375138377</v>
      </c>
      <c r="AH45" s="53">
        <f t="shared" si="0"/>
        <v>0.85145208680729234</v>
      </c>
      <c r="AI45" s="53">
        <f t="shared" si="0"/>
        <v>0.84058920735081899</v>
      </c>
    </row>
    <row r="46" spans="1:36">
      <c r="A46" s="23" t="s">
        <v>33</v>
      </c>
      <c r="B46" s="23">
        <f t="shared" ref="B46:AI46" si="1">AVERAGEIF($A$3:$A$41,$A46,C$3:C$41)/AVERAGEIF($A$3:$A$41,$A46,$C$3:$C$41)</f>
        <v>1</v>
      </c>
      <c r="C46" s="53">
        <f t="shared" si="1"/>
        <v>0.99289565601927343</v>
      </c>
      <c r="D46" s="53">
        <f t="shared" si="1"/>
        <v>0.98579131203854686</v>
      </c>
      <c r="E46" s="53">
        <f t="shared" si="1"/>
        <v>0.97868696805782029</v>
      </c>
      <c r="F46" s="53">
        <f t="shared" si="1"/>
        <v>0.9715826240770935</v>
      </c>
      <c r="G46" s="53">
        <f t="shared" si="1"/>
        <v>0.96447828009636694</v>
      </c>
      <c r="H46" s="53">
        <f t="shared" si="1"/>
        <v>0.94986509740833081</v>
      </c>
      <c r="I46" s="53">
        <f t="shared" si="1"/>
        <v>0.94251232636883664</v>
      </c>
      <c r="J46" s="53">
        <f t="shared" si="1"/>
        <v>0.93884141486351436</v>
      </c>
      <c r="K46" s="53">
        <f t="shared" si="1"/>
        <v>0.93509506075622273</v>
      </c>
      <c r="L46" s="53">
        <f t="shared" si="1"/>
        <v>0.93114650465823812</v>
      </c>
      <c r="M46" s="53">
        <f t="shared" si="1"/>
        <v>0.92776809620357947</v>
      </c>
      <c r="N46" s="53">
        <f t="shared" si="1"/>
        <v>0.92249404190792728</v>
      </c>
      <c r="O46" s="53">
        <f t="shared" si="1"/>
        <v>0.91950118460718078</v>
      </c>
      <c r="P46" s="53">
        <f t="shared" si="1"/>
        <v>0.91672504132656596</v>
      </c>
      <c r="Q46" s="53">
        <f t="shared" si="1"/>
        <v>0.91296593219468369</v>
      </c>
      <c r="R46" s="53">
        <f t="shared" si="1"/>
        <v>0.91001053553845368</v>
      </c>
      <c r="S46" s="53">
        <f t="shared" si="1"/>
        <v>0.90746245925091229</v>
      </c>
      <c r="T46" s="53">
        <f t="shared" si="1"/>
        <v>0.90416225095749481</v>
      </c>
      <c r="U46" s="53">
        <f t="shared" si="1"/>
        <v>0.90101490638278403</v>
      </c>
      <c r="V46" s="53">
        <f t="shared" si="1"/>
        <v>0.89813993680267379</v>
      </c>
      <c r="W46" s="53">
        <f t="shared" si="1"/>
        <v>0.89622430569802169</v>
      </c>
      <c r="X46" s="53">
        <f t="shared" si="1"/>
        <v>0.89383097648089882</v>
      </c>
      <c r="Y46" s="53">
        <f t="shared" si="1"/>
        <v>0.89155001563415048</v>
      </c>
      <c r="Z46" s="53">
        <f t="shared" si="1"/>
        <v>0.89018794212555774</v>
      </c>
      <c r="AA46" s="53">
        <f t="shared" si="1"/>
        <v>0.88681844175674396</v>
      </c>
      <c r="AB46" s="53">
        <f t="shared" si="1"/>
        <v>0.88591957066847604</v>
      </c>
      <c r="AC46" s="53">
        <f t="shared" si="1"/>
        <v>0.88274004210700152</v>
      </c>
      <c r="AD46" s="53">
        <f t="shared" si="1"/>
        <v>0.88164624452454521</v>
      </c>
      <c r="AE46" s="53">
        <f t="shared" si="1"/>
        <v>0.87881160892440002</v>
      </c>
      <c r="AF46" s="53">
        <f t="shared" si="1"/>
        <v>0.8767956515348625</v>
      </c>
      <c r="AG46" s="53">
        <f t="shared" si="1"/>
        <v>0.87476556369092151</v>
      </c>
      <c r="AH46" s="53">
        <f t="shared" si="1"/>
        <v>0.87265754775778004</v>
      </c>
      <c r="AI46" s="53">
        <f t="shared" si="1"/>
        <v>0.8638396791213292</v>
      </c>
    </row>
    <row r="47" spans="1:36">
      <c r="A47" s="23" t="s">
        <v>16</v>
      </c>
      <c r="B47" s="23">
        <f t="shared" ref="B47:AI47" si="2">AVERAGEIF($A$3:$A$41,$A47,C$3:C$41)/AVERAGEIF($A$3:$A$41,$A47,$C$3:$C$41)</f>
        <v>1</v>
      </c>
      <c r="C47" s="53">
        <f t="shared" si="2"/>
        <v>0.99299706323394998</v>
      </c>
      <c r="D47" s="53">
        <f t="shared" si="2"/>
        <v>0.98599412646789986</v>
      </c>
      <c r="E47" s="53">
        <f t="shared" si="2"/>
        <v>0.97899118970184984</v>
      </c>
      <c r="F47" s="53">
        <f t="shared" si="2"/>
        <v>0.97198825293579971</v>
      </c>
      <c r="G47" s="53">
        <f t="shared" si="2"/>
        <v>0.9649853161697497</v>
      </c>
      <c r="H47" s="53">
        <f t="shared" si="2"/>
        <v>0.95798237940369968</v>
      </c>
      <c r="I47" s="53">
        <f t="shared" si="2"/>
        <v>0.9514380268203958</v>
      </c>
      <c r="J47" s="53">
        <f t="shared" si="2"/>
        <v>0.94881266625648586</v>
      </c>
      <c r="K47" s="53">
        <f t="shared" si="2"/>
        <v>0.94580560403108094</v>
      </c>
      <c r="L47" s="53">
        <f t="shared" si="2"/>
        <v>0.94229815162946873</v>
      </c>
      <c r="M47" s="53">
        <f t="shared" si="2"/>
        <v>0.93781099262875101</v>
      </c>
      <c r="N47" s="53">
        <f t="shared" si="2"/>
        <v>0.93138304519871018</v>
      </c>
      <c r="O47" s="53">
        <f t="shared" si="2"/>
        <v>0.92647245464194639</v>
      </c>
      <c r="P47" s="53">
        <f t="shared" si="2"/>
        <v>0.92158644841071546</v>
      </c>
      <c r="Q47" s="53">
        <f t="shared" si="2"/>
        <v>0.91619674484378688</v>
      </c>
      <c r="R47" s="53">
        <f t="shared" si="2"/>
        <v>0.91119190892101065</v>
      </c>
      <c r="S47" s="53">
        <f t="shared" si="2"/>
        <v>0.90690285527447145</v>
      </c>
      <c r="T47" s="53">
        <f t="shared" si="2"/>
        <v>0.90147225680378973</v>
      </c>
      <c r="U47" s="53">
        <f t="shared" si="2"/>
        <v>0.89642801084429113</v>
      </c>
      <c r="V47" s="53">
        <f t="shared" si="2"/>
        <v>0.8911693178724599</v>
      </c>
      <c r="W47" s="53">
        <f t="shared" si="2"/>
        <v>0.88640131346991513</v>
      </c>
      <c r="X47" s="53">
        <f t="shared" si="2"/>
        <v>0.88116090900532995</v>
      </c>
      <c r="Y47" s="53">
        <f t="shared" si="2"/>
        <v>0.8760326516087541</v>
      </c>
      <c r="Z47" s="53">
        <f t="shared" si="2"/>
        <v>0.87180517776536537</v>
      </c>
      <c r="AA47" s="53">
        <f t="shared" si="2"/>
        <v>0.86561351805612274</v>
      </c>
      <c r="AB47" s="53">
        <f t="shared" si="2"/>
        <v>0.86183332046796002</v>
      </c>
      <c r="AC47" s="53">
        <f t="shared" si="2"/>
        <v>0.85583377022979312</v>
      </c>
      <c r="AD47" s="53">
        <f t="shared" si="2"/>
        <v>0.85185654996956839</v>
      </c>
      <c r="AE47" s="53">
        <f t="shared" si="2"/>
        <v>0.84619628302670113</v>
      </c>
      <c r="AF47" s="53">
        <f t="shared" si="2"/>
        <v>0.84132630906727179</v>
      </c>
      <c r="AG47" s="53">
        <f t="shared" si="2"/>
        <v>0.83644191361051734</v>
      </c>
      <c r="AH47" s="53">
        <f t="shared" si="2"/>
        <v>0.83148261136523338</v>
      </c>
      <c r="AI47" s="53">
        <f t="shared" si="2"/>
        <v>0.82015272478064627</v>
      </c>
    </row>
    <row r="48" spans="1:36">
      <c r="A48" s="23" t="s">
        <v>17</v>
      </c>
      <c r="B48" s="23">
        <f t="shared" ref="B48:AI48" si="3">AVERAGEIF($A$3:$A$41,$A48,C$3:C$41)/AVERAGEIF($A$3:$A$41,$A48,$C$3:$C$41)</f>
        <v>1</v>
      </c>
      <c r="C48" s="53">
        <f t="shared" si="3"/>
        <v>0.98500285010457367</v>
      </c>
      <c r="D48" s="53">
        <f t="shared" si="3"/>
        <v>0.97000570020914689</v>
      </c>
      <c r="E48" s="53">
        <f t="shared" si="3"/>
        <v>0.95500855031372067</v>
      </c>
      <c r="F48" s="53">
        <f t="shared" si="3"/>
        <v>0.94001140041829412</v>
      </c>
      <c r="G48" s="53">
        <f t="shared" si="3"/>
        <v>0.92501425052286779</v>
      </c>
      <c r="H48" s="53">
        <f t="shared" si="3"/>
        <v>0.91001710062744134</v>
      </c>
      <c r="I48" s="53">
        <f t="shared" si="3"/>
        <v>0.8950199507320149</v>
      </c>
      <c r="J48" s="53">
        <f t="shared" si="3"/>
        <v>0.88002280083658868</v>
      </c>
      <c r="K48" s="53">
        <f t="shared" si="3"/>
        <v>0.86502565094116191</v>
      </c>
      <c r="L48" s="53">
        <f t="shared" si="3"/>
        <v>0.85002850104573568</v>
      </c>
      <c r="M48" s="53">
        <f t="shared" si="3"/>
        <v>0.83503135115030913</v>
      </c>
      <c r="N48" s="53">
        <f t="shared" si="3"/>
        <v>0.82003420125488258</v>
      </c>
      <c r="O48" s="53">
        <f t="shared" si="3"/>
        <v>0.80503705135945625</v>
      </c>
      <c r="P48" s="53">
        <f t="shared" si="3"/>
        <v>0.79003990146402991</v>
      </c>
      <c r="Q48" s="53">
        <f t="shared" si="3"/>
        <v>0.77504275156860336</v>
      </c>
      <c r="R48" s="53">
        <f t="shared" si="3"/>
        <v>0.76004560167317692</v>
      </c>
      <c r="S48" s="53">
        <f t="shared" si="3"/>
        <v>0.74504845177775059</v>
      </c>
      <c r="T48" s="53">
        <f t="shared" si="3"/>
        <v>0.73005130188232414</v>
      </c>
      <c r="U48" s="53">
        <f t="shared" si="3"/>
        <v>0.72612221934481047</v>
      </c>
      <c r="V48" s="53">
        <f t="shared" si="3"/>
        <v>0.72219313680729702</v>
      </c>
      <c r="W48" s="53">
        <f t="shared" si="3"/>
        <v>0.71826405426978335</v>
      </c>
      <c r="X48" s="53">
        <f t="shared" si="3"/>
        <v>0.71433497173226956</v>
      </c>
      <c r="Y48" s="53">
        <f t="shared" si="3"/>
        <v>0.71040588919475611</v>
      </c>
      <c r="Z48" s="53">
        <f t="shared" si="3"/>
        <v>0.70647680665724244</v>
      </c>
      <c r="AA48" s="53">
        <f t="shared" si="3"/>
        <v>0.70254772411972888</v>
      </c>
      <c r="AB48" s="53">
        <f t="shared" si="3"/>
        <v>0.69861864158221521</v>
      </c>
      <c r="AC48" s="53">
        <f t="shared" si="3"/>
        <v>0.69468955904470164</v>
      </c>
      <c r="AD48" s="53">
        <f t="shared" si="3"/>
        <v>0.69076047650718797</v>
      </c>
      <c r="AE48" s="53">
        <f t="shared" si="3"/>
        <v>0.68683139396967441</v>
      </c>
      <c r="AF48" s="53">
        <f t="shared" si="3"/>
        <v>0.68290231143216074</v>
      </c>
      <c r="AG48" s="53">
        <f t="shared" si="3"/>
        <v>0.67897322889464717</v>
      </c>
      <c r="AH48" s="53">
        <f t="shared" si="3"/>
        <v>0.67504414635713361</v>
      </c>
      <c r="AI48" s="53">
        <f t="shared" si="3"/>
        <v>0.67111506381962005</v>
      </c>
    </row>
    <row r="49" spans="1:35" s="23" customFormat="1">
      <c r="A49" s="23" t="s">
        <v>19</v>
      </c>
      <c r="B49" s="23">
        <f t="shared" ref="B49:AI49" si="4">AVERAGEIF($A$3:$A$41,$A49,C$3:C$41)/AVERAGEIF($A$3:$A$41,$A49,$C$3:$C$41)</f>
        <v>1</v>
      </c>
      <c r="C49" s="53">
        <f t="shared" si="4"/>
        <v>0.95860906787400912</v>
      </c>
      <c r="D49" s="53">
        <f t="shared" si="4"/>
        <v>0.9172181357480178</v>
      </c>
      <c r="E49" s="53">
        <f t="shared" si="4"/>
        <v>0.87582720362202637</v>
      </c>
      <c r="F49" s="53">
        <f t="shared" si="4"/>
        <v>0.83443627149603539</v>
      </c>
      <c r="G49" s="53">
        <f t="shared" si="4"/>
        <v>0.78545475742407822</v>
      </c>
      <c r="H49" s="53">
        <f t="shared" si="4"/>
        <v>0.7434692512162604</v>
      </c>
      <c r="I49" s="53">
        <f t="shared" si="4"/>
        <v>0.69766611832130099</v>
      </c>
      <c r="J49" s="53">
        <f t="shared" si="4"/>
        <v>0.6518629854263418</v>
      </c>
      <c r="K49" s="53">
        <f t="shared" si="4"/>
        <v>0.60605985253138261</v>
      </c>
      <c r="L49" s="53">
        <f t="shared" si="4"/>
        <v>0.56025671963642332</v>
      </c>
      <c r="M49" s="53">
        <f t="shared" si="4"/>
        <v>0.51445358674146391</v>
      </c>
      <c r="N49" s="53">
        <f t="shared" si="4"/>
        <v>0.46865045384650467</v>
      </c>
      <c r="O49" s="53">
        <f t="shared" si="4"/>
        <v>0.42284732095154565</v>
      </c>
      <c r="P49" s="53">
        <f t="shared" si="4"/>
        <v>0.41864257896922646</v>
      </c>
      <c r="Q49" s="53">
        <f t="shared" si="4"/>
        <v>0.41443783698690723</v>
      </c>
      <c r="R49" s="53">
        <f t="shared" si="4"/>
        <v>0.4102330950045881</v>
      </c>
      <c r="S49" s="53">
        <f t="shared" si="4"/>
        <v>0.40602835302226875</v>
      </c>
      <c r="T49" s="53">
        <f t="shared" si="4"/>
        <v>0.40182361103994962</v>
      </c>
      <c r="U49" s="53">
        <f t="shared" si="4"/>
        <v>0.39761886905763044</v>
      </c>
      <c r="V49" s="53">
        <f t="shared" si="4"/>
        <v>0.39341412707531132</v>
      </c>
      <c r="W49" s="53">
        <f t="shared" si="4"/>
        <v>0.38920938509299208</v>
      </c>
      <c r="X49" s="53">
        <f t="shared" si="4"/>
        <v>0.38500464311067273</v>
      </c>
      <c r="Y49" s="53">
        <f t="shared" si="4"/>
        <v>0.38079990112835366</v>
      </c>
      <c r="Z49" s="53">
        <f t="shared" si="4"/>
        <v>0.37659515914603442</v>
      </c>
      <c r="AA49" s="53">
        <f t="shared" si="4"/>
        <v>0.37239041716371518</v>
      </c>
      <c r="AB49" s="53">
        <f t="shared" si="4"/>
        <v>0.36818567518139605</v>
      </c>
      <c r="AC49" s="53">
        <f t="shared" si="4"/>
        <v>0.36398093319907687</v>
      </c>
      <c r="AD49" s="53">
        <f t="shared" si="4"/>
        <v>0.35977619121675758</v>
      </c>
      <c r="AE49" s="53">
        <f t="shared" si="4"/>
        <v>0.35557144923443851</v>
      </c>
      <c r="AF49" s="53">
        <f t="shared" si="4"/>
        <v>0.35136670725211921</v>
      </c>
      <c r="AG49" s="53">
        <f t="shared" si="4"/>
        <v>0.34716196526979998</v>
      </c>
      <c r="AH49" s="53">
        <f t="shared" si="4"/>
        <v>0.34295722328748079</v>
      </c>
      <c r="AI49" s="53">
        <f t="shared" si="4"/>
        <v>0.33875248130516172</v>
      </c>
    </row>
    <row r="50" spans="1:35">
      <c r="A50" s="23" t="s">
        <v>20</v>
      </c>
      <c r="B50" s="23">
        <f t="shared" ref="B50:AI50" si="5">AVERAGEIF($A$3:$A$41,$A50,C$3:C$41)/AVERAGEIF($A$3:$A$41,$A50,$C$3:$C$41)</f>
        <v>1</v>
      </c>
      <c r="C50" s="53">
        <f t="shared" si="5"/>
        <v>0.99866706531590688</v>
      </c>
      <c r="D50" s="53">
        <f t="shared" si="5"/>
        <v>0.99733413063181364</v>
      </c>
      <c r="E50" s="53">
        <f t="shared" si="5"/>
        <v>0.99572315608622486</v>
      </c>
      <c r="F50" s="53">
        <f t="shared" si="5"/>
        <v>1.006844205541084</v>
      </c>
      <c r="G50" s="53">
        <f t="shared" si="5"/>
        <v>0.98099485229086403</v>
      </c>
      <c r="H50" s="53">
        <f t="shared" si="5"/>
        <v>0.97625494126096368</v>
      </c>
      <c r="I50" s="53">
        <f t="shared" si="5"/>
        <v>0.97195053751129057</v>
      </c>
      <c r="J50" s="53">
        <f t="shared" si="5"/>
        <v>0.97144423922539058</v>
      </c>
      <c r="K50" s="53">
        <f t="shared" si="5"/>
        <v>0.97057654461538967</v>
      </c>
      <c r="L50" s="53">
        <f t="shared" si="5"/>
        <v>0.96922954130968253</v>
      </c>
      <c r="M50" s="53">
        <f t="shared" si="5"/>
        <v>0.96693141521083936</v>
      </c>
      <c r="N50" s="53">
        <f t="shared" si="5"/>
        <v>0.96273418242138675</v>
      </c>
      <c r="O50" s="53">
        <f t="shared" si="5"/>
        <v>0.96002039877923506</v>
      </c>
      <c r="P50" s="53">
        <f t="shared" si="5"/>
        <v>0.95733114239508632</v>
      </c>
      <c r="Q50" s="53">
        <f t="shared" si="5"/>
        <v>0.95414543365001081</v>
      </c>
      <c r="R50" s="53">
        <f t="shared" si="5"/>
        <v>0.95133837301468205</v>
      </c>
      <c r="S50" s="53">
        <f t="shared" si="5"/>
        <v>0.94924070534335847</v>
      </c>
      <c r="T50" s="53">
        <f t="shared" si="5"/>
        <v>0.94601201531706791</v>
      </c>
      <c r="U50" s="53">
        <f t="shared" si="5"/>
        <v>0.94316603432158919</v>
      </c>
      <c r="V50" s="53">
        <f t="shared" si="5"/>
        <v>0.94010560974761981</v>
      </c>
      <c r="W50" s="53">
        <f t="shared" si="5"/>
        <v>0.93753491204764161</v>
      </c>
      <c r="X50" s="53">
        <f t="shared" si="5"/>
        <v>0.93449120532015484</v>
      </c>
      <c r="Y50" s="53">
        <f t="shared" si="5"/>
        <v>0.93155909929288172</v>
      </c>
      <c r="Z50" s="53">
        <f t="shared" si="5"/>
        <v>0.92953479789727411</v>
      </c>
      <c r="AA50" s="53">
        <f t="shared" si="5"/>
        <v>0.92552810506553873</v>
      </c>
      <c r="AB50" s="53">
        <f t="shared" si="5"/>
        <v>0.92395996075469167</v>
      </c>
      <c r="AC50" s="53">
        <f t="shared" si="5"/>
        <v>0.92014217392752329</v>
      </c>
      <c r="AD50" s="53">
        <f t="shared" si="5"/>
        <v>0.91837997796090998</v>
      </c>
      <c r="AE50" s="53">
        <f t="shared" si="5"/>
        <v>0.91490329989722352</v>
      </c>
      <c r="AF50" s="53">
        <f t="shared" si="5"/>
        <v>0.91223261342364481</v>
      </c>
      <c r="AG50" s="53">
        <f t="shared" si="5"/>
        <v>0.90954792862679801</v>
      </c>
      <c r="AH50" s="53">
        <f t="shared" si="5"/>
        <v>0.90678646139822128</v>
      </c>
      <c r="AI50" s="53">
        <f t="shared" si="5"/>
        <v>0.89744477508287412</v>
      </c>
    </row>
    <row r="51" spans="1:35">
      <c r="A51" s="23" t="s">
        <v>34</v>
      </c>
      <c r="B51" s="23">
        <f t="shared" ref="B51:AI51" si="6">AVERAGEIF($A$3:$A$41,$A51,C$3:C$41)/AVERAGEIF($A$3:$A$41,$A51,$C$3:$C$41)</f>
        <v>1</v>
      </c>
      <c r="C51" s="53">
        <f t="shared" si="6"/>
        <v>0.94356363905780227</v>
      </c>
      <c r="D51" s="53">
        <f t="shared" si="6"/>
        <v>0.88712727811560432</v>
      </c>
      <c r="E51" s="53">
        <f t="shared" si="6"/>
        <v>0.83069091717340648</v>
      </c>
      <c r="F51" s="53">
        <f t="shared" si="6"/>
        <v>0.77425455623120853</v>
      </c>
      <c r="G51" s="53">
        <f t="shared" si="6"/>
        <v>0.71781819528901092</v>
      </c>
      <c r="H51" s="53">
        <f t="shared" si="6"/>
        <v>0.66138183434681308</v>
      </c>
      <c r="I51" s="53">
        <f t="shared" si="6"/>
        <v>0.60494547340461513</v>
      </c>
      <c r="J51" s="53">
        <f t="shared" si="6"/>
        <v>0.54850911246241718</v>
      </c>
      <c r="K51" s="53">
        <f t="shared" si="6"/>
        <v>0.49207275152021934</v>
      </c>
      <c r="L51" s="53">
        <f t="shared" si="6"/>
        <v>0.4356363905780215</v>
      </c>
      <c r="M51" s="53">
        <f t="shared" si="6"/>
        <v>0.37920002963582355</v>
      </c>
      <c r="N51" s="53">
        <f t="shared" si="6"/>
        <v>0.3227636686936256</v>
      </c>
      <c r="O51" s="53">
        <f t="shared" si="6"/>
        <v>0.26632730775142766</v>
      </c>
      <c r="P51" s="53">
        <f t="shared" si="6"/>
        <v>0.26632730775142766</v>
      </c>
      <c r="Q51" s="53">
        <f t="shared" si="6"/>
        <v>0.26632730775142766</v>
      </c>
      <c r="R51" s="53">
        <f t="shared" si="6"/>
        <v>0.26632730775142766</v>
      </c>
      <c r="S51" s="53">
        <f t="shared" si="6"/>
        <v>0.26632730775142766</v>
      </c>
      <c r="T51" s="53">
        <f t="shared" si="6"/>
        <v>0.26632730775142766</v>
      </c>
      <c r="U51" s="53">
        <f t="shared" si="6"/>
        <v>0.26632730775142766</v>
      </c>
      <c r="V51" s="53">
        <f t="shared" si="6"/>
        <v>0.26632730775142766</v>
      </c>
      <c r="W51" s="53">
        <f t="shared" si="6"/>
        <v>0.26632730775142766</v>
      </c>
      <c r="X51" s="53">
        <f t="shared" si="6"/>
        <v>0.26632730775142766</v>
      </c>
      <c r="Y51" s="53">
        <f t="shared" si="6"/>
        <v>0.26632730775142766</v>
      </c>
      <c r="Z51" s="53">
        <f t="shared" si="6"/>
        <v>0.26632730775142766</v>
      </c>
      <c r="AA51" s="53">
        <f t="shared" si="6"/>
        <v>0.26632730775142766</v>
      </c>
      <c r="AB51" s="53">
        <f t="shared" si="6"/>
        <v>0.26632730775142766</v>
      </c>
      <c r="AC51" s="53">
        <f t="shared" si="6"/>
        <v>0.26632730775142766</v>
      </c>
      <c r="AD51" s="53">
        <f t="shared" si="6"/>
        <v>0.26632730775142766</v>
      </c>
      <c r="AE51" s="53">
        <f t="shared" si="6"/>
        <v>0.26632730775142766</v>
      </c>
      <c r="AF51" s="53">
        <f t="shared" si="6"/>
        <v>0.26632730775142766</v>
      </c>
      <c r="AG51" s="53">
        <f t="shared" si="6"/>
        <v>0.26632730775142766</v>
      </c>
      <c r="AH51" s="53">
        <f t="shared" si="6"/>
        <v>0.26632730775142766</v>
      </c>
      <c r="AI51" s="53">
        <f t="shared" si="6"/>
        <v>0.26632730775142766</v>
      </c>
    </row>
    <row r="52" spans="1:35">
      <c r="A52" s="23" t="s">
        <v>36</v>
      </c>
      <c r="B52" s="23">
        <f t="shared" ref="B52:AI52" si="7">AVERAGEIF($A$3:$A$41,$A52,C$3:C$41)/AVERAGEIF($A$3:$A$41,$A52,$C$3:$C$41)</f>
        <v>1</v>
      </c>
      <c r="C52" s="53">
        <f t="shared" si="7"/>
        <v>0.99843239210146095</v>
      </c>
      <c r="D52" s="53">
        <f t="shared" si="7"/>
        <v>0.99686478420292202</v>
      </c>
      <c r="E52" s="53">
        <f t="shared" si="7"/>
        <v>1.0040053609027875</v>
      </c>
      <c r="F52" s="53">
        <f t="shared" si="7"/>
        <v>0.99193556990426157</v>
      </c>
      <c r="G52" s="53">
        <f t="shared" si="7"/>
        <v>0.9845361127745369</v>
      </c>
      <c r="H52" s="53">
        <f t="shared" si="7"/>
        <v>0.96513000029532214</v>
      </c>
      <c r="I52" s="53">
        <f t="shared" si="7"/>
        <v>0.95615239080336878</v>
      </c>
      <c r="J52" s="53">
        <f t="shared" si="7"/>
        <v>0.95081929414849531</v>
      </c>
      <c r="K52" s="53">
        <f t="shared" si="7"/>
        <v>0.94554090553662251</v>
      </c>
      <c r="L52" s="53">
        <f t="shared" si="7"/>
        <v>0.94018622836390731</v>
      </c>
      <c r="M52" s="53">
        <f t="shared" si="7"/>
        <v>0.93610361308294421</v>
      </c>
      <c r="N52" s="53">
        <f t="shared" si="7"/>
        <v>0.9301202095613057</v>
      </c>
      <c r="O52" s="53">
        <f t="shared" si="7"/>
        <v>0.92679350840479824</v>
      </c>
      <c r="P52" s="53">
        <f t="shared" si="7"/>
        <v>0.92377255675392778</v>
      </c>
      <c r="Q52" s="53">
        <f t="shared" si="7"/>
        <v>0.91954176438353663</v>
      </c>
      <c r="R52" s="53">
        <f t="shared" si="7"/>
        <v>0.91631268610689376</v>
      </c>
      <c r="S52" s="53">
        <f t="shared" si="7"/>
        <v>0.91335255678838023</v>
      </c>
      <c r="T52" s="53">
        <f t="shared" si="7"/>
        <v>0.90981349690811741</v>
      </c>
      <c r="U52" s="53">
        <f t="shared" si="7"/>
        <v>0.90632156135940878</v>
      </c>
      <c r="V52" s="53">
        <f t="shared" si="7"/>
        <v>0.90332745851820551</v>
      </c>
      <c r="W52" s="53">
        <f t="shared" si="7"/>
        <v>0.90151131816352381</v>
      </c>
      <c r="X52" s="53">
        <f t="shared" si="7"/>
        <v>0.89921462636086258</v>
      </c>
      <c r="Y52" s="53">
        <f t="shared" si="7"/>
        <v>0.8970309918393935</v>
      </c>
      <c r="Z52" s="53">
        <f t="shared" si="7"/>
        <v>0.89577190748462732</v>
      </c>
      <c r="AA52" s="53">
        <f t="shared" si="7"/>
        <v>0.89249282681209385</v>
      </c>
      <c r="AB52" s="53">
        <f t="shared" si="7"/>
        <v>0.89170014422238164</v>
      </c>
      <c r="AC52" s="53">
        <f t="shared" si="7"/>
        <v>0.88861192948609069</v>
      </c>
      <c r="AD52" s="53">
        <f t="shared" si="7"/>
        <v>0.88762326109406264</v>
      </c>
      <c r="AE52" s="53">
        <f t="shared" si="7"/>
        <v>0.88488207370562277</v>
      </c>
      <c r="AF52" s="53">
        <f t="shared" si="7"/>
        <v>0.88296511544991185</v>
      </c>
      <c r="AG52" s="53">
        <f t="shared" si="7"/>
        <v>0.88103401189453079</v>
      </c>
      <c r="AH52" s="53">
        <f t="shared" si="7"/>
        <v>0.87902427775817016</v>
      </c>
      <c r="AI52" s="53">
        <f t="shared" si="7"/>
        <v>0.8702549929776886</v>
      </c>
    </row>
    <row r="53" spans="1:35">
      <c r="A53" s="23" t="s">
        <v>124</v>
      </c>
      <c r="B53" s="23">
        <f t="shared" ref="B53:AI53" si="8">(SUMPRODUCT(C$27:C$41,$B$58:$B$72)/SUM($B$58:$B$72))/(SUMPRODUCT($C$27:$C$41,$B$58:$B$72)/SUM($B$58:$B$72))</f>
        <v>1</v>
      </c>
      <c r="C53" s="23">
        <f t="shared" si="8"/>
        <v>0.76893251532958939</v>
      </c>
      <c r="D53" s="23">
        <f t="shared" si="8"/>
        <v>0.73908611988359929</v>
      </c>
      <c r="E53" s="23">
        <f t="shared" si="8"/>
        <v>0.71041231821700446</v>
      </c>
      <c r="F53" s="23">
        <f t="shared" si="8"/>
        <v>0.68286455787608569</v>
      </c>
      <c r="G53" s="23">
        <f t="shared" si="8"/>
        <v>0.65639815098108378</v>
      </c>
      <c r="H53" s="23">
        <f t="shared" si="8"/>
        <v>0.63097019899268714</v>
      </c>
      <c r="I53" s="23">
        <f t="shared" si="8"/>
        <v>0.60653952053245963</v>
      </c>
      <c r="J53" s="23">
        <f t="shared" si="8"/>
        <v>0.58306658213263374</v>
      </c>
      <c r="K53" s="23">
        <f t="shared" si="8"/>
        <v>0.56051343179579671</v>
      </c>
      <c r="L53" s="23">
        <f t="shared" si="8"/>
        <v>0.53884363524988776</v>
      </c>
      <c r="M53" s="23">
        <f t="shared" si="8"/>
        <v>0.51802221478861732</v>
      </c>
      <c r="N53" s="23">
        <f t="shared" si="8"/>
        <v>0.49801559059191758</v>
      </c>
      <c r="O53" s="23">
        <f t="shared" si="8"/>
        <v>0.47879152442534423</v>
      </c>
      <c r="P53" s="23">
        <f t="shared" si="8"/>
        <v>0.46031906562148955</v>
      </c>
      <c r="Q53" s="23">
        <f t="shared" si="8"/>
        <v>0.44256849925043112</v>
      </c>
      <c r="R53" s="23">
        <f t="shared" si="8"/>
        <v>0.4255112963900457</v>
      </c>
      <c r="S53" s="23">
        <f t="shared" si="8"/>
        <v>0.40912006641066312</v>
      </c>
      <c r="T53" s="23">
        <f t="shared" si="8"/>
        <v>0.39336851119203725</v>
      </c>
      <c r="U53" s="23">
        <f t="shared" si="8"/>
        <v>0.3782313811939606</v>
      </c>
      <c r="V53" s="23">
        <f t="shared" si="8"/>
        <v>0.36368443330506955</v>
      </c>
      <c r="W53" s="23">
        <f t="shared" si="8"/>
        <v>0.34970439039746898</v>
      </c>
      <c r="X53" s="23">
        <f t="shared" si="8"/>
        <v>0.33626890251776775</v>
      </c>
      <c r="Y53" s="23">
        <f t="shared" si="8"/>
        <v>0.3233565096479471</v>
      </c>
      <c r="Z53" s="23">
        <f t="shared" si="8"/>
        <v>0.31094660597221052</v>
      </c>
      <c r="AA53" s="23">
        <f t="shared" si="8"/>
        <v>0.29901940558856843</v>
      </c>
      <c r="AB53" s="23">
        <f t="shared" si="8"/>
        <v>0.2875559096064163</v>
      </c>
      <c r="AC53" s="23">
        <f t="shared" si="8"/>
        <v>0.27653787457376039</v>
      </c>
      <c r="AD53" s="23">
        <f t="shared" si="8"/>
        <v>0.26594778218005038</v>
      </c>
      <c r="AE53" s="23">
        <f t="shared" si="8"/>
        <v>0.25576881018278191</v>
      </c>
      <c r="AF53" s="23">
        <f t="shared" si="8"/>
        <v>0.24598480450814955</v>
      </c>
      <c r="AG53" s="23">
        <f t="shared" si="8"/>
        <v>0.23658025247806094</v>
      </c>
      <c r="AH53" s="23">
        <f t="shared" si="8"/>
        <v>0.22754025711776654</v>
      </c>
      <c r="AI53" s="23">
        <f t="shared" si="8"/>
        <v>0.21885051250023072</v>
      </c>
    </row>
    <row r="56" spans="1:35">
      <c r="A56" t="s">
        <v>237</v>
      </c>
    </row>
    <row r="58" spans="1:35">
      <c r="A58" t="s">
        <v>210</v>
      </c>
      <c r="B58" s="23">
        <v>12.491269722013936</v>
      </c>
    </row>
    <row r="59" spans="1:35">
      <c r="A59" t="s">
        <v>211</v>
      </c>
      <c r="B59" s="23">
        <v>24.982539444027871</v>
      </c>
    </row>
    <row r="60" spans="1:35">
      <c r="A60" t="s">
        <v>212</v>
      </c>
      <c r="B60" s="23">
        <v>49.965078888055743</v>
      </c>
    </row>
    <row r="61" spans="1:35">
      <c r="A61" t="s">
        <v>213</v>
      </c>
      <c r="B61" s="23">
        <v>320</v>
      </c>
    </row>
    <row r="62" spans="1:35">
      <c r="A62" t="s">
        <v>214</v>
      </c>
      <c r="B62" s="23">
        <v>320</v>
      </c>
    </row>
    <row r="63" spans="1:35">
      <c r="A63" t="s">
        <v>215</v>
      </c>
      <c r="B63" s="23">
        <v>12.491269722013936</v>
      </c>
    </row>
    <row r="64" spans="1:35">
      <c r="A64" t="s">
        <v>216</v>
      </c>
      <c r="B64" s="23">
        <v>24.982539444027871</v>
      </c>
    </row>
    <row r="65" spans="1:2">
      <c r="A65" t="s">
        <v>217</v>
      </c>
      <c r="B65" s="23">
        <v>49.965078888055743</v>
      </c>
    </row>
    <row r="66" spans="1:2">
      <c r="A66" t="s">
        <v>218</v>
      </c>
      <c r="B66" s="23">
        <v>99.930157776111486</v>
      </c>
    </row>
    <row r="67" spans="1:2">
      <c r="A67" t="s">
        <v>219</v>
      </c>
      <c r="B67" s="23">
        <v>199.86031555222297</v>
      </c>
    </row>
    <row r="68" spans="1:2">
      <c r="A68" t="s">
        <v>220</v>
      </c>
      <c r="B68" s="23">
        <v>199.86031555222297</v>
      </c>
    </row>
    <row r="69" spans="1:2">
      <c r="A69" t="s">
        <v>221</v>
      </c>
      <c r="B69" s="23">
        <v>199.86031555222297</v>
      </c>
    </row>
    <row r="70" spans="1:2">
      <c r="A70" t="s">
        <v>222</v>
      </c>
      <c r="B70" s="23">
        <v>199.86031555222297</v>
      </c>
    </row>
    <row r="71" spans="1:2">
      <c r="A71" t="s">
        <v>223</v>
      </c>
      <c r="B71" s="23">
        <v>199.86031555222297</v>
      </c>
    </row>
    <row r="72" spans="1:2">
      <c r="A72" t="s">
        <v>224</v>
      </c>
      <c r="B72" s="23">
        <v>143.39977640871999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D17"/>
  <sheetViews>
    <sheetView tabSelected="1" workbookViewId="0">
      <selection activeCell="B17" sqref="B17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21</v>
      </c>
      <c r="B1" s="17" t="s">
        <v>78</v>
      </c>
      <c r="C1" s="17" t="s">
        <v>81</v>
      </c>
      <c r="D1" s="17" t="s">
        <v>79</v>
      </c>
    </row>
    <row r="2" spans="1:4">
      <c r="A2" t="s">
        <v>123</v>
      </c>
      <c r="B2" s="4">
        <f>('EIA Costs'!F2*1000)*(About!$A$63)</f>
        <v>30723.759999999998</v>
      </c>
      <c r="C2">
        <v>0</v>
      </c>
      <c r="D2" s="4">
        <f>'EIA Costs'!F3*1000*About!$A$63</f>
        <v>69710.2</v>
      </c>
    </row>
    <row r="3" spans="1:4">
      <c r="A3" t="s">
        <v>33</v>
      </c>
      <c r="B3" s="4">
        <f>('EIA Costs'!F4*1000)*(About!$A$71)</f>
        <v>10157.873</v>
      </c>
      <c r="C3">
        <v>0</v>
      </c>
      <c r="D3" s="4">
        <f>'EIA Costs'!F5*1000*About!$A$71</f>
        <v>9234.43</v>
      </c>
    </row>
    <row r="4" spans="1:4">
      <c r="A4" t="s">
        <v>16</v>
      </c>
      <c r="B4" s="4">
        <f>('EIA Costs'!F8*1000)*(About!$A$71)</f>
        <v>92600.304000000004</v>
      </c>
      <c r="C4" s="23">
        <v>0</v>
      </c>
      <c r="D4" s="4">
        <f>'EIA Costs'!F8*1000*About!$A$71</f>
        <v>92600.304000000004</v>
      </c>
    </row>
    <row r="5" spans="1:4">
      <c r="A5" t="s">
        <v>17</v>
      </c>
      <c r="B5" s="4">
        <f>('EIA Costs'!F11*1000)*(About!$A$71)</f>
        <v>36617.714999999997</v>
      </c>
      <c r="C5" s="23">
        <v>0</v>
      </c>
      <c r="D5" s="4">
        <f>'EIA Costs'!F11*1000*About!$A$71</f>
        <v>36617.714999999997</v>
      </c>
    </row>
    <row r="6" spans="1:4">
      <c r="A6" t="s">
        <v>125</v>
      </c>
      <c r="B6" s="4">
        <f>('EIA Costs'!F12*1000)*(About!$A$71)</f>
        <v>43401.821000000004</v>
      </c>
      <c r="C6" s="23">
        <v>0</v>
      </c>
      <c r="D6" s="4">
        <f>'EIA Costs'!F12*1000*About!$A$71</f>
        <v>43401.821000000004</v>
      </c>
    </row>
    <row r="7" spans="1:4">
      <c r="A7" t="s">
        <v>18</v>
      </c>
      <c r="B7" s="4">
        <f>('EIA Costs'!F15*1000)*(About!$A$71)</f>
        <v>20132.885999999999</v>
      </c>
      <c r="C7" s="23">
        <v>0</v>
      </c>
      <c r="D7" s="4">
        <f>'EIA Costs'!F15*1000*About!$A$71</f>
        <v>20132.885999999999</v>
      </c>
    </row>
    <row r="8" spans="1:4">
      <c r="A8" t="s">
        <v>19</v>
      </c>
      <c r="B8" s="4">
        <f>('EIA Costs'!F14*1000)*(About!$A$71)</f>
        <v>65290.163</v>
      </c>
      <c r="C8" s="23">
        <v>0</v>
      </c>
      <c r="D8" s="4">
        <f>'EIA Costs'!F14*1000*About!$A$71</f>
        <v>65290.163</v>
      </c>
    </row>
    <row r="9" spans="1:4">
      <c r="A9" t="s">
        <v>20</v>
      </c>
      <c r="B9" s="4">
        <f>('EIA Costs'!F9*1000)*(About!$A$71)</f>
        <v>102538.745</v>
      </c>
      <c r="C9" s="23">
        <v>0</v>
      </c>
      <c r="D9" s="4">
        <f>'EIA Costs'!F9*1000*About!$A$71</f>
        <v>102538.745</v>
      </c>
    </row>
    <row r="10" spans="1:4">
      <c r="A10" t="s">
        <v>34</v>
      </c>
      <c r="B10" s="4">
        <f>('EIA Costs'!F10*1000)*(About!$A$71)</f>
        <v>109597.141</v>
      </c>
      <c r="C10" s="23">
        <v>0</v>
      </c>
      <c r="D10" s="4">
        <f>'EIA Costs'!F10*1000*About!$A$71</f>
        <v>109597.141</v>
      </c>
    </row>
    <row r="11" spans="1:4">
      <c r="A11" t="s">
        <v>35</v>
      </c>
      <c r="B11" s="4">
        <f>(B12)*(About!$A$71)</f>
        <v>14771.139138300001</v>
      </c>
      <c r="C11" s="23">
        <v>0</v>
      </c>
      <c r="D11" s="4">
        <f>D12</f>
        <v>6281.241</v>
      </c>
    </row>
    <row r="12" spans="1:4">
      <c r="A12" t="s">
        <v>36</v>
      </c>
      <c r="B12" s="4">
        <f>('EIA Costs'!F6*1000)*(About!$A$71)</f>
        <v>16155.681</v>
      </c>
      <c r="C12" s="23">
        <v>0</v>
      </c>
      <c r="D12" s="4">
        <f>'EIA Costs'!F7*1000*About!$A$71</f>
        <v>6281.241</v>
      </c>
    </row>
    <row r="13" spans="1:4">
      <c r="A13" t="s">
        <v>139</v>
      </c>
      <c r="B13" s="4">
        <f>(B2*'Coal Cost Multipliers'!$B$35)*(About!$A$71)</f>
        <v>28090.733767999998</v>
      </c>
      <c r="C13" s="4">
        <f>C2*'Coal Cost Multipliers'!$B$35</f>
        <v>0</v>
      </c>
      <c r="D13" s="4">
        <f>D2*'Coal Cost Multipliers'!$B$35</f>
        <v>69710.2</v>
      </c>
    </row>
    <row r="14" spans="1:4">
      <c r="A14" t="s">
        <v>124</v>
      </c>
      <c r="B14" s="4">
        <f>('EIA Costs'!F13*1000)*(About!$A$71)</f>
        <v>71827.407999999996</v>
      </c>
      <c r="C14">
        <v>0</v>
      </c>
      <c r="D14" s="4">
        <f>'EIA Costs'!F13*1000*About!$A$71</f>
        <v>71827.407999999996</v>
      </c>
    </row>
    <row r="15" spans="1:4">
      <c r="A15" t="s">
        <v>228</v>
      </c>
      <c r="B15" s="4">
        <f>B11</f>
        <v>14771.139138300001</v>
      </c>
      <c r="C15" s="23">
        <v>0</v>
      </c>
      <c r="D15" s="4">
        <f>D11</f>
        <v>6281.241</v>
      </c>
    </row>
    <row r="16" spans="1:4">
      <c r="A16" t="s">
        <v>229</v>
      </c>
      <c r="B16" s="4">
        <f>B11</f>
        <v>14771.139138300001</v>
      </c>
      <c r="C16" s="23">
        <v>0</v>
      </c>
      <c r="D16" s="4">
        <f>D11</f>
        <v>6281.241</v>
      </c>
    </row>
    <row r="17" spans="1:4">
      <c r="A17" t="s">
        <v>230</v>
      </c>
      <c r="B17" s="4">
        <f>('EIA Costs'!F16*1000)*(About!$A$71)</f>
        <v>381281.386</v>
      </c>
      <c r="C17" s="23">
        <v>0</v>
      </c>
      <c r="D17" s="4">
        <f>'EIA Costs'!F16*1000*About!$A$71</f>
        <v>381281.386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17"/>
  <sheetViews>
    <sheetView workbookViewId="0"/>
  </sheetViews>
  <sheetFormatPr defaultColWidth="9.140625" defaultRowHeight="15"/>
  <cols>
    <col min="1" max="1" width="33.28515625" style="23" customWidth="1"/>
    <col min="2" max="4" width="24" style="23" customWidth="1"/>
    <col min="5" max="16384" width="9.140625" style="23"/>
  </cols>
  <sheetData>
    <row r="1" spans="1:4">
      <c r="A1" s="5" t="s">
        <v>22</v>
      </c>
      <c r="B1" s="17" t="s">
        <v>78</v>
      </c>
      <c r="C1" s="17" t="s">
        <v>81</v>
      </c>
      <c r="D1" s="17" t="s">
        <v>79</v>
      </c>
    </row>
    <row r="2" spans="1:4">
      <c r="A2" s="23" t="s">
        <v>15</v>
      </c>
      <c r="B2" s="16">
        <f>'EIA Costs'!E2*About!$A$63</f>
        <v>4.4074200000000001</v>
      </c>
      <c r="C2" s="23">
        <v>0</v>
      </c>
      <c r="D2" s="16">
        <f>'EIA Costs'!E3*About!$A$63</f>
        <v>7.0696199999999996</v>
      </c>
    </row>
    <row r="3" spans="1:4">
      <c r="A3" s="23" t="s">
        <v>33</v>
      </c>
      <c r="B3" s="16">
        <f>'EIA Costs'!E4*About!$A$71</f>
        <v>3.2366220000000001</v>
      </c>
      <c r="C3" s="23">
        <v>0</v>
      </c>
      <c r="D3" s="16">
        <f>'EIA Costs'!E5*About!$A$71</f>
        <v>1.846886</v>
      </c>
    </row>
    <row r="4" spans="1:4">
      <c r="A4" s="23" t="s">
        <v>16</v>
      </c>
      <c r="B4" s="16">
        <f>'EIA Costs'!E8*About!$A$71</f>
        <v>2.1211759999999997</v>
      </c>
      <c r="C4" s="23">
        <v>0</v>
      </c>
      <c r="D4" s="16">
        <f>'EIA Costs'!E8*About!$A$71</f>
        <v>2.1211759999999997</v>
      </c>
    </row>
    <row r="5" spans="1:4">
      <c r="A5" s="23" t="s">
        <v>17</v>
      </c>
      <c r="B5" s="16">
        <f>'EIA Costs'!E11*About!$A$71</f>
        <v>1.216019</v>
      </c>
      <c r="C5" s="23">
        <v>0</v>
      </c>
      <c r="D5" s="16">
        <f>'EIA Costs'!E11*About!$A$71</f>
        <v>1.216019</v>
      </c>
    </row>
    <row r="6" spans="1:4">
      <c r="A6" s="23" t="s">
        <v>125</v>
      </c>
      <c r="B6" s="4">
        <f>'EIA Costs'!E12*About!$A$71</f>
        <v>0</v>
      </c>
      <c r="C6" s="23">
        <v>0</v>
      </c>
      <c r="D6" s="4">
        <f>'EIA Costs'!E12*About!$A$71</f>
        <v>0</v>
      </c>
    </row>
    <row r="7" spans="1:4">
      <c r="A7" s="23" t="s">
        <v>18</v>
      </c>
      <c r="B7" s="4">
        <f>'EIA Costs'!E15*About!$A$71</f>
        <v>0</v>
      </c>
      <c r="C7" s="23">
        <v>0</v>
      </c>
      <c r="D7" s="4">
        <f>'EIA Costs'!E15*About!$A$71</f>
        <v>0</v>
      </c>
    </row>
    <row r="8" spans="1:4">
      <c r="A8" s="23" t="s">
        <v>19</v>
      </c>
      <c r="B8" s="4">
        <f>'EIA Costs'!E14*About!$A$71</f>
        <v>0</v>
      </c>
      <c r="C8" s="23">
        <v>0</v>
      </c>
      <c r="D8" s="4">
        <f>'EIA Costs'!E14*About!$A$71</f>
        <v>0</v>
      </c>
    </row>
    <row r="9" spans="1:4">
      <c r="A9" s="23" t="s">
        <v>20</v>
      </c>
      <c r="B9" s="16">
        <f>'EIA Costs'!E9*About!$A$71</f>
        <v>5.1017939999999999</v>
      </c>
      <c r="C9" s="23">
        <v>0</v>
      </c>
      <c r="D9" s="16">
        <f>'EIA Costs'!E9*About!$A$71</f>
        <v>5.1017939999999999</v>
      </c>
    </row>
    <row r="10" spans="1:4">
      <c r="A10" s="23" t="s">
        <v>34</v>
      </c>
      <c r="B10" s="4">
        <f>'EIA Costs'!E10*About!$A$71</f>
        <v>0</v>
      </c>
      <c r="C10" s="23">
        <v>0</v>
      </c>
      <c r="D10" s="4">
        <f>'EIA Costs'!E10*About!$A$71</f>
        <v>0</v>
      </c>
    </row>
    <row r="11" spans="1:4">
      <c r="A11" s="23" t="s">
        <v>35</v>
      </c>
      <c r="B11" s="16">
        <f>B12</f>
        <v>3.2366220000000001</v>
      </c>
      <c r="C11" s="23">
        <v>0</v>
      </c>
      <c r="D11" s="16">
        <f>D12</f>
        <v>9.8835829999999998</v>
      </c>
    </row>
    <row r="12" spans="1:4">
      <c r="A12" s="23" t="s">
        <v>36</v>
      </c>
      <c r="B12" s="16">
        <f>'EIA Costs'!E6*About!$A$71</f>
        <v>3.2366220000000001</v>
      </c>
      <c r="C12" s="23">
        <v>0</v>
      </c>
      <c r="D12" s="16">
        <f>'EIA Costs'!E7*About!$A$71</f>
        <v>9.8835829999999998</v>
      </c>
    </row>
    <row r="13" spans="1:4">
      <c r="A13" s="23" t="s">
        <v>139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11.976768</v>
      </c>
    </row>
    <row r="14" spans="1:4">
      <c r="A14" s="23" t="s">
        <v>124</v>
      </c>
      <c r="B14" s="23">
        <f>'EIA Costs'!E13*1000</f>
        <v>0</v>
      </c>
      <c r="C14" s="23">
        <v>0</v>
      </c>
      <c r="D14" s="23">
        <f>'EIA Costs'!E13*1000*About!$A$71</f>
        <v>0</v>
      </c>
    </row>
    <row r="15" spans="1:4">
      <c r="A15" s="23" t="s">
        <v>228</v>
      </c>
      <c r="B15" s="16">
        <f>B11</f>
        <v>3.2366220000000001</v>
      </c>
      <c r="C15" s="23">
        <v>0</v>
      </c>
      <c r="D15" s="16">
        <f>D11</f>
        <v>9.8835829999999998</v>
      </c>
    </row>
    <row r="16" spans="1:4">
      <c r="A16" s="23" t="s">
        <v>229</v>
      </c>
      <c r="B16" s="16">
        <f>B11</f>
        <v>3.2366220000000001</v>
      </c>
      <c r="C16" s="23">
        <v>0</v>
      </c>
      <c r="D16" s="16">
        <f>D11</f>
        <v>9.8835829999999998</v>
      </c>
    </row>
    <row r="17" spans="1:4">
      <c r="A17" s="23" t="s">
        <v>230</v>
      </c>
      <c r="B17" s="16">
        <f>'EIA Costs'!E16*About!$A$71</f>
        <v>8.4938469999999988</v>
      </c>
      <c r="C17" s="23">
        <v>0</v>
      </c>
      <c r="D17" s="16">
        <f>'EIA Costs'!E16*About!$A$71</f>
        <v>8.4938469999999988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Q47"/>
  <sheetViews>
    <sheetView workbookViewId="0">
      <selection activeCell="F2" sqref="F2"/>
    </sheetView>
  </sheetViews>
  <sheetFormatPr defaultRowHeight="1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5" max="15" width="14.28515625" customWidth="1"/>
    <col min="16" max="16" width="18.85546875" customWidth="1"/>
    <col min="17" max="17" width="16.5703125" customWidth="1"/>
  </cols>
  <sheetData>
    <row r="1" spans="1:17" ht="30">
      <c r="A1" s="13" t="s">
        <v>3</v>
      </c>
      <c r="B1" s="13" t="s">
        <v>126</v>
      </c>
      <c r="C1" s="13" t="s">
        <v>37</v>
      </c>
      <c r="D1" s="13" t="s">
        <v>6</v>
      </c>
      <c r="E1" s="13" t="s">
        <v>7</v>
      </c>
      <c r="F1" s="13" t="s">
        <v>137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140</v>
      </c>
      <c r="N1" s="13" t="s">
        <v>127</v>
      </c>
      <c r="O1" s="51" t="s">
        <v>231</v>
      </c>
      <c r="P1" s="51" t="s">
        <v>232</v>
      </c>
      <c r="Q1" s="51" t="s">
        <v>233</v>
      </c>
    </row>
    <row r="2" spans="1:17">
      <c r="A2" s="1">
        <v>2018</v>
      </c>
      <c r="B2" s="4">
        <f>'EIA Costs'!$D$3*INDEX('Cost Improvement and Off Wnd'!$B$45:$AI$53,MATCH("coal",'Cost Improvement and Off Wnd'!$A$45:$A$53,0),MATCH('CCaMC-BCCpUC'!$A2,'Cost Improvement and Off Wnd'!$B$44:$AI$44,0))*1000*About!$A$63</f>
        <v>4985710.0141575001</v>
      </c>
      <c r="C2" s="4">
        <f>'EIA Costs'!$D$5*INDEX('Cost Improvement and Off Wnd'!$B$45:$AI$53,MATCH("natural gas nonpeaker",'Cost Improvement and Off Wnd'!$A$45:$A$53,0),MATCH('CCaMC-BCCpUC'!$A2,'Cost Improvement and Off Wnd'!$B$44:$AI$44,0))*1000*About!$A$71</f>
        <v>1005847.3841146511</v>
      </c>
      <c r="D2" s="4">
        <f>'EIA Costs'!$D$8*INDEX('Cost Improvement and Off Wnd'!$B$45:$AI$53,MATCH("nuclear",'Cost Improvement and Off Wnd'!$A$45:$A$53,0),MATCH('CCaMC-BCCpUC'!$A2,'Cost Improvement and Off Wnd'!$B$44:$AI$44,0))*1000*About!$A$71</f>
        <v>5398356.8398834039</v>
      </c>
      <c r="E2" s="4">
        <f>'EIA Costs'!$D$11*INDEX('Cost Improvement and Off Wnd'!$B$45:$AI$53,MATCH("hydro",'Cost Improvement and Off Wnd'!$A$45:$A$53,0),MATCH('CCaMC-BCCpUC'!$A2,'Cost Improvement and Off Wnd'!$B$44:$AI$44,0))*1000*About!$A$71</f>
        <v>2609904.3307550726</v>
      </c>
      <c r="F2" s="20">
        <f>'Start Year Wind and Solar'!B3*10^3*About!$A$71</f>
        <v>1472023</v>
      </c>
      <c r="G2" s="20">
        <f>'Start Year Wind and Solar'!B7*10^6/About!$C$25*About!$A$71</f>
        <v>1106952.27008149</v>
      </c>
      <c r="H2" s="4">
        <f>'EIA Costs'!$D$14*INDEX('Cost Improvement and Off Wnd'!$B$45:$AI$53,MATCH("solar thermal",'Cost Improvement and Off Wnd'!$A$45:$A$53,0),MATCH('CCaMC-BCCpUC'!$A2,'Cost Improvement and Off Wnd'!$B$44:$AI$44,0))*1000*About!$A$71</f>
        <v>3705657.1127614691</v>
      </c>
      <c r="I2" s="4">
        <f>'EIA Costs'!$D$9*INDEX('Cost Improvement and Off Wnd'!$B$45:$AI$53,MATCH("biomass",'Cost Improvement and Off Wnd'!$A$45:$A$53,0),MATCH('CCaMC-BCCpUC'!$A2,'Cost Improvement and Off Wnd'!$B$44:$AI$44,0))*1000*About!$A$71</f>
        <v>3503492.939728946</v>
      </c>
      <c r="J2" s="4">
        <f>'EIA Costs'!$D$10*INDEX('Cost Improvement and Off Wnd'!$B$45:$AI$53,MATCH("geothermal",'Cost Improvement and Off Wnd'!$A$45:$A$53,0),MATCH('CCaMC-BCCpUC'!$A2,'Cost Improvement and Off Wnd'!$B$44:$AI$44,0))*1000*About!$A$71</f>
        <v>2368974.8458332461</v>
      </c>
      <c r="K2" s="4">
        <f>'EIA Costs'!$D$7*INDEX('Cost Improvement and Off Wnd'!$B$45:$AI$53,MATCH("natural gas peaker",'Cost Improvement and Off Wnd'!$A$45:$A$53,0),MATCH('CCaMC-BCCpUC'!$A2,'Cost Improvement and Off Wnd'!$B$44:$AI$44,0))*1000*About!$A$71</f>
        <v>620749.38054688869</v>
      </c>
      <c r="L2" s="4">
        <f>'EIA Costs'!$D$7*INDEX('Cost Improvement and Off Wnd'!$B$45:$AI$53,MATCH("natural gas peaker",'Cost Improvement and Off Wnd'!$A$45:$A$53,0),MATCH('CCaMC-BCCpUC'!$A2,'Cost Improvement and Off Wnd'!$B$44:$AI$44,0))*1000*About!$A$71</f>
        <v>620749.38054688869</v>
      </c>
      <c r="M2" s="4">
        <f>B2*'Coal Cost Multipliers'!$B$33</f>
        <v>5778150.1329843532</v>
      </c>
      <c r="N2" s="20">
        <f>SUMPRODUCT('Cost Improvement and Off Wnd'!B58:B72,'Cost Improvement and Off Wnd'!C27:C41)/SUM('Cost Improvement and Off Wnd'!B58:B72)*INDEX('Cost Improvement and Off Wnd'!$B$45:$AI$53,MATCH("offshore wind",'Cost Improvement and Off Wnd'!$A$45:$A$53,0),MATCH(A2,'Cost Improvement and Off Wnd'!$B$44:$AI$44,0))*10^3*About!$A$71</f>
        <v>3030248.6826914768</v>
      </c>
      <c r="O2" s="4">
        <f>K2</f>
        <v>620749.38054688869</v>
      </c>
      <c r="P2" s="4">
        <f>K2</f>
        <v>620749.38054688869</v>
      </c>
      <c r="Q2" s="4">
        <f>'EIA Costs'!$D$16*INDEX('Cost Improvement and Off Wnd'!$B$45:$AI$53,MATCH("biomass",'Cost Improvement and Off Wnd'!$A$45:$A$53,0),MATCH('CCaMC-BCCpUC'!$A2,'Cost Improvement and Off Wnd'!$B$44:$AI$44,0))*1000*About!$A$71</f>
        <v>7982156.7055278737</v>
      </c>
    </row>
    <row r="3" spans="1:17">
      <c r="A3" s="1">
        <v>2019</v>
      </c>
      <c r="B3" s="4">
        <f>'EIA Costs'!$D$3*INDEX('Cost Improvement and Off Wnd'!$B$45:$AI$53,MATCH("coal",'Cost Improvement and Off Wnd'!$A$45:$A$53,0),MATCH('CCaMC-BCCpUC'!$A3,'Cost Improvement and Off Wnd'!$B$44:$AI$44,0))*1000*About!$A$63</f>
        <v>4953666.0283149993</v>
      </c>
      <c r="C3" s="4">
        <f>'EIA Costs'!$D$5*INDEX('Cost Improvement and Off Wnd'!$B$45:$AI$53,MATCH("natural gas nonpeaker",'Cost Improvement and Off Wnd'!$A$45:$A$53,0),MATCH('CCaMC-BCCpUC'!$A3,'Cost Improvement and Off Wnd'!$B$44:$AI$44,0))*1000*About!$A$71</f>
        <v>998650.36822930234</v>
      </c>
      <c r="D3" s="4">
        <f>'EIA Costs'!$D$8*INDEX('Cost Improvement and Off Wnd'!$B$45:$AI$53,MATCH("nuclear",'Cost Improvement and Off Wnd'!$A$45:$A$53,0),MATCH('CCaMC-BCCpUC'!$A3,'Cost Improvement and Off Wnd'!$B$44:$AI$44,0))*1000*About!$A$71</f>
        <v>5360285.879766807</v>
      </c>
      <c r="E3" s="4">
        <f>'EIA Costs'!$D$11*INDEX('Cost Improvement and Off Wnd'!$B$45:$AI$53,MATCH("hydro",'Cost Improvement and Off Wnd'!$A$45:$A$53,0),MATCH('CCaMC-BCCpUC'!$A3,'Cost Improvement and Off Wnd'!$B$44:$AI$44,0))*1000*About!$A$71</f>
        <v>2570167.261510144</v>
      </c>
      <c r="F3" s="4">
        <v>0</v>
      </c>
      <c r="G3" s="4">
        <v>0</v>
      </c>
      <c r="H3" s="4">
        <f>'EIA Costs'!$D$14*INDEX('Cost Improvement and Off Wnd'!$B$45:$AI$53,MATCH("solar thermal",'Cost Improvement and Off Wnd'!$A$45:$A$53,0),MATCH('CCaMC-BCCpUC'!$A3,'Cost Improvement and Off Wnd'!$B$44:$AI$44,0))*1000*About!$A$71</f>
        <v>3545653.8255229369</v>
      </c>
      <c r="I3" s="4">
        <f>'EIA Costs'!$D$9*INDEX('Cost Improvement and Off Wnd'!$B$45:$AI$53,MATCH("biomass",'Cost Improvement and Off Wnd'!$A$45:$A$53,0),MATCH('CCaMC-BCCpUC'!$A3,'Cost Improvement and Off Wnd'!$B$44:$AI$44,0))*1000*About!$A$71</f>
        <v>3498816.7794578923</v>
      </c>
      <c r="J3" s="4">
        <f>'EIA Costs'!$D$10*INDEX('Cost Improvement and Off Wnd'!$B$45:$AI$53,MATCH("geothermal",'Cost Improvement and Off Wnd'!$A$45:$A$53,0),MATCH('CCaMC-BCCpUC'!$A3,'Cost Improvement and Off Wnd'!$B$44:$AI$44,0))*1000*About!$A$71</f>
        <v>2227281.8916664924</v>
      </c>
      <c r="K3" s="4">
        <f>'EIA Costs'!$D$7*INDEX('Cost Improvement and Off Wnd'!$B$45:$AI$53,MATCH("natural gas peaker",'Cost Improvement and Off Wnd'!$A$45:$A$53,0),MATCH('CCaMC-BCCpUC'!$A3,'Cost Improvement and Off Wnd'!$B$44:$AI$44,0))*1000*About!$A$71</f>
        <v>619774.76109377737</v>
      </c>
      <c r="L3" s="4">
        <f>'EIA Costs'!$D$7*INDEX('Cost Improvement and Off Wnd'!$B$45:$AI$53,MATCH("natural gas peaker",'Cost Improvement and Off Wnd'!$A$45:$A$53,0),MATCH('CCaMC-BCCpUC'!$A3,'Cost Improvement and Off Wnd'!$B$44:$AI$44,0))*1000*About!$A$71</f>
        <v>619774.76109377737</v>
      </c>
      <c r="M3" s="4">
        <f>B3*'Coal Cost Multipliers'!$B$33</f>
        <v>5741013.0029604603</v>
      </c>
      <c r="N3" s="4">
        <v>0</v>
      </c>
      <c r="O3" s="4">
        <f t="shared" ref="O3:O34" si="0">K3</f>
        <v>619774.76109377737</v>
      </c>
      <c r="P3" s="4">
        <f t="shared" ref="P3:P34" si="1">K3</f>
        <v>619774.76109377737</v>
      </c>
      <c r="Q3" s="4">
        <f>'EIA Costs'!$D$16*INDEX('Cost Improvement and Off Wnd'!$B$45:$AI$53,MATCH("biomass",'Cost Improvement and Off Wnd'!$A$45:$A$53,0),MATCH('CCaMC-BCCpUC'!$A3,'Cost Improvement and Off Wnd'!$B$44:$AI$44,0))*1000*About!$A$71</f>
        <v>7971502.811055745</v>
      </c>
    </row>
    <row r="4" spans="1:17">
      <c r="A4" s="1">
        <v>2020</v>
      </c>
      <c r="B4" s="4">
        <f>'EIA Costs'!$D$3*INDEX('Cost Improvement and Off Wnd'!$B$45:$AI$53,MATCH("coal",'Cost Improvement and Off Wnd'!$A$45:$A$53,0),MATCH('CCaMC-BCCpUC'!$A4,'Cost Improvement and Off Wnd'!$B$44:$AI$44,0))*1000*About!$A$63</f>
        <v>4921622.0424725004</v>
      </c>
      <c r="C4" s="4">
        <f>'EIA Costs'!$D$5*INDEX('Cost Improvement and Off Wnd'!$B$45:$AI$53,MATCH("natural gas nonpeaker",'Cost Improvement and Off Wnd'!$A$45:$A$53,0),MATCH('CCaMC-BCCpUC'!$A4,'Cost Improvement and Off Wnd'!$B$44:$AI$44,0))*1000*About!$A$71</f>
        <v>991453.35234395368</v>
      </c>
      <c r="D4" s="4">
        <f>'EIA Costs'!$D$8*INDEX('Cost Improvement and Off Wnd'!$B$45:$AI$53,MATCH("nuclear",'Cost Improvement and Off Wnd'!$A$45:$A$53,0),MATCH('CCaMC-BCCpUC'!$A4,'Cost Improvement and Off Wnd'!$B$44:$AI$44,0))*1000*About!$A$71</f>
        <v>5322214.9196502101</v>
      </c>
      <c r="E4" s="4">
        <f>'EIA Costs'!$D$11*INDEX('Cost Improvement and Off Wnd'!$B$45:$AI$53,MATCH("hydro",'Cost Improvement and Off Wnd'!$A$45:$A$53,0),MATCH('CCaMC-BCCpUC'!$A4,'Cost Improvement and Off Wnd'!$B$44:$AI$44,0))*1000*About!$A$71</f>
        <v>2530430.1922652172</v>
      </c>
      <c r="F4" s="4">
        <v>0</v>
      </c>
      <c r="G4" s="4">
        <v>0</v>
      </c>
      <c r="H4" s="4">
        <f>'EIA Costs'!$D$14*INDEX('Cost Improvement and Off Wnd'!$B$45:$AI$53,MATCH("solar thermal",'Cost Improvement and Off Wnd'!$A$45:$A$53,0),MATCH('CCaMC-BCCpUC'!$A4,'Cost Improvement and Off Wnd'!$B$44:$AI$44,0))*1000*About!$A$71</f>
        <v>3385650.5382844037</v>
      </c>
      <c r="I4" s="4">
        <f>'EIA Costs'!$D$9*INDEX('Cost Improvement and Off Wnd'!$B$45:$AI$53,MATCH("biomass",'Cost Improvement and Off Wnd'!$A$45:$A$53,0),MATCH('CCaMC-BCCpUC'!$A4,'Cost Improvement and Off Wnd'!$B$44:$AI$44,0))*1000*About!$A$71</f>
        <v>3493165.2083361712</v>
      </c>
      <c r="J4" s="4">
        <f>'EIA Costs'!$D$10*INDEX('Cost Improvement and Off Wnd'!$B$45:$AI$53,MATCH("geothermal",'Cost Improvement and Off Wnd'!$A$45:$A$53,0),MATCH('CCaMC-BCCpUC'!$A4,'Cost Improvement and Off Wnd'!$B$44:$AI$44,0))*1000*About!$A$71</f>
        <v>2085588.9374997385</v>
      </c>
      <c r="K4" s="4">
        <f>'EIA Costs'!$D$7*INDEX('Cost Improvement and Off Wnd'!$B$45:$AI$53,MATCH("natural gas peaker",'Cost Improvement and Off Wnd'!$A$45:$A$53,0),MATCH('CCaMC-BCCpUC'!$A4,'Cost Improvement and Off Wnd'!$B$44:$AI$44,0))*1000*About!$A$71</f>
        <v>624214.22900192463</v>
      </c>
      <c r="L4" s="4">
        <f>'EIA Costs'!$D$7*INDEX('Cost Improvement and Off Wnd'!$B$45:$AI$53,MATCH("natural gas peaker",'Cost Improvement and Off Wnd'!$A$45:$A$53,0),MATCH('CCaMC-BCCpUC'!$A4,'Cost Improvement and Off Wnd'!$B$44:$AI$44,0))*1000*About!$A$71</f>
        <v>624214.22900192463</v>
      </c>
      <c r="M4" s="4">
        <f>B4*'Coal Cost Multipliers'!$B$33</f>
        <v>5703875.8729365692</v>
      </c>
      <c r="N4" s="4">
        <v>0</v>
      </c>
      <c r="O4" s="4">
        <f t="shared" si="0"/>
        <v>624214.22900192463</v>
      </c>
      <c r="P4" s="4">
        <f t="shared" si="1"/>
        <v>624214.22900192463</v>
      </c>
      <c r="Q4" s="4">
        <f>'EIA Costs'!$D$16*INDEX('Cost Improvement and Off Wnd'!$B$45:$AI$53,MATCH("biomass",'Cost Improvement and Off Wnd'!$A$45:$A$53,0),MATCH('CCaMC-BCCpUC'!$A4,'Cost Improvement and Off Wnd'!$B$44:$AI$44,0))*1000*About!$A$71</f>
        <v>7958626.596631432</v>
      </c>
    </row>
    <row r="5" spans="1:17">
      <c r="A5" s="1">
        <v>2021</v>
      </c>
      <c r="B5" s="4">
        <f>'EIA Costs'!$D$3*INDEX('Cost Improvement and Off Wnd'!$B$45:$AI$53,MATCH("coal",'Cost Improvement and Off Wnd'!$A$45:$A$53,0),MATCH('CCaMC-BCCpUC'!$A5,'Cost Improvement and Off Wnd'!$B$44:$AI$44,0))*1000*About!$A$63</f>
        <v>4889578.0566300014</v>
      </c>
      <c r="C5" s="4">
        <f>'EIA Costs'!$D$5*INDEX('Cost Improvement and Off Wnd'!$B$45:$AI$53,MATCH("natural gas nonpeaker",'Cost Improvement and Off Wnd'!$A$45:$A$53,0),MATCH('CCaMC-BCCpUC'!$A5,'Cost Improvement and Off Wnd'!$B$44:$AI$44,0))*1000*About!$A$71</f>
        <v>984256.3364586049</v>
      </c>
      <c r="D5" s="4">
        <f>'EIA Costs'!$D$8*INDEX('Cost Improvement and Off Wnd'!$B$45:$AI$53,MATCH("nuclear",'Cost Improvement and Off Wnd'!$A$45:$A$53,0),MATCH('CCaMC-BCCpUC'!$A5,'Cost Improvement and Off Wnd'!$B$44:$AI$44,0))*1000*About!$A$71</f>
        <v>5284143.9595336132</v>
      </c>
      <c r="E5" s="4">
        <f>'EIA Costs'!$D$11*INDEX('Cost Improvement and Off Wnd'!$B$45:$AI$53,MATCH("hydro",'Cost Improvement and Off Wnd'!$A$45:$A$53,0),MATCH('CCaMC-BCCpUC'!$A5,'Cost Improvement and Off Wnd'!$B$44:$AI$44,0))*1000*About!$A$71</f>
        <v>2490693.1230202895</v>
      </c>
      <c r="F5" s="4">
        <v>0</v>
      </c>
      <c r="G5" s="4">
        <v>0</v>
      </c>
      <c r="H5" s="4">
        <f>'EIA Costs'!$D$14*INDEX('Cost Improvement and Off Wnd'!$B$45:$AI$53,MATCH("solar thermal",'Cost Improvement and Off Wnd'!$A$45:$A$53,0),MATCH('CCaMC-BCCpUC'!$A5,'Cost Improvement and Off Wnd'!$B$44:$AI$44,0))*1000*About!$A$71</f>
        <v>3225647.2510458729</v>
      </c>
      <c r="I5" s="4">
        <f>'EIA Costs'!$D$9*INDEX('Cost Improvement and Off Wnd'!$B$45:$AI$53,MATCH("biomass",'Cost Improvement and Off Wnd'!$A$45:$A$53,0),MATCH('CCaMC-BCCpUC'!$A5,'Cost Improvement and Off Wnd'!$B$44:$AI$44,0))*1000*About!$A$71</f>
        <v>3532179.7303932798</v>
      </c>
      <c r="J5" s="4">
        <f>'EIA Costs'!$D$10*INDEX('Cost Improvement and Off Wnd'!$B$45:$AI$53,MATCH("geothermal",'Cost Improvement and Off Wnd'!$A$45:$A$53,0),MATCH('CCaMC-BCCpUC'!$A5,'Cost Improvement and Off Wnd'!$B$44:$AI$44,0))*1000*About!$A$71</f>
        <v>1943895.9833329846</v>
      </c>
      <c r="K5" s="4">
        <f>'EIA Costs'!$D$7*INDEX('Cost Improvement and Off Wnd'!$B$45:$AI$53,MATCH("natural gas peaker",'Cost Improvement and Off Wnd'!$A$45:$A$53,0),MATCH('CCaMC-BCCpUC'!$A5,'Cost Improvement and Off Wnd'!$B$44:$AI$44,0))*1000*About!$A$71</f>
        <v>616710.15026315721</v>
      </c>
      <c r="L5" s="4">
        <f>'EIA Costs'!$D$7*INDEX('Cost Improvement and Off Wnd'!$B$45:$AI$53,MATCH("natural gas peaker",'Cost Improvement and Off Wnd'!$A$45:$A$53,0),MATCH('CCaMC-BCCpUC'!$A5,'Cost Improvement and Off Wnd'!$B$44:$AI$44,0))*1000*About!$A$71</f>
        <v>616710.15026315721</v>
      </c>
      <c r="M5" s="4">
        <f>B5*'Coal Cost Multipliers'!$B$33</f>
        <v>5666738.742912678</v>
      </c>
      <c r="N5" s="4">
        <v>0</v>
      </c>
      <c r="O5" s="4">
        <f t="shared" si="0"/>
        <v>616710.15026315721</v>
      </c>
      <c r="P5" s="4">
        <f t="shared" si="1"/>
        <v>616710.15026315721</v>
      </c>
      <c r="Q5" s="4">
        <f>'EIA Costs'!$D$16*INDEX('Cost Improvement and Off Wnd'!$B$45:$AI$53,MATCH("biomass",'Cost Improvement and Off Wnd'!$A$45:$A$53,0),MATCH('CCaMC-BCCpUC'!$A5,'Cost Improvement and Off Wnd'!$B$44:$AI$44,0))*1000*About!$A$71</f>
        <v>8047515.0385973537</v>
      </c>
    </row>
    <row r="6" spans="1:17">
      <c r="A6" s="1">
        <v>2022</v>
      </c>
      <c r="B6" s="4">
        <f>'EIA Costs'!$D$3*INDEX('Cost Improvement and Off Wnd'!$B$45:$AI$53,MATCH("coal",'Cost Improvement and Off Wnd'!$A$45:$A$53,0),MATCH('CCaMC-BCCpUC'!$A6,'Cost Improvement and Off Wnd'!$B$44:$AI$44,0))*1000*About!$A$63</f>
        <v>4857534.0707875015</v>
      </c>
      <c r="C6" s="4">
        <f>'EIA Costs'!$D$5*INDEX('Cost Improvement and Off Wnd'!$B$45:$AI$53,MATCH("natural gas nonpeaker",'Cost Improvement and Off Wnd'!$A$45:$A$53,0),MATCH('CCaMC-BCCpUC'!$A6,'Cost Improvement and Off Wnd'!$B$44:$AI$44,0))*1000*About!$A$71</f>
        <v>977059.320573256</v>
      </c>
      <c r="D6" s="4">
        <f>'EIA Costs'!$D$8*INDEX('Cost Improvement and Off Wnd'!$B$45:$AI$53,MATCH("nuclear",'Cost Improvement and Off Wnd'!$A$45:$A$53,0),MATCH('CCaMC-BCCpUC'!$A6,'Cost Improvement and Off Wnd'!$B$44:$AI$44,0))*1000*About!$A$71</f>
        <v>5246072.9994170172</v>
      </c>
      <c r="E6" s="4">
        <f>'EIA Costs'!$D$11*INDEX('Cost Improvement and Off Wnd'!$B$45:$AI$53,MATCH("hydro",'Cost Improvement and Off Wnd'!$A$45:$A$53,0),MATCH('CCaMC-BCCpUC'!$A6,'Cost Improvement and Off Wnd'!$B$44:$AI$44,0))*1000*About!$A$71</f>
        <v>2450956.0537753622</v>
      </c>
      <c r="F6" s="4">
        <v>0</v>
      </c>
      <c r="G6" s="4">
        <v>0</v>
      </c>
      <c r="H6" s="4">
        <f>'EIA Costs'!$D$14*INDEX('Cost Improvement and Off Wnd'!$B$45:$AI$53,MATCH("solar thermal",'Cost Improvement and Off Wnd'!$A$45:$A$53,0),MATCH('CCaMC-BCCpUC'!$A6,'Cost Improvement and Off Wnd'!$B$44:$AI$44,0))*1000*About!$A$71</f>
        <v>3036301.351765865</v>
      </c>
      <c r="I6" s="4">
        <f>'EIA Costs'!$D$9*INDEX('Cost Improvement and Off Wnd'!$B$45:$AI$53,MATCH("biomass",'Cost Improvement and Off Wnd'!$A$45:$A$53,0),MATCH('CCaMC-BCCpUC'!$A6,'Cost Improvement and Off Wnd'!$B$44:$AI$44,0))*1000*About!$A$71</f>
        <v>3441495.8280658736</v>
      </c>
      <c r="J6" s="4">
        <f>'EIA Costs'!$D$10*INDEX('Cost Improvement and Off Wnd'!$B$45:$AI$53,MATCH("geothermal",'Cost Improvement and Off Wnd'!$A$45:$A$53,0),MATCH('CCaMC-BCCpUC'!$A6,'Cost Improvement and Off Wnd'!$B$44:$AI$44,0))*1000*About!$A$71</f>
        <v>1802203.0291662314</v>
      </c>
      <c r="K6" s="4">
        <f>'EIA Costs'!$D$7*INDEX('Cost Improvement and Off Wnd'!$B$45:$AI$53,MATCH("natural gas peaker",'Cost Improvement and Off Wnd'!$A$45:$A$53,0),MATCH('CCaMC-BCCpUC'!$A6,'Cost Improvement and Off Wnd'!$B$44:$AI$44,0))*1000*About!$A$71</f>
        <v>612109.73017863615</v>
      </c>
      <c r="L6" s="4">
        <f>'EIA Costs'!$D$7*INDEX('Cost Improvement and Off Wnd'!$B$45:$AI$53,MATCH("natural gas peaker",'Cost Improvement and Off Wnd'!$A$45:$A$53,0),MATCH('CCaMC-BCCpUC'!$A6,'Cost Improvement and Off Wnd'!$B$44:$AI$44,0))*1000*About!$A$71</f>
        <v>612109.73017863615</v>
      </c>
      <c r="M6" s="4">
        <f>B6*'Coal Cost Multipliers'!$B$33</f>
        <v>5629601.6128887851</v>
      </c>
      <c r="N6" s="4">
        <v>0</v>
      </c>
      <c r="O6" s="4">
        <f t="shared" si="0"/>
        <v>612109.73017863615</v>
      </c>
      <c r="P6" s="4">
        <f t="shared" si="1"/>
        <v>612109.73017863615</v>
      </c>
      <c r="Q6" s="4">
        <f>'EIA Costs'!$D$16*INDEX('Cost Improvement and Off Wnd'!$B$45:$AI$53,MATCH("biomass",'Cost Improvement and Off Wnd'!$A$45:$A$53,0),MATCH('CCaMC-BCCpUC'!$A6,'Cost Improvement and Off Wnd'!$B$44:$AI$44,0))*1000*About!$A$71</f>
        <v>7840906.0539358519</v>
      </c>
    </row>
    <row r="7" spans="1:17">
      <c r="A7" s="1">
        <v>2023</v>
      </c>
      <c r="B7" s="4">
        <f>'EIA Costs'!$D$3*INDEX('Cost Improvement and Off Wnd'!$B$45:$AI$53,MATCH("coal",'Cost Improvement and Off Wnd'!$A$45:$A$53,0),MATCH('CCaMC-BCCpUC'!$A7,'Cost Improvement and Off Wnd'!$B$44:$AI$44,0))*1000*About!$A$63</f>
        <v>4825490.0849450026</v>
      </c>
      <c r="C7" s="4">
        <f>'EIA Costs'!$D$5*INDEX('Cost Improvement and Off Wnd'!$B$45:$AI$53,MATCH("natural gas nonpeaker",'Cost Improvement and Off Wnd'!$A$45:$A$53,0),MATCH('CCaMC-BCCpUC'!$A7,'Cost Improvement and Off Wnd'!$B$44:$AI$44,0))*1000*About!$A$71</f>
        <v>962255.51768496411</v>
      </c>
      <c r="D7" s="4">
        <f>'EIA Costs'!$D$8*INDEX('Cost Improvement and Off Wnd'!$B$45:$AI$53,MATCH("nuclear",'Cost Improvement and Off Wnd'!$A$45:$A$53,0),MATCH('CCaMC-BCCpUC'!$A7,'Cost Improvement and Off Wnd'!$B$44:$AI$44,0))*1000*About!$A$71</f>
        <v>5208002.0393004203</v>
      </c>
      <c r="E7" s="4">
        <f>'EIA Costs'!$D$11*INDEX('Cost Improvement and Off Wnd'!$B$45:$AI$53,MATCH("hydro",'Cost Improvement and Off Wnd'!$A$45:$A$53,0),MATCH('CCaMC-BCCpUC'!$A7,'Cost Improvement and Off Wnd'!$B$44:$AI$44,0))*1000*About!$A$71</f>
        <v>2411218.9845304345</v>
      </c>
      <c r="F7" s="4">
        <v>0</v>
      </c>
      <c r="G7" s="4">
        <v>0</v>
      </c>
      <c r="H7" s="4">
        <f>'EIA Costs'!$D$14*INDEX('Cost Improvement and Off Wnd'!$B$45:$AI$53,MATCH("solar thermal",'Cost Improvement and Off Wnd'!$A$45:$A$53,0),MATCH('CCaMC-BCCpUC'!$A7,'Cost Improvement and Off Wnd'!$B$44:$AI$44,0))*1000*About!$A$71</f>
        <v>2873999.6430443497</v>
      </c>
      <c r="I7" s="4">
        <f>'EIA Costs'!$D$9*INDEX('Cost Improvement and Off Wnd'!$B$45:$AI$53,MATCH("biomass",'Cost Improvement and Off Wnd'!$A$45:$A$53,0),MATCH('CCaMC-BCCpUC'!$A7,'Cost Improvement and Off Wnd'!$B$44:$AI$44,0))*1000*About!$A$71</f>
        <v>3424867.4186540279</v>
      </c>
      <c r="J7" s="4">
        <f>'EIA Costs'!$D$10*INDEX('Cost Improvement and Off Wnd'!$B$45:$AI$53,MATCH("geothermal",'Cost Improvement and Off Wnd'!$A$45:$A$53,0),MATCH('CCaMC-BCCpUC'!$A7,'Cost Improvement and Off Wnd'!$B$44:$AI$44,0))*1000*About!$A$71</f>
        <v>1660510.0749994777</v>
      </c>
      <c r="K7" s="4">
        <f>'EIA Costs'!$D$7*INDEX('Cost Improvement and Off Wnd'!$B$45:$AI$53,MATCH("natural gas peaker",'Cost Improvement and Off Wnd'!$A$45:$A$53,0),MATCH('CCaMC-BCCpUC'!$A7,'Cost Improvement and Off Wnd'!$B$44:$AI$44,0))*1000*About!$A$71</f>
        <v>600044.48430360877</v>
      </c>
      <c r="L7" s="4">
        <f>'EIA Costs'!$D$7*INDEX('Cost Improvement and Off Wnd'!$B$45:$AI$53,MATCH("natural gas peaker",'Cost Improvement and Off Wnd'!$A$45:$A$53,0),MATCH('CCaMC-BCCpUC'!$A7,'Cost Improvement and Off Wnd'!$B$44:$AI$44,0))*1000*About!$A$71</f>
        <v>600044.48430360877</v>
      </c>
      <c r="M7" s="4">
        <f>B7*'Coal Cost Multipliers'!$B$33</f>
        <v>5592464.482864894</v>
      </c>
      <c r="N7" s="4">
        <v>0</v>
      </c>
      <c r="O7" s="4">
        <f t="shared" si="0"/>
        <v>600044.48430360877</v>
      </c>
      <c r="P7" s="4">
        <f t="shared" si="1"/>
        <v>600044.48430360877</v>
      </c>
      <c r="Q7" s="4">
        <f>'EIA Costs'!$D$16*INDEX('Cost Improvement and Off Wnd'!$B$45:$AI$53,MATCH("biomass",'Cost Improvement and Off Wnd'!$A$45:$A$53,0),MATCH('CCaMC-BCCpUC'!$A7,'Cost Improvement and Off Wnd'!$B$44:$AI$44,0))*1000*About!$A$71</f>
        <v>7803020.8428130085</v>
      </c>
    </row>
    <row r="8" spans="1:17">
      <c r="A8" s="1">
        <v>2024</v>
      </c>
      <c r="B8" s="4">
        <f>'EIA Costs'!$D$3*INDEX('Cost Improvement and Off Wnd'!$B$45:$AI$53,MATCH("coal",'Cost Improvement and Off Wnd'!$A$45:$A$53,0),MATCH('CCaMC-BCCpUC'!$A8,'Cost Improvement and Off Wnd'!$B$44:$AI$44,0))*1000*About!$A$63</f>
        <v>4795743.5958531126</v>
      </c>
      <c r="C8" s="4">
        <f>'EIA Costs'!$D$5*INDEX('Cost Improvement and Off Wnd'!$B$45:$AI$53,MATCH("natural gas nonpeaker",'Cost Improvement and Off Wnd'!$A$45:$A$53,0),MATCH('CCaMC-BCCpUC'!$A8,'Cost Improvement and Off Wnd'!$B$44:$AI$44,0))*1000*About!$A$71</f>
        <v>954806.8341589222</v>
      </c>
      <c r="D8" s="4">
        <f>'EIA Costs'!$D$8*INDEX('Cost Improvement and Off Wnd'!$B$45:$AI$53,MATCH("nuclear",'Cost Improvement and Off Wnd'!$A$45:$A$53,0),MATCH('CCaMC-BCCpUC'!$A8,'Cost Improvement and Off Wnd'!$B$44:$AI$44,0))*1000*About!$A$71</f>
        <v>5172424.1389835458</v>
      </c>
      <c r="E8" s="4">
        <f>'EIA Costs'!$D$11*INDEX('Cost Improvement and Off Wnd'!$B$45:$AI$53,MATCH("hydro",'Cost Improvement and Off Wnd'!$A$45:$A$53,0),MATCH('CCaMC-BCCpUC'!$A8,'Cost Improvement and Off Wnd'!$B$44:$AI$44,0))*1000*About!$A$71</f>
        <v>2371481.9152855068</v>
      </c>
      <c r="F8" s="4">
        <v>0</v>
      </c>
      <c r="G8" s="4">
        <v>0</v>
      </c>
      <c r="H8" s="4">
        <f>'EIA Costs'!$D$14*INDEX('Cost Improvement and Off Wnd'!$B$45:$AI$53,MATCH("solar thermal",'Cost Improvement and Off Wnd'!$A$45:$A$53,0),MATCH('CCaMC-BCCpUC'!$A8,'Cost Improvement and Off Wnd'!$B$44:$AI$44,0))*1000*About!$A$71</f>
        <v>2696940.2860163674</v>
      </c>
      <c r="I8" s="4">
        <f>'EIA Costs'!$D$9*INDEX('Cost Improvement and Off Wnd'!$B$45:$AI$53,MATCH("biomass",'Cost Improvement and Off Wnd'!$A$45:$A$53,0),MATCH('CCaMC-BCCpUC'!$A8,'Cost Improvement and Off Wnd'!$B$44:$AI$44,0))*1000*About!$A$71</f>
        <v>3409766.8424255005</v>
      </c>
      <c r="J8" s="4">
        <f>'EIA Costs'!$D$10*INDEX('Cost Improvement and Off Wnd'!$B$45:$AI$53,MATCH("geothermal",'Cost Improvement and Off Wnd'!$A$45:$A$53,0),MATCH('CCaMC-BCCpUC'!$A8,'Cost Improvement and Off Wnd'!$B$44:$AI$44,0))*1000*About!$A$71</f>
        <v>1518817.1208327236</v>
      </c>
      <c r="K8" s="4">
        <f>'EIA Costs'!$D$7*INDEX('Cost Improvement and Off Wnd'!$B$45:$AI$53,MATCH("natural gas peaker",'Cost Improvement and Off Wnd'!$A$45:$A$53,0),MATCH('CCaMC-BCCpUC'!$A8,'Cost Improvement and Off Wnd'!$B$44:$AI$44,0))*1000*About!$A$71</f>
        <v>594462.88901983364</v>
      </c>
      <c r="L8" s="4">
        <f>'EIA Costs'!$D$7*INDEX('Cost Improvement and Off Wnd'!$B$45:$AI$53,MATCH("natural gas peaker",'Cost Improvement and Off Wnd'!$A$45:$A$53,0),MATCH('CCaMC-BCCpUC'!$A8,'Cost Improvement and Off Wnd'!$B$44:$AI$44,0))*1000*About!$A$71</f>
        <v>594462.88901983364</v>
      </c>
      <c r="M8" s="4">
        <f>B8*'Coal Cost Multipliers'!$B$33</f>
        <v>5557990.0189642562</v>
      </c>
      <c r="N8" s="4">
        <v>0</v>
      </c>
      <c r="O8" s="4">
        <f t="shared" si="0"/>
        <v>594462.88901983364</v>
      </c>
      <c r="P8" s="4">
        <f t="shared" si="1"/>
        <v>594462.88901983364</v>
      </c>
      <c r="Q8" s="4">
        <f>'EIA Costs'!$D$16*INDEX('Cost Improvement and Off Wnd'!$B$45:$AI$53,MATCH("biomass",'Cost Improvement and Off Wnd'!$A$45:$A$53,0),MATCH('CCaMC-BCCpUC'!$A8,'Cost Improvement and Off Wnd'!$B$44:$AI$44,0))*1000*About!$A$71</f>
        <v>7768616.5588959409</v>
      </c>
    </row>
    <row r="9" spans="1:17">
      <c r="A9" s="1">
        <v>2025</v>
      </c>
      <c r="B9" s="4">
        <f>'EIA Costs'!$D$3*INDEX('Cost Improvement and Off Wnd'!$B$45:$AI$53,MATCH("coal",'Cost Improvement and Off Wnd'!$A$45:$A$53,0),MATCH('CCaMC-BCCpUC'!$A9,'Cost Improvement and Off Wnd'!$B$44:$AI$44,0))*1000*About!$A$63</f>
        <v>4785754.0578712663</v>
      </c>
      <c r="C9" s="4">
        <f>'EIA Costs'!$D$5*INDEX('Cost Improvement and Off Wnd'!$B$45:$AI$53,MATCH("natural gas nonpeaker",'Cost Improvement and Off Wnd'!$A$45:$A$53,0),MATCH('CCaMC-BCCpUC'!$A9,'Cost Improvement and Off Wnd'!$B$44:$AI$44,0))*1000*About!$A$71</f>
        <v>951088.03781556</v>
      </c>
      <c r="D9" s="4">
        <f>'EIA Costs'!$D$8*INDEX('Cost Improvement and Off Wnd'!$B$45:$AI$53,MATCH("nuclear",'Cost Improvement and Off Wnd'!$A$45:$A$53,0),MATCH('CCaMC-BCCpUC'!$A9,'Cost Improvement and Off Wnd'!$B$44:$AI$44,0))*1000*About!$A$71</f>
        <v>5158151.5558288814</v>
      </c>
      <c r="E9" s="4">
        <f>'EIA Costs'!$D$11*INDEX('Cost Improvement and Off Wnd'!$B$45:$AI$53,MATCH("hydro",'Cost Improvement and Off Wnd'!$A$45:$A$53,0),MATCH('CCaMC-BCCpUC'!$A9,'Cost Improvement and Off Wnd'!$B$44:$AI$44,0))*1000*About!$A$71</f>
        <v>2331744.84604058</v>
      </c>
      <c r="F9" s="4">
        <v>0</v>
      </c>
      <c r="G9" s="4">
        <v>0</v>
      </c>
      <c r="H9" s="4">
        <f>'EIA Costs'!$D$14*INDEX('Cost Improvement and Off Wnd'!$B$45:$AI$53,MATCH("solar thermal",'Cost Improvement and Off Wnd'!$A$45:$A$53,0),MATCH('CCaMC-BCCpUC'!$A9,'Cost Improvement and Off Wnd'!$B$44:$AI$44,0))*1000*About!$A$71</f>
        <v>2519880.9289883869</v>
      </c>
      <c r="I9" s="4">
        <f>'EIA Costs'!$D$9*INDEX('Cost Improvement and Off Wnd'!$B$45:$AI$53,MATCH("biomass",'Cost Improvement and Off Wnd'!$A$45:$A$53,0),MATCH('CCaMC-BCCpUC'!$A9,'Cost Improvement and Off Wnd'!$B$44:$AI$44,0))*1000*About!$A$71</f>
        <v>3407990.6624235231</v>
      </c>
      <c r="J9" s="4">
        <f>'EIA Costs'!$D$10*INDEX('Cost Improvement and Off Wnd'!$B$45:$AI$53,MATCH("geothermal",'Cost Improvement and Off Wnd'!$A$45:$A$53,0),MATCH('CCaMC-BCCpUC'!$A9,'Cost Improvement and Off Wnd'!$B$44:$AI$44,0))*1000*About!$A$71</f>
        <v>1377124.1666659696</v>
      </c>
      <c r="K9" s="4">
        <f>'EIA Costs'!$D$7*INDEX('Cost Improvement and Off Wnd'!$B$45:$AI$53,MATCH("natural gas peaker",'Cost Improvement and Off Wnd'!$A$45:$A$53,0),MATCH('CCaMC-BCCpUC'!$A9,'Cost Improvement and Off Wnd'!$B$44:$AI$44,0))*1000*About!$A$71</f>
        <v>591147.174835179</v>
      </c>
      <c r="L9" s="4">
        <f>'EIA Costs'!$D$7*INDEX('Cost Improvement and Off Wnd'!$B$45:$AI$53,MATCH("natural gas peaker",'Cost Improvement and Off Wnd'!$A$45:$A$53,0),MATCH('CCaMC-BCCpUC'!$A9,'Cost Improvement and Off Wnd'!$B$44:$AI$44,0))*1000*About!$A$71</f>
        <v>591147.174835179</v>
      </c>
      <c r="M9" s="4">
        <f>B9*'Coal Cost Multipliers'!$B$33</f>
        <v>5546412.7210359061</v>
      </c>
      <c r="N9" s="4">
        <v>0</v>
      </c>
      <c r="O9" s="4">
        <f t="shared" si="0"/>
        <v>591147.174835179</v>
      </c>
      <c r="P9" s="4">
        <f t="shared" si="1"/>
        <v>591147.174835179</v>
      </c>
      <c r="Q9" s="4">
        <f>'EIA Costs'!$D$16*INDEX('Cost Improvement and Off Wnd'!$B$45:$AI$53,MATCH("biomass",'Cost Improvement and Off Wnd'!$A$45:$A$53,0),MATCH('CCaMC-BCCpUC'!$A9,'Cost Improvement and Off Wnd'!$B$44:$AI$44,0))*1000*About!$A$71</f>
        <v>7764569.8125896389</v>
      </c>
    </row>
    <row r="10" spans="1:17">
      <c r="A10" s="1">
        <v>2026</v>
      </c>
      <c r="B10" s="4">
        <f>'EIA Costs'!$D$3*INDEX('Cost Improvement and Off Wnd'!$B$45:$AI$53,MATCH("coal",'Cost Improvement and Off Wnd'!$A$45:$A$53,0),MATCH('CCaMC-BCCpUC'!$A10,'Cost Improvement and Off Wnd'!$B$44:$AI$44,0))*1000*About!$A$63</f>
        <v>4773854.0931798108</v>
      </c>
      <c r="C10" s="4">
        <f>'EIA Costs'!$D$5*INDEX('Cost Improvement and Off Wnd'!$B$45:$AI$53,MATCH("natural gas nonpeaker",'Cost Improvement and Off Wnd'!$A$45:$A$53,0),MATCH('CCaMC-BCCpUC'!$A10,'Cost Improvement and Off Wnd'!$B$44:$AI$44,0))*1000*About!$A$71</f>
        <v>947292.81476675125</v>
      </c>
      <c r="D10" s="4">
        <f>'EIA Costs'!$D$8*INDEX('Cost Improvement and Off Wnd'!$B$45:$AI$53,MATCH("nuclear",'Cost Improvement and Off Wnd'!$A$45:$A$53,0),MATCH('CCaMC-BCCpUC'!$A10,'Cost Improvement and Off Wnd'!$B$44:$AI$44,0))*1000*About!$A$71</f>
        <v>5141803.8791503608</v>
      </c>
      <c r="E10" s="4">
        <f>'EIA Costs'!$D$11*INDEX('Cost Improvement and Off Wnd'!$B$45:$AI$53,MATCH("hydro",'Cost Improvement and Off Wnd'!$A$45:$A$53,0),MATCH('CCaMC-BCCpUC'!$A10,'Cost Improvement and Off Wnd'!$B$44:$AI$44,0))*1000*About!$A$71</f>
        <v>2292007.7767956513</v>
      </c>
      <c r="F10" s="4">
        <v>0</v>
      </c>
      <c r="G10" s="4">
        <v>0</v>
      </c>
      <c r="H10" s="4">
        <f>'EIA Costs'!$D$14*INDEX('Cost Improvement and Off Wnd'!$B$45:$AI$53,MATCH("solar thermal",'Cost Improvement and Off Wnd'!$A$45:$A$53,0),MATCH('CCaMC-BCCpUC'!$A10,'Cost Improvement and Off Wnd'!$B$44:$AI$44,0))*1000*About!$A$71</f>
        <v>2342821.5719604054</v>
      </c>
      <c r="I10" s="4">
        <f>'EIA Costs'!$D$9*INDEX('Cost Improvement and Off Wnd'!$B$45:$AI$53,MATCH("biomass",'Cost Improvement and Off Wnd'!$A$45:$A$53,0),MATCH('CCaMC-BCCpUC'!$A10,'Cost Improvement and Off Wnd'!$B$44:$AI$44,0))*1000*About!$A$71</f>
        <v>3404946.6430044817</v>
      </c>
      <c r="J10" s="4">
        <f>'EIA Costs'!$D$10*INDEX('Cost Improvement and Off Wnd'!$B$45:$AI$53,MATCH("geothermal",'Cost Improvement and Off Wnd'!$A$45:$A$53,0),MATCH('CCaMC-BCCpUC'!$A10,'Cost Improvement and Off Wnd'!$B$44:$AI$44,0))*1000*About!$A$71</f>
        <v>1235431.2124992157</v>
      </c>
      <c r="K10" s="4">
        <f>'EIA Costs'!$D$7*INDEX('Cost Improvement and Off Wnd'!$B$45:$AI$53,MATCH("natural gas peaker",'Cost Improvement and Off Wnd'!$A$45:$A$53,0),MATCH('CCaMC-BCCpUC'!$A10,'Cost Improvement and Off Wnd'!$B$44:$AI$44,0))*1000*About!$A$71</f>
        <v>587865.47395385115</v>
      </c>
      <c r="L10" s="4">
        <f>'EIA Costs'!$D$7*INDEX('Cost Improvement and Off Wnd'!$B$45:$AI$53,MATCH("natural gas peaker",'Cost Improvement and Off Wnd'!$A$45:$A$53,0),MATCH('CCaMC-BCCpUC'!$A10,'Cost Improvement and Off Wnd'!$B$44:$AI$44,0))*1000*About!$A$71</f>
        <v>587865.47395385115</v>
      </c>
      <c r="M10" s="4">
        <f>B10*'Coal Cost Multipliers'!$B$33</f>
        <v>5532621.3488202756</v>
      </c>
      <c r="N10" s="4">
        <v>0</v>
      </c>
      <c r="O10" s="4">
        <f t="shared" si="0"/>
        <v>587865.47395385115</v>
      </c>
      <c r="P10" s="4">
        <f t="shared" si="1"/>
        <v>587865.47395385115</v>
      </c>
      <c r="Q10" s="4">
        <f>'EIA Costs'!$D$16*INDEX('Cost Improvement and Off Wnd'!$B$45:$AI$53,MATCH("biomass",'Cost Improvement and Off Wnd'!$A$45:$A$53,0),MATCH('CCaMC-BCCpUC'!$A10,'Cost Improvement and Off Wnd'!$B$44:$AI$44,0))*1000*About!$A$71</f>
        <v>7757634.4939132584</v>
      </c>
    </row>
    <row r="11" spans="1:17">
      <c r="A11" s="1">
        <v>2027</v>
      </c>
      <c r="B11" s="4">
        <f>'EIA Costs'!$D$3*INDEX('Cost Improvement and Off Wnd'!$B$45:$AI$53,MATCH("coal",'Cost Improvement and Off Wnd'!$A$45:$A$53,0),MATCH('CCaMC-BCCpUC'!$A11,'Cost Improvement and Off Wnd'!$B$44:$AI$44,0))*1000*About!$A$63</f>
        <v>4759440.3869223613</v>
      </c>
      <c r="C11" s="4">
        <f>'EIA Costs'!$D$5*INDEX('Cost Improvement and Off Wnd'!$B$45:$AI$53,MATCH("natural gas nonpeaker",'Cost Improvement and Off Wnd'!$A$45:$A$53,0),MATCH('CCaMC-BCCpUC'!$A11,'Cost Improvement and Off Wnd'!$B$44:$AI$44,0))*1000*About!$A$71</f>
        <v>943292.75212360208</v>
      </c>
      <c r="D11" s="4">
        <f>'EIA Costs'!$D$8*INDEX('Cost Improvement and Off Wnd'!$B$45:$AI$53,MATCH("nuclear",'Cost Improvement and Off Wnd'!$A$45:$A$53,0),MATCH('CCaMC-BCCpUC'!$A11,'Cost Improvement and Off Wnd'!$B$44:$AI$44,0))*1000*About!$A$71</f>
        <v>5122735.8674070584</v>
      </c>
      <c r="E11" s="4">
        <f>'EIA Costs'!$D$11*INDEX('Cost Improvement and Off Wnd'!$B$45:$AI$53,MATCH("hydro",'Cost Improvement and Off Wnd'!$A$45:$A$53,0),MATCH('CCaMC-BCCpUC'!$A11,'Cost Improvement and Off Wnd'!$B$44:$AI$44,0))*1000*About!$A$71</f>
        <v>2252270.7075507245</v>
      </c>
      <c r="F11" s="4">
        <v>0</v>
      </c>
      <c r="G11" s="4">
        <v>0</v>
      </c>
      <c r="H11" s="4">
        <f>'EIA Costs'!$D$14*INDEX('Cost Improvement and Off Wnd'!$B$45:$AI$53,MATCH("solar thermal",'Cost Improvement and Off Wnd'!$A$45:$A$53,0),MATCH('CCaMC-BCCpUC'!$A11,'Cost Improvement and Off Wnd'!$B$44:$AI$44,0))*1000*About!$A$71</f>
        <v>2165762.214932424</v>
      </c>
      <c r="I11" s="4">
        <f>'EIA Costs'!$D$9*INDEX('Cost Improvement and Off Wnd'!$B$45:$AI$53,MATCH("biomass",'Cost Improvement and Off Wnd'!$A$45:$A$53,0),MATCH('CCaMC-BCCpUC'!$A11,'Cost Improvement and Off Wnd'!$B$44:$AI$44,0))*1000*About!$A$71</f>
        <v>3400221.1276298021</v>
      </c>
      <c r="J11" s="4">
        <f>'EIA Costs'!$D$10*INDEX('Cost Improvement and Off Wnd'!$B$45:$AI$53,MATCH("geothermal",'Cost Improvement and Off Wnd'!$A$45:$A$53,0),MATCH('CCaMC-BCCpUC'!$A11,'Cost Improvement and Off Wnd'!$B$44:$AI$44,0))*1000*About!$A$71</f>
        <v>1093738.2583324621</v>
      </c>
      <c r="K11" s="4">
        <f>'EIA Costs'!$D$7*INDEX('Cost Improvement and Off Wnd'!$B$45:$AI$53,MATCH("natural gas peaker",'Cost Improvement and Off Wnd'!$A$45:$A$53,0),MATCH('CCaMC-BCCpUC'!$A11,'Cost Improvement and Off Wnd'!$B$44:$AI$44,0))*1000*About!$A$71</f>
        <v>584536.34264332184</v>
      </c>
      <c r="L11" s="4">
        <f>'EIA Costs'!$D$7*INDEX('Cost Improvement and Off Wnd'!$B$45:$AI$53,MATCH("natural gas peaker",'Cost Improvement and Off Wnd'!$A$45:$A$53,0),MATCH('CCaMC-BCCpUC'!$A11,'Cost Improvement and Off Wnd'!$B$44:$AI$44,0))*1000*About!$A$71</f>
        <v>584536.34264332184</v>
      </c>
      <c r="M11" s="4">
        <f>B11*'Coal Cost Multipliers'!$B$33</f>
        <v>5515916.6952219354</v>
      </c>
      <c r="N11" s="4">
        <v>0</v>
      </c>
      <c r="O11" s="4">
        <f t="shared" si="0"/>
        <v>584536.34264332184</v>
      </c>
      <c r="P11" s="4">
        <f t="shared" si="1"/>
        <v>584536.34264332184</v>
      </c>
      <c r="Q11" s="4">
        <f>'EIA Costs'!$D$16*INDEX('Cost Improvement and Off Wnd'!$B$45:$AI$53,MATCH("biomass",'Cost Improvement and Off Wnd'!$A$45:$A$53,0),MATCH('CCaMC-BCCpUC'!$A11,'Cost Improvement and Off Wnd'!$B$44:$AI$44,0))*1000*About!$A$71</f>
        <v>7746868.1516131693</v>
      </c>
    </row>
    <row r="12" spans="1:17">
      <c r="A12" s="1">
        <v>2028</v>
      </c>
      <c r="B12" s="4">
        <f>'EIA Costs'!$D$3*INDEX('Cost Improvement and Off Wnd'!$B$45:$AI$53,MATCH("coal",'Cost Improvement and Off Wnd'!$A$45:$A$53,0),MATCH('CCaMC-BCCpUC'!$A12,'Cost Improvement and Off Wnd'!$B$44:$AI$44,0))*1000*About!$A$63</f>
        <v>4740084.4459310938</v>
      </c>
      <c r="C12" s="4">
        <f>'EIA Costs'!$D$5*INDEX('Cost Improvement and Off Wnd'!$B$45:$AI$53,MATCH("natural gas nonpeaker",'Cost Improvement and Off Wnd'!$A$45:$A$53,0),MATCH('CCaMC-BCCpUC'!$A12,'Cost Improvement and Off Wnd'!$B$44:$AI$44,0))*1000*About!$A$71</f>
        <v>939870.27435769746</v>
      </c>
      <c r="D12" s="4">
        <f>'EIA Costs'!$D$8*INDEX('Cost Improvement and Off Wnd'!$B$45:$AI$53,MATCH("nuclear",'Cost Improvement and Off Wnd'!$A$45:$A$53,0),MATCH('CCaMC-BCCpUC'!$A12,'Cost Improvement and Off Wnd'!$B$44:$AI$44,0))*1000*About!$A$71</f>
        <v>5098341.7514725374</v>
      </c>
      <c r="E12" s="4">
        <f>'EIA Costs'!$D$11*INDEX('Cost Improvement and Off Wnd'!$B$45:$AI$53,MATCH("hydro",'Cost Improvement and Off Wnd'!$A$45:$A$53,0),MATCH('CCaMC-BCCpUC'!$A12,'Cost Improvement and Off Wnd'!$B$44:$AI$44,0))*1000*About!$A$71</f>
        <v>2212533.6383057963</v>
      </c>
      <c r="F12" s="4">
        <v>0</v>
      </c>
      <c r="G12" s="4">
        <v>0</v>
      </c>
      <c r="H12" s="4">
        <f>'EIA Costs'!$D$14*INDEX('Cost Improvement and Off Wnd'!$B$45:$AI$53,MATCH("solar thermal",'Cost Improvement and Off Wnd'!$A$45:$A$53,0),MATCH('CCaMC-BCCpUC'!$A12,'Cost Improvement and Off Wnd'!$B$44:$AI$44,0))*1000*About!$A$71</f>
        <v>1988702.8579044417</v>
      </c>
      <c r="I12" s="4">
        <f>'EIA Costs'!$D$9*INDEX('Cost Improvement and Off Wnd'!$B$45:$AI$53,MATCH("biomass",'Cost Improvement and Off Wnd'!$A$45:$A$53,0),MATCH('CCaMC-BCCpUC'!$A12,'Cost Improvement and Off Wnd'!$B$44:$AI$44,0))*1000*About!$A$71</f>
        <v>3392158.9126619366</v>
      </c>
      <c r="J12" s="4">
        <f>'EIA Costs'!$D$10*INDEX('Cost Improvement and Off Wnd'!$B$45:$AI$53,MATCH("geothermal",'Cost Improvement and Off Wnd'!$A$45:$A$53,0),MATCH('CCaMC-BCCpUC'!$A12,'Cost Improvement and Off Wnd'!$B$44:$AI$44,0))*1000*About!$A$71</f>
        <v>952045.3041657079</v>
      </c>
      <c r="K12" s="4">
        <f>'EIA Costs'!$D$7*INDEX('Cost Improvement and Off Wnd'!$B$45:$AI$53,MATCH("natural gas peaker",'Cost Improvement and Off Wnd'!$A$45:$A$53,0),MATCH('CCaMC-BCCpUC'!$A12,'Cost Improvement and Off Wnd'!$B$44:$AI$44,0))*1000*About!$A$71</f>
        <v>581998.08274038043</v>
      </c>
      <c r="L12" s="4">
        <f>'EIA Costs'!$D$7*INDEX('Cost Improvement and Off Wnd'!$B$45:$AI$53,MATCH("natural gas peaker",'Cost Improvement and Off Wnd'!$A$45:$A$53,0),MATCH('CCaMC-BCCpUC'!$A12,'Cost Improvement and Off Wnd'!$B$44:$AI$44,0))*1000*About!$A$71</f>
        <v>581998.08274038043</v>
      </c>
      <c r="M12" s="4">
        <f>B12*'Coal Cost Multipliers'!$B$33</f>
        <v>5493484.2768311454</v>
      </c>
      <c r="N12" s="4">
        <v>0</v>
      </c>
      <c r="O12" s="4">
        <f t="shared" si="0"/>
        <v>581998.08274038043</v>
      </c>
      <c r="P12" s="4">
        <f t="shared" si="1"/>
        <v>581998.08274038043</v>
      </c>
      <c r="Q12" s="4">
        <f>'EIA Costs'!$D$16*INDEX('Cost Improvement and Off Wnd'!$B$45:$AI$53,MATCH("biomass",'Cost Improvement and Off Wnd'!$A$45:$A$53,0),MATCH('CCaMC-BCCpUC'!$A12,'Cost Improvement and Off Wnd'!$B$44:$AI$44,0))*1000*About!$A$71</f>
        <v>7728499.6649701986</v>
      </c>
    </row>
    <row r="13" spans="1:17">
      <c r="A13" s="1">
        <v>2029</v>
      </c>
      <c r="B13" s="4">
        <f>'EIA Costs'!$D$3*INDEX('Cost Improvement and Off Wnd'!$B$45:$AI$53,MATCH("coal",'Cost Improvement and Off Wnd'!$A$45:$A$53,0),MATCH('CCaMC-BCCpUC'!$A13,'Cost Improvement and Off Wnd'!$B$44:$AI$44,0))*1000*About!$A$63</f>
        <v>4710915.8444493385</v>
      </c>
      <c r="C13" s="4">
        <f>'EIA Costs'!$D$5*INDEX('Cost Improvement and Off Wnd'!$B$45:$AI$53,MATCH("natural gas nonpeaker",'Cost Improvement and Off Wnd'!$A$45:$A$53,0),MATCH('CCaMC-BCCpUC'!$A13,'Cost Improvement and Off Wnd'!$B$44:$AI$44,0))*1000*About!$A$71</f>
        <v>934527.42318819102</v>
      </c>
      <c r="D13" s="4">
        <f>'EIA Costs'!$D$8*INDEX('Cost Improvement and Off Wnd'!$B$45:$AI$53,MATCH("nuclear",'Cost Improvement and Off Wnd'!$A$45:$A$53,0),MATCH('CCaMC-BCCpUC'!$A13,'Cost Improvement and Off Wnd'!$B$44:$AI$44,0))*1000*About!$A$71</f>
        <v>5063396.6793669248</v>
      </c>
      <c r="E13" s="4">
        <f>'EIA Costs'!$D$11*INDEX('Cost Improvement and Off Wnd'!$B$45:$AI$53,MATCH("hydro",'Cost Improvement and Off Wnd'!$A$45:$A$53,0),MATCH('CCaMC-BCCpUC'!$A13,'Cost Improvement and Off Wnd'!$B$44:$AI$44,0))*1000*About!$A$71</f>
        <v>2172796.569060869</v>
      </c>
      <c r="F13" s="4">
        <v>0</v>
      </c>
      <c r="G13" s="4">
        <v>0</v>
      </c>
      <c r="H13" s="4">
        <f>'EIA Costs'!$D$14*INDEX('Cost Improvement and Off Wnd'!$B$45:$AI$53,MATCH("solar thermal",'Cost Improvement and Off Wnd'!$A$45:$A$53,0),MATCH('CCaMC-BCCpUC'!$A13,'Cost Improvement and Off Wnd'!$B$44:$AI$44,0))*1000*About!$A$71</f>
        <v>1811643.5008764607</v>
      </c>
      <c r="I13" s="4">
        <f>'EIA Costs'!$D$9*INDEX('Cost Improvement and Off Wnd'!$B$45:$AI$53,MATCH("biomass",'Cost Improvement and Off Wnd'!$A$45:$A$53,0),MATCH('CCaMC-BCCpUC'!$A13,'Cost Improvement and Off Wnd'!$B$44:$AI$44,0))*1000*About!$A$71</f>
        <v>3377434.3102844721</v>
      </c>
      <c r="J13" s="4">
        <f>'EIA Costs'!$D$10*INDEX('Cost Improvement and Off Wnd'!$B$45:$AI$53,MATCH("geothermal",'Cost Improvement and Off Wnd'!$A$45:$A$53,0),MATCH('CCaMC-BCCpUC'!$A13,'Cost Improvement and Off Wnd'!$B$44:$AI$44,0))*1000*About!$A$71</f>
        <v>810352.34999895387</v>
      </c>
      <c r="K13" s="4">
        <f>'EIA Costs'!$D$7*INDEX('Cost Improvement and Off Wnd'!$B$45:$AI$53,MATCH("natural gas peaker",'Cost Improvement and Off Wnd'!$A$45:$A$53,0),MATCH('CCaMC-BCCpUC'!$A13,'Cost Improvement and Off Wnd'!$B$44:$AI$44,0))*1000*About!$A$71</f>
        <v>578278.05716929329</v>
      </c>
      <c r="L13" s="4">
        <f>'EIA Costs'!$D$7*INDEX('Cost Improvement and Off Wnd'!$B$45:$AI$53,MATCH("natural gas peaker",'Cost Improvement and Off Wnd'!$A$45:$A$53,0),MATCH('CCaMC-BCCpUC'!$A13,'Cost Improvement and Off Wnd'!$B$44:$AI$44,0))*1000*About!$A$71</f>
        <v>578278.05716929329</v>
      </c>
      <c r="M13" s="4">
        <f>B13*'Coal Cost Multipliers'!$B$33</f>
        <v>5459679.5513151847</v>
      </c>
      <c r="N13" s="4">
        <v>0</v>
      </c>
      <c r="O13" s="4">
        <f t="shared" si="0"/>
        <v>578278.05716929329</v>
      </c>
      <c r="P13" s="4">
        <f t="shared" si="1"/>
        <v>578278.05716929329</v>
      </c>
      <c r="Q13" s="4">
        <f>'EIA Costs'!$D$16*INDEX('Cost Improvement and Off Wnd'!$B$45:$AI$53,MATCH("biomass",'Cost Improvement and Off Wnd'!$A$45:$A$53,0),MATCH('CCaMC-BCCpUC'!$A13,'Cost Improvement and Off Wnd'!$B$44:$AI$44,0))*1000*About!$A$71</f>
        <v>7694951.9782399936</v>
      </c>
    </row>
    <row r="14" spans="1:17">
      <c r="A14" s="1">
        <v>2030</v>
      </c>
      <c r="B14" s="4">
        <f>'EIA Costs'!$D$3*INDEX('Cost Improvement and Off Wnd'!$B$45:$AI$53,MATCH("coal",'Cost Improvement and Off Wnd'!$A$45:$A$53,0),MATCH('CCaMC-BCCpUC'!$A14,'Cost Improvement and Off Wnd'!$B$44:$AI$44,0))*1000*About!$A$63</f>
        <v>4689417.1097476929</v>
      </c>
      <c r="C14" s="4">
        <f>'EIA Costs'!$D$5*INDEX('Cost Improvement and Off Wnd'!$B$45:$AI$53,MATCH("natural gas nonpeaker",'Cost Improvement and Off Wnd'!$A$45:$A$53,0),MATCH('CCaMC-BCCpUC'!$A14,'Cost Improvement and Off Wnd'!$B$44:$AI$44,0))*1000*About!$A$71</f>
        <v>931495.52585967071</v>
      </c>
      <c r="D14" s="4">
        <f>'EIA Costs'!$D$8*INDEX('Cost Improvement and Off Wnd'!$B$45:$AI$53,MATCH("nuclear",'Cost Improvement and Off Wnd'!$A$45:$A$53,0),MATCH('CCaMC-BCCpUC'!$A14,'Cost Improvement and Off Wnd'!$B$44:$AI$44,0))*1000*About!$A$71</f>
        <v>5036700.6083497163</v>
      </c>
      <c r="E14" s="4">
        <f>'EIA Costs'!$D$11*INDEX('Cost Improvement and Off Wnd'!$B$45:$AI$53,MATCH("hydro",'Cost Improvement and Off Wnd'!$A$45:$A$53,0),MATCH('CCaMC-BCCpUC'!$A14,'Cost Improvement and Off Wnd'!$B$44:$AI$44,0))*1000*About!$A$71</f>
        <v>2133059.4998159413</v>
      </c>
      <c r="F14" s="4">
        <v>0</v>
      </c>
      <c r="G14" s="4">
        <v>0</v>
      </c>
      <c r="H14" s="4">
        <f>'EIA Costs'!$D$14*INDEX('Cost Improvement and Off Wnd'!$B$45:$AI$53,MATCH("solar thermal",'Cost Improvement and Off Wnd'!$A$45:$A$53,0),MATCH('CCaMC-BCCpUC'!$A14,'Cost Improvement and Off Wnd'!$B$44:$AI$44,0))*1000*About!$A$71</f>
        <v>1634584.1438484804</v>
      </c>
      <c r="I14" s="4">
        <f>'EIA Costs'!$D$9*INDEX('Cost Improvement and Off Wnd'!$B$45:$AI$53,MATCH("biomass",'Cost Improvement and Off Wnd'!$A$45:$A$53,0),MATCH('CCaMC-BCCpUC'!$A14,'Cost Improvement and Off Wnd'!$B$44:$AI$44,0))*1000*About!$A$71</f>
        <v>3367913.89836699</v>
      </c>
      <c r="J14" s="4">
        <f>'EIA Costs'!$D$10*INDEX('Cost Improvement and Off Wnd'!$B$45:$AI$53,MATCH("geothermal",'Cost Improvement and Off Wnd'!$A$45:$A$53,0),MATCH('CCaMC-BCCpUC'!$A14,'Cost Improvement and Off Wnd'!$B$44:$AI$44,0))*1000*About!$A$71</f>
        <v>668659.39583219984</v>
      </c>
      <c r="K14" s="4">
        <f>'EIA Costs'!$D$7*INDEX('Cost Improvement and Off Wnd'!$B$45:$AI$53,MATCH("natural gas peaker",'Cost Improvement and Off Wnd'!$A$45:$A$53,0),MATCH('CCaMC-BCCpUC'!$A14,'Cost Improvement and Off Wnd'!$B$44:$AI$44,0))*1000*About!$A$71</f>
        <v>576209.76721946476</v>
      </c>
      <c r="L14" s="4">
        <f>'EIA Costs'!$D$7*INDEX('Cost Improvement and Off Wnd'!$B$45:$AI$53,MATCH("natural gas peaker",'Cost Improvement and Off Wnd'!$A$45:$A$53,0),MATCH('CCaMC-BCCpUC'!$A14,'Cost Improvement and Off Wnd'!$B$44:$AI$44,0))*1000*About!$A$71</f>
        <v>576209.76721946476</v>
      </c>
      <c r="M14" s="4">
        <f>B14*'Coal Cost Multipliers'!$B$33</f>
        <v>5434763.7586953649</v>
      </c>
      <c r="N14" s="4">
        <v>0</v>
      </c>
      <c r="O14" s="4">
        <f t="shared" si="0"/>
        <v>576209.76721946476</v>
      </c>
      <c r="P14" s="4">
        <f t="shared" si="1"/>
        <v>576209.76721946476</v>
      </c>
      <c r="Q14" s="4">
        <f>'EIA Costs'!$D$16*INDEX('Cost Improvement and Off Wnd'!$B$45:$AI$53,MATCH("biomass",'Cost Improvement and Off Wnd'!$A$45:$A$53,0),MATCH('CCaMC-BCCpUC'!$A14,'Cost Improvement and Off Wnd'!$B$44:$AI$44,0))*1000*About!$A$71</f>
        <v>7673261.2195788976</v>
      </c>
    </row>
    <row r="15" spans="1:17">
      <c r="A15" s="1">
        <v>2031</v>
      </c>
      <c r="B15" s="4">
        <f>'EIA Costs'!$D$3*INDEX('Cost Improvement and Off Wnd'!$B$45:$AI$53,MATCH("coal",'Cost Improvement and Off Wnd'!$A$45:$A$53,0),MATCH('CCaMC-BCCpUC'!$A15,'Cost Improvement and Off Wnd'!$B$44:$AI$44,0))*1000*About!$A$63</f>
        <v>4668043.9835290164</v>
      </c>
      <c r="C15" s="4">
        <f>'EIA Costs'!$D$5*INDEX('Cost Improvement and Off Wnd'!$B$45:$AI$53,MATCH("natural gas nonpeaker",'Cost Improvement and Off Wnd'!$A$45:$A$53,0),MATCH('CCaMC-BCCpUC'!$A15,'Cost Improvement and Off Wnd'!$B$44:$AI$44,0))*1000*About!$A$71</f>
        <v>928683.16945564619</v>
      </c>
      <c r="D15" s="4">
        <f>'EIA Costs'!$D$8*INDEX('Cost Improvement and Off Wnd'!$B$45:$AI$53,MATCH("nuclear",'Cost Improvement and Off Wnd'!$A$45:$A$53,0),MATCH('CCaMC-BCCpUC'!$A15,'Cost Improvement and Off Wnd'!$B$44:$AI$44,0))*1000*About!$A$71</f>
        <v>5010138.1882432802</v>
      </c>
      <c r="E15" s="4">
        <f>'EIA Costs'!$D$11*INDEX('Cost Improvement and Off Wnd'!$B$45:$AI$53,MATCH("hydro",'Cost Improvement and Off Wnd'!$A$45:$A$53,0),MATCH('CCaMC-BCCpUC'!$A15,'Cost Improvement and Off Wnd'!$B$44:$AI$44,0))*1000*About!$A$71</f>
        <v>2093322.4305710143</v>
      </c>
      <c r="F15" s="4">
        <v>0</v>
      </c>
      <c r="G15" s="4">
        <v>0</v>
      </c>
      <c r="H15" s="4">
        <f>'EIA Costs'!$D$14*INDEX('Cost Improvement and Off Wnd'!$B$45:$AI$53,MATCH("solar thermal",'Cost Improvement and Off Wnd'!$A$45:$A$53,0),MATCH('CCaMC-BCCpUC'!$A15,'Cost Improvement and Off Wnd'!$B$44:$AI$44,0))*1000*About!$A$71</f>
        <v>1618330.0392752115</v>
      </c>
      <c r="I15" s="4">
        <f>'EIA Costs'!$D$9*INDEX('Cost Improvement and Off Wnd'!$B$45:$AI$53,MATCH("biomass",'Cost Improvement and Off Wnd'!$A$45:$A$53,0),MATCH('CCaMC-BCCpUC'!$A15,'Cost Improvement and Off Wnd'!$B$44:$AI$44,0))*1000*About!$A$71</f>
        <v>3358479.5322181419</v>
      </c>
      <c r="J15" s="4">
        <f>'EIA Costs'!$D$10*INDEX('Cost Improvement and Off Wnd'!$B$45:$AI$53,MATCH("geothermal",'Cost Improvement and Off Wnd'!$A$45:$A$53,0),MATCH('CCaMC-BCCpUC'!$A15,'Cost Improvement and Off Wnd'!$B$44:$AI$44,0))*1000*About!$A$71</f>
        <v>668659.39583219984</v>
      </c>
      <c r="K15" s="4">
        <f>'EIA Costs'!$D$7*INDEX('Cost Improvement and Off Wnd'!$B$45:$AI$53,MATCH("natural gas peaker",'Cost Improvement and Off Wnd'!$A$45:$A$53,0),MATCH('CCaMC-BCCpUC'!$A15,'Cost Improvement and Off Wnd'!$B$44:$AI$44,0))*1000*About!$A$71</f>
        <v>574331.56907527894</v>
      </c>
      <c r="L15" s="4">
        <f>'EIA Costs'!$D$7*INDEX('Cost Improvement and Off Wnd'!$B$45:$AI$53,MATCH("natural gas peaker",'Cost Improvement and Off Wnd'!$A$45:$A$53,0),MATCH('CCaMC-BCCpUC'!$A15,'Cost Improvement and Off Wnd'!$B$44:$AI$44,0))*1000*About!$A$71</f>
        <v>574331.56907527894</v>
      </c>
      <c r="M15" s="4">
        <f>B15*'Coal Cost Multipliers'!$B$33</f>
        <v>5409993.5390572287</v>
      </c>
      <c r="N15" s="4">
        <v>0</v>
      </c>
      <c r="O15" s="4">
        <f t="shared" si="0"/>
        <v>574331.56907527894</v>
      </c>
      <c r="P15" s="4">
        <f t="shared" si="1"/>
        <v>574331.56907527894</v>
      </c>
      <c r="Q15" s="4">
        <f>'EIA Costs'!$D$16*INDEX('Cost Improvement and Off Wnd'!$B$45:$AI$53,MATCH("biomass",'Cost Improvement and Off Wnd'!$A$45:$A$53,0),MATCH('CCaMC-BCCpUC'!$A15,'Cost Improvement and Off Wnd'!$B$44:$AI$44,0))*1000*About!$A$71</f>
        <v>7651766.5026455559</v>
      </c>
    </row>
    <row r="16" spans="1:17">
      <c r="A16" s="1">
        <v>2032</v>
      </c>
      <c r="B16" s="4">
        <f>'EIA Costs'!$D$3*INDEX('Cost Improvement and Off Wnd'!$B$45:$AI$53,MATCH("coal",'Cost Improvement and Off Wnd'!$A$45:$A$53,0),MATCH('CCaMC-BCCpUC'!$A16,'Cost Improvement and Off Wnd'!$B$44:$AI$44,0))*1000*About!$A$63</f>
        <v>4644118.4018394854</v>
      </c>
      <c r="C16" s="4">
        <f>'EIA Costs'!$D$5*INDEX('Cost Improvement and Off Wnd'!$B$45:$AI$53,MATCH("natural gas nonpeaker",'Cost Improvement and Off Wnd'!$A$45:$A$53,0),MATCH('CCaMC-BCCpUC'!$A16,'Cost Improvement and Off Wnd'!$B$44:$AI$44,0))*1000*About!$A$71</f>
        <v>924875.02500060399</v>
      </c>
      <c r="D16" s="4">
        <f>'EIA Costs'!$D$8*INDEX('Cost Improvement and Off Wnd'!$B$45:$AI$53,MATCH("nuclear",'Cost Improvement and Off Wnd'!$A$45:$A$53,0),MATCH('CCaMC-BCCpUC'!$A16,'Cost Improvement and Off Wnd'!$B$44:$AI$44,0))*1000*About!$A$71</f>
        <v>4980837.45393827</v>
      </c>
      <c r="E16" s="4">
        <f>'EIA Costs'!$D$11*INDEX('Cost Improvement and Off Wnd'!$B$45:$AI$53,MATCH("hydro",'Cost Improvement and Off Wnd'!$A$45:$A$53,0),MATCH('CCaMC-BCCpUC'!$A16,'Cost Improvement and Off Wnd'!$B$44:$AI$44,0))*1000*About!$A$71</f>
        <v>2053585.3613260863</v>
      </c>
      <c r="F16" s="4">
        <v>0</v>
      </c>
      <c r="G16" s="4">
        <v>0</v>
      </c>
      <c r="H16" s="4">
        <f>'EIA Costs'!$D$14*INDEX('Cost Improvement and Off Wnd'!$B$45:$AI$53,MATCH("solar thermal",'Cost Improvement and Off Wnd'!$A$45:$A$53,0),MATCH('CCaMC-BCCpUC'!$A16,'Cost Improvement and Off Wnd'!$B$44:$AI$44,0))*1000*About!$A$71</f>
        <v>1602075.9347019426</v>
      </c>
      <c r="I16" s="4">
        <f>'EIA Costs'!$D$9*INDEX('Cost Improvement and Off Wnd'!$B$45:$AI$53,MATCH("biomass",'Cost Improvement and Off Wnd'!$A$45:$A$53,0),MATCH('CCaMC-BCCpUC'!$A16,'Cost Improvement and Off Wnd'!$B$44:$AI$44,0))*1000*About!$A$71</f>
        <v>3347303.5272370684</v>
      </c>
      <c r="J16" s="4">
        <f>'EIA Costs'!$D$10*INDEX('Cost Improvement and Off Wnd'!$B$45:$AI$53,MATCH("geothermal",'Cost Improvement and Off Wnd'!$A$45:$A$53,0),MATCH('CCaMC-BCCpUC'!$A16,'Cost Improvement and Off Wnd'!$B$44:$AI$44,0))*1000*About!$A$71</f>
        <v>668659.39583219984</v>
      </c>
      <c r="K16" s="4">
        <f>'EIA Costs'!$D$7*INDEX('Cost Improvement and Off Wnd'!$B$45:$AI$53,MATCH("natural gas peaker",'Cost Improvement and Off Wnd'!$A$45:$A$53,0),MATCH('CCaMC-BCCpUC'!$A16,'Cost Improvement and Off Wnd'!$B$44:$AI$44,0))*1000*About!$A$71</f>
        <v>571701.18391958985</v>
      </c>
      <c r="L16" s="4">
        <f>'EIA Costs'!$D$7*INDEX('Cost Improvement and Off Wnd'!$B$45:$AI$53,MATCH("natural gas peaker",'Cost Improvement and Off Wnd'!$A$45:$A$53,0),MATCH('CCaMC-BCCpUC'!$A16,'Cost Improvement and Off Wnd'!$B$44:$AI$44,0))*1000*About!$A$71</f>
        <v>571701.18391958985</v>
      </c>
      <c r="M16" s="4">
        <f>B16*'Coal Cost Multipliers'!$B$33</f>
        <v>5382265.1708552018</v>
      </c>
      <c r="N16" s="4">
        <v>0</v>
      </c>
      <c r="O16" s="4">
        <f t="shared" si="0"/>
        <v>571701.18391958985</v>
      </c>
      <c r="P16" s="4">
        <f t="shared" si="1"/>
        <v>571701.18391958985</v>
      </c>
      <c r="Q16" s="4">
        <f>'EIA Costs'!$D$16*INDEX('Cost Improvement and Off Wnd'!$B$45:$AI$53,MATCH("biomass",'Cost Improvement and Off Wnd'!$A$45:$A$53,0),MATCH('CCaMC-BCCpUC'!$A16,'Cost Improvement and Off Wnd'!$B$44:$AI$44,0))*1000*About!$A$71</f>
        <v>7626303.7360194027</v>
      </c>
    </row>
    <row r="17" spans="1:17">
      <c r="A17" s="1">
        <v>2033</v>
      </c>
      <c r="B17" s="4">
        <f>'EIA Costs'!$D$3*INDEX('Cost Improvement and Off Wnd'!$B$45:$AI$53,MATCH("coal",'Cost Improvement and Off Wnd'!$A$45:$A$53,0),MATCH('CCaMC-BCCpUC'!$A17,'Cost Improvement and Off Wnd'!$B$44:$AI$44,0))*1000*About!$A$63</f>
        <v>4622141.6806001225</v>
      </c>
      <c r="C17" s="4">
        <f>'EIA Costs'!$D$5*INDEX('Cost Improvement and Off Wnd'!$B$45:$AI$53,MATCH("natural gas nonpeaker",'Cost Improvement and Off Wnd'!$A$45:$A$53,0),MATCH('CCaMC-BCCpUC'!$A17,'Cost Improvement and Off Wnd'!$B$44:$AI$44,0))*1000*About!$A$71</f>
        <v>921881.07696823147</v>
      </c>
      <c r="D17" s="4">
        <f>'EIA Costs'!$D$8*INDEX('Cost Improvement and Off Wnd'!$B$45:$AI$53,MATCH("nuclear",'Cost Improvement and Off Wnd'!$A$45:$A$53,0),MATCH('CCaMC-BCCpUC'!$A17,'Cost Improvement and Off Wnd'!$B$44:$AI$44,0))*1000*About!$A$71</f>
        <v>4953629.0247932514</v>
      </c>
      <c r="E17" s="4">
        <f>'EIA Costs'!$D$11*INDEX('Cost Improvement and Off Wnd'!$B$45:$AI$53,MATCH("hydro",'Cost Improvement and Off Wnd'!$A$45:$A$53,0),MATCH('CCaMC-BCCpUC'!$A17,'Cost Improvement and Off Wnd'!$B$44:$AI$44,0))*1000*About!$A$71</f>
        <v>2013848.2920811588</v>
      </c>
      <c r="F17" s="4">
        <v>0</v>
      </c>
      <c r="G17" s="4">
        <v>0</v>
      </c>
      <c r="H17" s="4">
        <f>'EIA Costs'!$D$14*INDEX('Cost Improvement and Off Wnd'!$B$45:$AI$53,MATCH("solar thermal",'Cost Improvement and Off Wnd'!$A$45:$A$53,0),MATCH('CCaMC-BCCpUC'!$A17,'Cost Improvement and Off Wnd'!$B$44:$AI$44,0))*1000*About!$A$71</f>
        <v>1585821.8301286742</v>
      </c>
      <c r="I17" s="4">
        <f>'EIA Costs'!$D$9*INDEX('Cost Improvement and Off Wnd'!$B$45:$AI$53,MATCH("biomass",'Cost Improvement and Off Wnd'!$A$45:$A$53,0),MATCH('CCaMC-BCCpUC'!$A17,'Cost Improvement and Off Wnd'!$B$44:$AI$44,0))*1000*About!$A$71</f>
        <v>3337455.8838543813</v>
      </c>
      <c r="J17" s="4">
        <f>'EIA Costs'!$D$10*INDEX('Cost Improvement and Off Wnd'!$B$45:$AI$53,MATCH("geothermal",'Cost Improvement and Off Wnd'!$A$45:$A$53,0),MATCH('CCaMC-BCCpUC'!$A17,'Cost Improvement and Off Wnd'!$B$44:$AI$44,0))*1000*About!$A$71</f>
        <v>668659.39583219984</v>
      </c>
      <c r="K17" s="4">
        <f>'EIA Costs'!$D$7*INDEX('Cost Improvement and Off Wnd'!$B$45:$AI$53,MATCH("natural gas peaker",'Cost Improvement and Off Wnd'!$A$45:$A$53,0),MATCH('CCaMC-BCCpUC'!$A17,'Cost Improvement and Off Wnd'!$B$44:$AI$44,0))*1000*About!$A$71</f>
        <v>569693.58845712245</v>
      </c>
      <c r="L17" s="4">
        <f>'EIA Costs'!$D$7*INDEX('Cost Improvement and Off Wnd'!$B$45:$AI$53,MATCH("natural gas peaker",'Cost Improvement and Off Wnd'!$A$45:$A$53,0),MATCH('CCaMC-BCCpUC'!$A17,'Cost Improvement and Off Wnd'!$B$44:$AI$44,0))*1000*About!$A$71</f>
        <v>569693.58845712245</v>
      </c>
      <c r="M17" s="4">
        <f>B17*'Coal Cost Multipliers'!$B$33</f>
        <v>5356795.4194273818</v>
      </c>
      <c r="N17" s="4">
        <v>0</v>
      </c>
      <c r="O17" s="4">
        <f t="shared" si="0"/>
        <v>569693.58845712245</v>
      </c>
      <c r="P17" s="4">
        <f t="shared" si="1"/>
        <v>569693.58845712245</v>
      </c>
      <c r="Q17" s="4">
        <f>'EIA Costs'!$D$16*INDEX('Cost Improvement and Off Wnd'!$B$45:$AI$53,MATCH("biomass",'Cost Improvement and Off Wnd'!$A$45:$A$53,0),MATCH('CCaMC-BCCpUC'!$A17,'Cost Improvement and Off Wnd'!$B$44:$AI$44,0))*1000*About!$A$71</f>
        <v>7603867.4320185054</v>
      </c>
    </row>
    <row r="18" spans="1:17">
      <c r="A18" s="1">
        <v>2034</v>
      </c>
      <c r="B18" s="4">
        <f>'EIA Costs'!$D$3*INDEX('Cost Improvement and Off Wnd'!$B$45:$AI$53,MATCH("coal",'Cost Improvement and Off Wnd'!$A$45:$A$53,0),MATCH('CCaMC-BCCpUC'!$A18,'Cost Improvement and Off Wnd'!$B$44:$AI$44,0))*1000*About!$A$63</f>
        <v>4603798.572613379</v>
      </c>
      <c r="C18" s="4">
        <f>'EIA Costs'!$D$5*INDEX('Cost Improvement and Off Wnd'!$B$45:$AI$53,MATCH("natural gas nonpeaker",'Cost Improvement and Off Wnd'!$A$45:$A$53,0),MATCH('CCaMC-BCCpUC'!$A18,'Cost Improvement and Off Wnd'!$B$44:$AI$44,0))*1000*About!$A$71</f>
        <v>919299.76255436498</v>
      </c>
      <c r="D18" s="4">
        <f>'EIA Costs'!$D$8*INDEX('Cost Improvement and Off Wnd'!$B$45:$AI$53,MATCH("nuclear",'Cost Improvement and Off Wnd'!$A$45:$A$53,0),MATCH('CCaMC-BCCpUC'!$A18,'Cost Improvement and Off Wnd'!$B$44:$AI$44,0))*1000*About!$A$71</f>
        <v>4930311.8943135142</v>
      </c>
      <c r="E18" s="4">
        <f>'EIA Costs'!$D$11*INDEX('Cost Improvement and Off Wnd'!$B$45:$AI$53,MATCH("hydro",'Cost Improvement and Off Wnd'!$A$45:$A$53,0),MATCH('CCaMC-BCCpUC'!$A18,'Cost Improvement and Off Wnd'!$B$44:$AI$44,0))*1000*About!$A$71</f>
        <v>1974111.2228362313</v>
      </c>
      <c r="F18" s="4">
        <v>0</v>
      </c>
      <c r="G18" s="4">
        <v>0</v>
      </c>
      <c r="H18" s="4">
        <f>'EIA Costs'!$D$14*INDEX('Cost Improvement and Off Wnd'!$B$45:$AI$53,MATCH("solar thermal",'Cost Improvement and Off Wnd'!$A$45:$A$53,0),MATCH('CCaMC-BCCpUC'!$A18,'Cost Improvement and Off Wnd'!$B$44:$AI$44,0))*1000*About!$A$71</f>
        <v>1569567.7255554048</v>
      </c>
      <c r="I18" s="4">
        <f>'EIA Costs'!$D$9*INDEX('Cost Improvement and Off Wnd'!$B$45:$AI$53,MATCH("biomass",'Cost Improvement and Off Wnd'!$A$45:$A$53,0),MATCH('CCaMC-BCCpUC'!$A18,'Cost Improvement and Off Wnd'!$B$44:$AI$44,0))*1000*About!$A$71</f>
        <v>3330096.910947775</v>
      </c>
      <c r="J18" s="4">
        <f>'EIA Costs'!$D$10*INDEX('Cost Improvement and Off Wnd'!$B$45:$AI$53,MATCH("geothermal",'Cost Improvement and Off Wnd'!$A$45:$A$53,0),MATCH('CCaMC-BCCpUC'!$A18,'Cost Improvement and Off Wnd'!$B$44:$AI$44,0))*1000*About!$A$71</f>
        <v>668659.39583219984</v>
      </c>
      <c r="K18" s="4">
        <f>'EIA Costs'!$D$7*INDEX('Cost Improvement and Off Wnd'!$B$45:$AI$53,MATCH("natural gas peaker",'Cost Improvement and Off Wnd'!$A$45:$A$53,0),MATCH('CCaMC-BCCpUC'!$A18,'Cost Improvement and Off Wnd'!$B$44:$AI$44,0))*1000*About!$A$71</f>
        <v>567853.20501669892</v>
      </c>
      <c r="L18" s="4">
        <f>'EIA Costs'!$D$7*INDEX('Cost Improvement and Off Wnd'!$B$45:$AI$53,MATCH("natural gas peaker",'Cost Improvement and Off Wnd'!$A$45:$A$53,0),MATCH('CCaMC-BCCpUC'!$A18,'Cost Improvement and Off Wnd'!$B$44:$AI$44,0))*1000*About!$A$71</f>
        <v>567853.20501669892</v>
      </c>
      <c r="M18" s="4">
        <f>B18*'Coal Cost Multipliers'!$B$33</f>
        <v>5335536.8160284711</v>
      </c>
      <c r="N18" s="4">
        <v>0</v>
      </c>
      <c r="O18" s="4">
        <f t="shared" si="0"/>
        <v>567853.20501669892</v>
      </c>
      <c r="P18" s="4">
        <f t="shared" si="1"/>
        <v>567853.20501669892</v>
      </c>
      <c r="Q18" s="4">
        <f>'EIA Costs'!$D$16*INDEX('Cost Improvement and Off Wnd'!$B$45:$AI$53,MATCH("biomass",'Cost Improvement and Off Wnd'!$A$45:$A$53,0),MATCH('CCaMC-BCCpUC'!$A18,'Cost Improvement and Off Wnd'!$B$44:$AI$44,0))*1000*About!$A$71</f>
        <v>7587101.1716198716</v>
      </c>
    </row>
    <row r="19" spans="1:17">
      <c r="A19" s="1">
        <v>2035</v>
      </c>
      <c r="B19" s="4">
        <f>'EIA Costs'!$D$3*INDEX('Cost Improvement and Off Wnd'!$B$45:$AI$53,MATCH("coal",'Cost Improvement and Off Wnd'!$A$45:$A$53,0),MATCH('CCaMC-BCCpUC'!$A19,'Cost Improvement and Off Wnd'!$B$44:$AI$44,0))*1000*About!$A$63</f>
        <v>4579661.1455324804</v>
      </c>
      <c r="C19" s="4">
        <f>'EIA Costs'!$D$5*INDEX('Cost Improvement and Off Wnd'!$B$45:$AI$53,MATCH("natural gas nonpeaker",'Cost Improvement and Off Wnd'!$A$45:$A$53,0),MATCH('CCaMC-BCCpUC'!$A19,'Cost Improvement and Off Wnd'!$B$44:$AI$44,0))*1000*About!$A$71</f>
        <v>915956.5050238847</v>
      </c>
      <c r="D19" s="4">
        <f>'EIA Costs'!$D$8*INDEX('Cost Improvement and Off Wnd'!$B$45:$AI$53,MATCH("nuclear",'Cost Improvement and Off Wnd'!$A$45:$A$53,0),MATCH('CCaMC-BCCpUC'!$A19,'Cost Improvement and Off Wnd'!$B$44:$AI$44,0))*1000*About!$A$71</f>
        <v>4900788.8378168615</v>
      </c>
      <c r="E19" s="4">
        <f>'EIA Costs'!$D$11*INDEX('Cost Improvement and Off Wnd'!$B$45:$AI$53,MATCH("hydro",'Cost Improvement and Off Wnd'!$A$45:$A$53,0),MATCH('CCaMC-BCCpUC'!$A19,'Cost Improvement and Off Wnd'!$B$44:$AI$44,0))*1000*About!$A$71</f>
        <v>1934374.1535913039</v>
      </c>
      <c r="F19" s="4">
        <v>0</v>
      </c>
      <c r="G19" s="4">
        <v>0</v>
      </c>
      <c r="H19" s="4">
        <f>'EIA Costs'!$D$14*INDEX('Cost Improvement and Off Wnd'!$B$45:$AI$53,MATCH("solar thermal",'Cost Improvement and Off Wnd'!$A$45:$A$53,0),MATCH('CCaMC-BCCpUC'!$A19,'Cost Improvement and Off Wnd'!$B$44:$AI$44,0))*1000*About!$A$71</f>
        <v>1553313.6209821361</v>
      </c>
      <c r="I19" s="4">
        <f>'EIA Costs'!$D$9*INDEX('Cost Improvement and Off Wnd'!$B$45:$AI$53,MATCH("biomass",'Cost Improvement and Off Wnd'!$A$45:$A$53,0),MATCH('CCaMC-BCCpUC'!$A19,'Cost Improvement and Off Wnd'!$B$44:$AI$44,0))*1000*About!$A$71</f>
        <v>3318770.1203640644</v>
      </c>
      <c r="J19" s="4">
        <f>'EIA Costs'!$D$10*INDEX('Cost Improvement and Off Wnd'!$B$45:$AI$53,MATCH("geothermal",'Cost Improvement and Off Wnd'!$A$45:$A$53,0),MATCH('CCaMC-BCCpUC'!$A19,'Cost Improvement and Off Wnd'!$B$44:$AI$44,0))*1000*About!$A$71</f>
        <v>668659.39583219984</v>
      </c>
      <c r="K19" s="4">
        <f>'EIA Costs'!$D$7*INDEX('Cost Improvement and Off Wnd'!$B$45:$AI$53,MATCH("natural gas peaker",'Cost Improvement and Off Wnd'!$A$45:$A$53,0),MATCH('CCaMC-BCCpUC'!$A19,'Cost Improvement and Off Wnd'!$B$44:$AI$44,0))*1000*About!$A$71</f>
        <v>565652.8865517024</v>
      </c>
      <c r="L19" s="4">
        <f>'EIA Costs'!$D$7*INDEX('Cost Improvement and Off Wnd'!$B$45:$AI$53,MATCH("natural gas peaker",'Cost Improvement and Off Wnd'!$A$45:$A$53,0),MATCH('CCaMC-BCCpUC'!$A19,'Cost Improvement and Off Wnd'!$B$44:$AI$44,0))*1000*About!$A$71</f>
        <v>565652.8865517024</v>
      </c>
      <c r="M19" s="4">
        <f>B19*'Coal Cost Multipliers'!$B$33</f>
        <v>5307562.9312454909</v>
      </c>
      <c r="N19" s="4">
        <v>0</v>
      </c>
      <c r="O19" s="4">
        <f t="shared" si="0"/>
        <v>565652.8865517024</v>
      </c>
      <c r="P19" s="4">
        <f t="shared" si="1"/>
        <v>565652.8865517024</v>
      </c>
      <c r="Q19" s="4">
        <f>'EIA Costs'!$D$16*INDEX('Cost Improvement and Off Wnd'!$B$45:$AI$53,MATCH("biomass",'Cost Improvement and Off Wnd'!$A$45:$A$53,0),MATCH('CCaMC-BCCpUC'!$A19,'Cost Improvement and Off Wnd'!$B$44:$AI$44,0))*1000*About!$A$71</f>
        <v>7561294.8637536224</v>
      </c>
    </row>
    <row r="20" spans="1:17">
      <c r="A20" s="1">
        <v>2036</v>
      </c>
      <c r="B20" s="4">
        <f>'EIA Costs'!$D$3*INDEX('Cost Improvement and Off Wnd'!$B$45:$AI$53,MATCH("coal",'Cost Improvement and Off Wnd'!$A$45:$A$53,0),MATCH('CCaMC-BCCpUC'!$A20,'Cost Improvement and Off Wnd'!$B$44:$AI$44,0))*1000*About!$A$63</f>
        <v>4557484.8966593873</v>
      </c>
      <c r="C20" s="4">
        <f>'EIA Costs'!$D$5*INDEX('Cost Improvement and Off Wnd'!$B$45:$AI$53,MATCH("natural gas nonpeaker",'Cost Improvement and Off Wnd'!$A$45:$A$53,0),MATCH('CCaMC-BCCpUC'!$A20,'Cost Improvement and Off Wnd'!$B$44:$AI$44,0))*1000*About!$A$71</f>
        <v>912768.10522760358</v>
      </c>
      <c r="D20" s="4">
        <f>'EIA Costs'!$D$8*INDEX('Cost Improvement and Off Wnd'!$B$45:$AI$53,MATCH("nuclear",'Cost Improvement and Off Wnd'!$A$45:$A$53,0),MATCH('CCaMC-BCCpUC'!$A20,'Cost Improvement and Off Wnd'!$B$44:$AI$44,0))*1000*About!$A$71</f>
        <v>4873366.1588526061</v>
      </c>
      <c r="E20" s="4">
        <f>'EIA Costs'!$D$11*INDEX('Cost Improvement and Off Wnd'!$B$45:$AI$53,MATCH("hydro",'Cost Improvement and Off Wnd'!$A$45:$A$53,0),MATCH('CCaMC-BCCpUC'!$A20,'Cost Improvement and Off Wnd'!$B$44:$AI$44,0))*1000*About!$A$71</f>
        <v>1923963.4938358904</v>
      </c>
      <c r="F20" s="4">
        <v>0</v>
      </c>
      <c r="G20" s="4">
        <v>0</v>
      </c>
      <c r="H20" s="4">
        <f>'EIA Costs'!$D$14*INDEX('Cost Improvement and Off Wnd'!$B$45:$AI$53,MATCH("solar thermal",'Cost Improvement and Off Wnd'!$A$45:$A$53,0),MATCH('CCaMC-BCCpUC'!$A20,'Cost Improvement and Off Wnd'!$B$44:$AI$44,0))*1000*About!$A$71</f>
        <v>1537059.5164088674</v>
      </c>
      <c r="I20" s="4">
        <f>'EIA Costs'!$D$9*INDEX('Cost Improvement and Off Wnd'!$B$45:$AI$53,MATCH("biomass",'Cost Improvement and Off Wnd'!$A$45:$A$53,0),MATCH('CCaMC-BCCpUC'!$A20,'Cost Improvement and Off Wnd'!$B$44:$AI$44,0))*1000*About!$A$71</f>
        <v>3308785.9377765385</v>
      </c>
      <c r="J20" s="4">
        <f>'EIA Costs'!$D$10*INDEX('Cost Improvement and Off Wnd'!$B$45:$AI$53,MATCH("geothermal",'Cost Improvement and Off Wnd'!$A$45:$A$53,0),MATCH('CCaMC-BCCpUC'!$A20,'Cost Improvement and Off Wnd'!$B$44:$AI$44,0))*1000*About!$A$71</f>
        <v>668659.39583219984</v>
      </c>
      <c r="K20" s="4">
        <f>'EIA Costs'!$D$7*INDEX('Cost Improvement and Off Wnd'!$B$45:$AI$53,MATCH("natural gas peaker",'Cost Improvement and Off Wnd'!$A$45:$A$53,0),MATCH('CCaMC-BCCpUC'!$A20,'Cost Improvement and Off Wnd'!$B$44:$AI$44,0))*1000*About!$A$71</f>
        <v>563481.86641461716</v>
      </c>
      <c r="L20" s="4">
        <f>'EIA Costs'!$D$7*INDEX('Cost Improvement and Off Wnd'!$B$45:$AI$53,MATCH("natural gas peaker",'Cost Improvement and Off Wnd'!$A$45:$A$53,0),MATCH('CCaMC-BCCpUC'!$A20,'Cost Improvement and Off Wnd'!$B$44:$AI$44,0))*1000*About!$A$71</f>
        <v>563481.86641461716</v>
      </c>
      <c r="M20" s="4">
        <f>B20*'Coal Cost Multipliers'!$B$33</f>
        <v>5281861.9388068421</v>
      </c>
      <c r="N20" s="4">
        <v>0</v>
      </c>
      <c r="O20" s="4">
        <f t="shared" si="0"/>
        <v>563481.86641461716</v>
      </c>
      <c r="P20" s="4">
        <f t="shared" si="1"/>
        <v>563481.86641461716</v>
      </c>
      <c r="Q20" s="4">
        <f>'EIA Costs'!$D$16*INDEX('Cost Improvement and Off Wnd'!$B$45:$AI$53,MATCH("biomass",'Cost Improvement and Off Wnd'!$A$45:$A$53,0),MATCH('CCaMC-BCCpUC'!$A20,'Cost Improvement and Off Wnd'!$B$44:$AI$44,0))*1000*About!$A$71</f>
        <v>7538547.4766855622</v>
      </c>
    </row>
    <row r="21" spans="1:17">
      <c r="A21" s="1">
        <v>2037</v>
      </c>
      <c r="B21" s="4">
        <f>'EIA Costs'!$D$3*INDEX('Cost Improvement and Off Wnd'!$B$45:$AI$53,MATCH("coal",'Cost Improvement and Off Wnd'!$A$45:$A$53,0),MATCH('CCaMC-BCCpUC'!$A21,'Cost Improvement and Off Wnd'!$B$44:$AI$44,0))*1000*About!$A$63</f>
        <v>4534216.6517228428</v>
      </c>
      <c r="C21" s="4">
        <f>'EIA Costs'!$D$5*INDEX('Cost Improvement and Off Wnd'!$B$45:$AI$53,MATCH("natural gas nonpeaker",'Cost Improvement and Off Wnd'!$A$45:$A$53,0),MATCH('CCaMC-BCCpUC'!$A21,'Cost Improvement and Off Wnd'!$B$44:$AI$44,0))*1000*About!$A$71</f>
        <v>909855.63339430257</v>
      </c>
      <c r="D21" s="4">
        <f>'EIA Costs'!$D$8*INDEX('Cost Improvement and Off Wnd'!$B$45:$AI$53,MATCH("nuclear",'Cost Improvement and Off Wnd'!$A$45:$A$53,0),MATCH('CCaMC-BCCpUC'!$A21,'Cost Improvement and Off Wnd'!$B$44:$AI$44,0))*1000*About!$A$71</f>
        <v>4844777.6541888779</v>
      </c>
      <c r="E21" s="4">
        <f>'EIA Costs'!$D$11*INDEX('Cost Improvement and Off Wnd'!$B$45:$AI$53,MATCH("hydro",'Cost Improvement and Off Wnd'!$A$45:$A$53,0),MATCH('CCaMC-BCCpUC'!$A21,'Cost Improvement and Off Wnd'!$B$44:$AI$44,0))*1000*About!$A$71</f>
        <v>1913552.8340804782</v>
      </c>
      <c r="F21" s="4">
        <v>0</v>
      </c>
      <c r="G21" s="4">
        <v>0</v>
      </c>
      <c r="H21" s="4">
        <f>'EIA Costs'!$D$14*INDEX('Cost Improvement and Off Wnd'!$B$45:$AI$53,MATCH("solar thermal",'Cost Improvement and Off Wnd'!$A$45:$A$53,0),MATCH('CCaMC-BCCpUC'!$A21,'Cost Improvement and Off Wnd'!$B$44:$AI$44,0))*1000*About!$A$71</f>
        <v>1520805.4118355988</v>
      </c>
      <c r="I21" s="4">
        <f>'EIA Costs'!$D$9*INDEX('Cost Improvement and Off Wnd'!$B$45:$AI$53,MATCH("biomass",'Cost Improvement and Off Wnd'!$A$45:$A$53,0),MATCH('CCaMC-BCCpUC'!$A21,'Cost Improvement and Off Wnd'!$B$44:$AI$44,0))*1000*About!$A$71</f>
        <v>3298049.4508532588</v>
      </c>
      <c r="J21" s="4">
        <f>'EIA Costs'!$D$10*INDEX('Cost Improvement and Off Wnd'!$B$45:$AI$53,MATCH("geothermal",'Cost Improvement and Off Wnd'!$A$45:$A$53,0),MATCH('CCaMC-BCCpUC'!$A21,'Cost Improvement and Off Wnd'!$B$44:$AI$44,0))*1000*About!$A$71</f>
        <v>668659.39583219984</v>
      </c>
      <c r="K21" s="4">
        <f>'EIA Costs'!$D$7*INDEX('Cost Improvement and Off Wnd'!$B$45:$AI$53,MATCH("natural gas peaker",'Cost Improvement and Off Wnd'!$A$45:$A$53,0),MATCH('CCaMC-BCCpUC'!$A21,'Cost Improvement and Off Wnd'!$B$44:$AI$44,0))*1000*About!$A$71</f>
        <v>561620.3608197727</v>
      </c>
      <c r="L21" s="4">
        <f>'EIA Costs'!$D$7*INDEX('Cost Improvement and Off Wnd'!$B$45:$AI$53,MATCH("natural gas peaker",'Cost Improvement and Off Wnd'!$A$45:$A$53,0),MATCH('CCaMC-BCCpUC'!$A21,'Cost Improvement and Off Wnd'!$B$44:$AI$44,0))*1000*About!$A$71</f>
        <v>561620.3608197727</v>
      </c>
      <c r="M21" s="4">
        <f>B21*'Coal Cost Multipliers'!$B$33</f>
        <v>5254895.3859602809</v>
      </c>
      <c r="N21" s="4">
        <v>0</v>
      </c>
      <c r="O21" s="4">
        <f t="shared" si="0"/>
        <v>561620.3608197727</v>
      </c>
      <c r="P21" s="4">
        <f t="shared" si="1"/>
        <v>561620.3608197727</v>
      </c>
      <c r="Q21" s="4">
        <f>'EIA Costs'!$D$16*INDEX('Cost Improvement and Off Wnd'!$B$45:$AI$53,MATCH("biomass",'Cost Improvement and Off Wnd'!$A$45:$A$53,0),MATCH('CCaMC-BCCpUC'!$A21,'Cost Improvement and Off Wnd'!$B$44:$AI$44,0))*1000*About!$A$71</f>
        <v>7514086.0827102391</v>
      </c>
    </row>
    <row r="22" spans="1:17">
      <c r="A22" s="1">
        <v>2038</v>
      </c>
      <c r="B22" s="4">
        <f>'EIA Costs'!$D$3*INDEX('Cost Improvement and Off Wnd'!$B$45:$AI$53,MATCH("coal",'Cost Improvement and Off Wnd'!$A$45:$A$53,0),MATCH('CCaMC-BCCpUC'!$A22,'Cost Improvement and Off Wnd'!$B$44:$AI$44,0))*1000*About!$A$63</f>
        <v>4513443.5979165575</v>
      </c>
      <c r="C22" s="4">
        <f>'EIA Costs'!$D$5*INDEX('Cost Improvement and Off Wnd'!$B$45:$AI$53,MATCH("natural gas nonpeaker",'Cost Improvement and Off Wnd'!$A$45:$A$53,0),MATCH('CCaMC-BCCpUC'!$A22,'Cost Improvement and Off Wnd'!$B$44:$AI$44,0))*1000*About!$A$71</f>
        <v>907915.01403126901</v>
      </c>
      <c r="D22" s="4">
        <f>'EIA Costs'!$D$8*INDEX('Cost Improvement and Off Wnd'!$B$45:$AI$53,MATCH("nuclear",'Cost Improvement and Off Wnd'!$A$45:$A$53,0),MATCH('CCaMC-BCCpUC'!$A22,'Cost Improvement and Off Wnd'!$B$44:$AI$44,0))*1000*About!$A$71</f>
        <v>4818856.7425043611</v>
      </c>
      <c r="E22" s="4">
        <f>'EIA Costs'!$D$11*INDEX('Cost Improvement and Off Wnd'!$B$45:$AI$53,MATCH("hydro",'Cost Improvement and Off Wnd'!$A$45:$A$53,0),MATCH('CCaMC-BCCpUC'!$A22,'Cost Improvement and Off Wnd'!$B$44:$AI$44,0))*1000*About!$A$71</f>
        <v>1903142.1743250648</v>
      </c>
      <c r="F22" s="4">
        <v>0</v>
      </c>
      <c r="G22" s="4">
        <v>0</v>
      </c>
      <c r="H22" s="4">
        <f>'EIA Costs'!$D$14*INDEX('Cost Improvement and Off Wnd'!$B$45:$AI$53,MATCH("solar thermal",'Cost Improvement and Off Wnd'!$A$45:$A$53,0),MATCH('CCaMC-BCCpUC'!$A22,'Cost Improvement and Off Wnd'!$B$44:$AI$44,0))*1000*About!$A$71</f>
        <v>1504551.3072623296</v>
      </c>
      <c r="I22" s="4">
        <f>'EIA Costs'!$D$9*INDEX('Cost Improvement and Off Wnd'!$B$45:$AI$53,MATCH("biomass",'Cost Improvement and Off Wnd'!$A$45:$A$53,0),MATCH('CCaMC-BCCpUC'!$A22,'Cost Improvement and Off Wnd'!$B$44:$AI$44,0))*1000*About!$A$71</f>
        <v>3289031.0086167539</v>
      </c>
      <c r="J22" s="4">
        <f>'EIA Costs'!$D$10*INDEX('Cost Improvement and Off Wnd'!$B$45:$AI$53,MATCH("geothermal",'Cost Improvement and Off Wnd'!$A$45:$A$53,0),MATCH('CCaMC-BCCpUC'!$A22,'Cost Improvement and Off Wnd'!$B$44:$AI$44,0))*1000*About!$A$71</f>
        <v>668659.39583219984</v>
      </c>
      <c r="K22" s="4">
        <f>'EIA Costs'!$D$7*INDEX('Cost Improvement and Off Wnd'!$B$45:$AI$53,MATCH("natural gas peaker",'Cost Improvement and Off Wnd'!$A$45:$A$53,0),MATCH('CCaMC-BCCpUC'!$A22,'Cost Improvement and Off Wnd'!$B$44:$AI$44,0))*1000*About!$A$71</f>
        <v>560491.22277389863</v>
      </c>
      <c r="L22" s="4">
        <f>'EIA Costs'!$D$7*INDEX('Cost Improvement and Off Wnd'!$B$45:$AI$53,MATCH("natural gas peaker",'Cost Improvement and Off Wnd'!$A$45:$A$53,0),MATCH('CCaMC-BCCpUC'!$A22,'Cost Improvement and Off Wnd'!$B$44:$AI$44,0))*1000*About!$A$71</f>
        <v>560491.22277389863</v>
      </c>
      <c r="M22" s="4">
        <f>B22*'Coal Cost Multipliers'!$B$33</f>
        <v>5230820.6156121381</v>
      </c>
      <c r="N22" s="4">
        <v>0</v>
      </c>
      <c r="O22" s="4">
        <f t="shared" si="0"/>
        <v>560491.22277389863</v>
      </c>
      <c r="P22" s="4">
        <f t="shared" si="1"/>
        <v>560491.22277389863</v>
      </c>
      <c r="Q22" s="4">
        <f>'EIA Costs'!$D$16*INDEX('Cost Improvement and Off Wnd'!$B$45:$AI$53,MATCH("biomass",'Cost Improvement and Off Wnd'!$A$45:$A$53,0),MATCH('CCaMC-BCCpUC'!$A22,'Cost Improvement and Off Wnd'!$B$44:$AI$44,0))*1000*About!$A$71</f>
        <v>7493538.9828844583</v>
      </c>
    </row>
    <row r="23" spans="1:17">
      <c r="A23" s="1">
        <v>2039</v>
      </c>
      <c r="B23" s="4">
        <f>'EIA Costs'!$D$3*INDEX('Cost Improvement and Off Wnd'!$B$45:$AI$53,MATCH("coal",'Cost Improvement and Off Wnd'!$A$45:$A$53,0),MATCH('CCaMC-BCCpUC'!$A23,'Cost Improvement and Off Wnd'!$B$44:$AI$44,0))*1000*About!$A$63</f>
        <v>4490266.595770387</v>
      </c>
      <c r="C23" s="4">
        <f>'EIA Costs'!$D$5*INDEX('Cost Improvement and Off Wnd'!$B$45:$AI$53,MATCH("natural gas nonpeaker",'Cost Improvement and Off Wnd'!$A$45:$A$53,0),MATCH('CCaMC-BCCpUC'!$A23,'Cost Improvement and Off Wnd'!$B$44:$AI$44,0))*1000*About!$A$71</f>
        <v>905490.46527050633</v>
      </c>
      <c r="D23" s="4">
        <f>'EIA Costs'!$D$8*INDEX('Cost Improvement and Off Wnd'!$B$45:$AI$53,MATCH("nuclear",'Cost Improvement and Off Wnd'!$A$45:$A$53,0),MATCH('CCaMC-BCCpUC'!$A23,'Cost Improvement and Off Wnd'!$B$44:$AI$44,0))*1000*About!$A$71</f>
        <v>4790367.6619898453</v>
      </c>
      <c r="E23" s="4">
        <f>'EIA Costs'!$D$11*INDEX('Cost Improvement and Off Wnd'!$B$45:$AI$53,MATCH("hydro",'Cost Improvement and Off Wnd'!$A$45:$A$53,0),MATCH('CCaMC-BCCpUC'!$A23,'Cost Improvement and Off Wnd'!$B$44:$AI$44,0))*1000*About!$A$71</f>
        <v>1892731.5145696511</v>
      </c>
      <c r="F23" s="4">
        <v>0</v>
      </c>
      <c r="G23" s="4">
        <v>0</v>
      </c>
      <c r="H23" s="4">
        <f>'EIA Costs'!$D$14*INDEX('Cost Improvement and Off Wnd'!$B$45:$AI$53,MATCH("solar thermal",'Cost Improvement and Off Wnd'!$A$45:$A$53,0),MATCH('CCaMC-BCCpUC'!$A23,'Cost Improvement and Off Wnd'!$B$44:$AI$44,0))*1000*About!$A$71</f>
        <v>1488297.2026890602</v>
      </c>
      <c r="I23" s="4">
        <f>'EIA Costs'!$D$9*INDEX('Cost Improvement and Off Wnd'!$B$45:$AI$53,MATCH("biomass",'Cost Improvement and Off Wnd'!$A$45:$A$53,0),MATCH('CCaMC-BCCpUC'!$A23,'Cost Improvement and Off Wnd'!$B$44:$AI$44,0))*1000*About!$A$71</f>
        <v>3278353.1707259226</v>
      </c>
      <c r="J23" s="4">
        <f>'EIA Costs'!$D$10*INDEX('Cost Improvement and Off Wnd'!$B$45:$AI$53,MATCH("geothermal",'Cost Improvement and Off Wnd'!$A$45:$A$53,0),MATCH('CCaMC-BCCpUC'!$A23,'Cost Improvement and Off Wnd'!$B$44:$AI$44,0))*1000*About!$A$71</f>
        <v>668659.39583219984</v>
      </c>
      <c r="K23" s="4">
        <f>'EIA Costs'!$D$7*INDEX('Cost Improvement and Off Wnd'!$B$45:$AI$53,MATCH("natural gas peaker",'Cost Improvement and Off Wnd'!$A$45:$A$53,0),MATCH('CCaMC-BCCpUC'!$A23,'Cost Improvement and Off Wnd'!$B$44:$AI$44,0))*1000*About!$A$71</f>
        <v>559063.31435958087</v>
      </c>
      <c r="L23" s="4">
        <f>'EIA Costs'!$D$7*INDEX('Cost Improvement and Off Wnd'!$B$45:$AI$53,MATCH("natural gas peaker",'Cost Improvement and Off Wnd'!$A$45:$A$53,0),MATCH('CCaMC-BCCpUC'!$A23,'Cost Improvement and Off Wnd'!$B$44:$AI$44,0))*1000*About!$A$71</f>
        <v>559063.31435958087</v>
      </c>
      <c r="M23" s="4">
        <f>B23*'Coal Cost Multipliers'!$B$33</f>
        <v>5203959.8078931188</v>
      </c>
      <c r="N23" s="4">
        <v>0</v>
      </c>
      <c r="O23" s="4">
        <f t="shared" si="0"/>
        <v>559063.31435958087</v>
      </c>
      <c r="P23" s="4">
        <f t="shared" si="1"/>
        <v>559063.31435958087</v>
      </c>
      <c r="Q23" s="4">
        <f>'EIA Costs'!$D$16*INDEX('Cost Improvement and Off Wnd'!$B$45:$AI$53,MATCH("biomass",'Cost Improvement and Off Wnd'!$A$45:$A$53,0),MATCH('CCaMC-BCCpUC'!$A23,'Cost Improvement and Off Wnd'!$B$44:$AI$44,0))*1000*About!$A$71</f>
        <v>7469211.21148971</v>
      </c>
    </row>
    <row r="24" spans="1:17">
      <c r="A24" s="1">
        <v>2040</v>
      </c>
      <c r="B24" s="4">
        <f>'EIA Costs'!$D$3*INDEX('Cost Improvement and Off Wnd'!$B$45:$AI$53,MATCH("coal",'Cost Improvement and Off Wnd'!$A$45:$A$53,0),MATCH('CCaMC-BCCpUC'!$A24,'Cost Improvement and Off Wnd'!$B$44:$AI$44,0))*1000*About!$A$63</f>
        <v>4467659.2763680127</v>
      </c>
      <c r="C24" s="4">
        <f>'EIA Costs'!$D$5*INDEX('Cost Improvement and Off Wnd'!$B$45:$AI$53,MATCH("natural gas nonpeaker",'Cost Improvement and Off Wnd'!$A$45:$A$53,0),MATCH('CCaMC-BCCpUC'!$A24,'Cost Improvement and Off Wnd'!$B$44:$AI$44,0))*1000*About!$A$71</f>
        <v>903179.7506580886</v>
      </c>
      <c r="D24" s="4">
        <f>'EIA Costs'!$D$8*INDEX('Cost Improvement and Off Wnd'!$B$45:$AI$53,MATCH("nuclear",'Cost Improvement and Off Wnd'!$A$45:$A$53,0),MATCH('CCaMC-BCCpUC'!$A24,'Cost Improvement and Off Wnd'!$B$44:$AI$44,0))*1000*About!$A$71</f>
        <v>4762488.2609135453</v>
      </c>
      <c r="E24" s="4">
        <f>'EIA Costs'!$D$11*INDEX('Cost Improvement and Off Wnd'!$B$45:$AI$53,MATCH("hydro",'Cost Improvement and Off Wnd'!$A$45:$A$53,0),MATCH('CCaMC-BCCpUC'!$A24,'Cost Improvement and Off Wnd'!$B$44:$AI$44,0))*1000*About!$A$71</f>
        <v>1882320.8548142386</v>
      </c>
      <c r="F24" s="4">
        <v>0</v>
      </c>
      <c r="G24" s="4">
        <v>0</v>
      </c>
      <c r="H24" s="4">
        <f>'EIA Costs'!$D$14*INDEX('Cost Improvement and Off Wnd'!$B$45:$AI$53,MATCH("solar thermal",'Cost Improvement and Off Wnd'!$A$45:$A$53,0),MATCH('CCaMC-BCCpUC'!$A24,'Cost Improvement and Off Wnd'!$B$44:$AI$44,0))*1000*About!$A$71</f>
        <v>1472043.098115792</v>
      </c>
      <c r="I24" s="4">
        <f>'EIA Costs'!$D$9*INDEX('Cost Improvement and Off Wnd'!$B$45:$AI$53,MATCH("biomass",'Cost Improvement and Off Wnd'!$A$45:$A$53,0),MATCH('CCaMC-BCCpUC'!$A24,'Cost Improvement and Off Wnd'!$B$44:$AI$44,0))*1000*About!$A$71</f>
        <v>3268066.8469631197</v>
      </c>
      <c r="J24" s="4">
        <f>'EIA Costs'!$D$10*INDEX('Cost Improvement and Off Wnd'!$B$45:$AI$53,MATCH("geothermal",'Cost Improvement and Off Wnd'!$A$45:$A$53,0),MATCH('CCaMC-BCCpUC'!$A24,'Cost Improvement and Off Wnd'!$B$44:$AI$44,0))*1000*About!$A$71</f>
        <v>668659.39583219984</v>
      </c>
      <c r="K24" s="4">
        <f>'EIA Costs'!$D$7*INDEX('Cost Improvement and Off Wnd'!$B$45:$AI$53,MATCH("natural gas peaker",'Cost Improvement and Off Wnd'!$A$45:$A$53,0),MATCH('CCaMC-BCCpUC'!$A24,'Cost Improvement and Off Wnd'!$B$44:$AI$44,0))*1000*About!$A$71</f>
        <v>557705.69637035497</v>
      </c>
      <c r="L24" s="4">
        <f>'EIA Costs'!$D$7*INDEX('Cost Improvement and Off Wnd'!$B$45:$AI$53,MATCH("natural gas peaker",'Cost Improvement and Off Wnd'!$A$45:$A$53,0),MATCH('CCaMC-BCCpUC'!$A24,'Cost Improvement and Off Wnd'!$B$44:$AI$44,0))*1000*About!$A$71</f>
        <v>557705.69637035497</v>
      </c>
      <c r="M24" s="4">
        <f>B24*'Coal Cost Multipliers'!$B$33</f>
        <v>5177759.2295922721</v>
      </c>
      <c r="N24" s="4">
        <v>0</v>
      </c>
      <c r="O24" s="4">
        <f t="shared" si="0"/>
        <v>557705.69637035497</v>
      </c>
      <c r="P24" s="4">
        <f t="shared" si="1"/>
        <v>557705.69637035497</v>
      </c>
      <c r="Q24" s="4">
        <f>'EIA Costs'!$D$16*INDEX('Cost Improvement and Off Wnd'!$B$45:$AI$53,MATCH("biomass",'Cost Improvement and Off Wnd'!$A$45:$A$53,0),MATCH('CCaMC-BCCpUC'!$A24,'Cost Improvement and Off Wnd'!$B$44:$AI$44,0))*1000*About!$A$71</f>
        <v>7445775.4433545973</v>
      </c>
    </row>
    <row r="25" spans="1:17">
      <c r="A25" s="1">
        <v>2041</v>
      </c>
      <c r="B25" s="4">
        <f>'EIA Costs'!$D$3*INDEX('Cost Improvement and Off Wnd'!$B$45:$AI$53,MATCH("coal",'Cost Improvement and Off Wnd'!$A$45:$A$53,0),MATCH('CCaMC-BCCpUC'!$A25,'Cost Improvement and Off Wnd'!$B$44:$AI$44,0))*1000*About!$A$63</f>
        <v>4449648.4332275633</v>
      </c>
      <c r="C25" s="4">
        <f>'EIA Costs'!$D$5*INDEX('Cost Improvement and Off Wnd'!$B$45:$AI$53,MATCH("natural gas nonpeaker",'Cost Improvement and Off Wnd'!$A$45:$A$53,0),MATCH('CCaMC-BCCpUC'!$A25,'Cost Improvement and Off Wnd'!$B$44:$AI$44,0))*1000*About!$A$71</f>
        <v>901799.90971782035</v>
      </c>
      <c r="D25" s="4">
        <f>'EIA Costs'!$D$8*INDEX('Cost Improvement and Off Wnd'!$B$45:$AI$53,MATCH("nuclear",'Cost Improvement and Off Wnd'!$A$45:$A$53,0),MATCH('CCaMC-BCCpUC'!$A25,'Cost Improvement and Off Wnd'!$B$44:$AI$44,0))*1000*About!$A$71</f>
        <v>4739505.9045875743</v>
      </c>
      <c r="E25" s="4">
        <f>'EIA Costs'!$D$11*INDEX('Cost Improvement and Off Wnd'!$B$45:$AI$53,MATCH("hydro",'Cost Improvement and Off Wnd'!$A$45:$A$53,0),MATCH('CCaMC-BCCpUC'!$A25,'Cost Improvement and Off Wnd'!$B$44:$AI$44,0))*1000*About!$A$71</f>
        <v>1871910.1950588252</v>
      </c>
      <c r="F25" s="4">
        <v>0</v>
      </c>
      <c r="G25" s="4">
        <v>0</v>
      </c>
      <c r="H25" s="4">
        <f>'EIA Costs'!$D$14*INDEX('Cost Improvement and Off Wnd'!$B$45:$AI$53,MATCH("solar thermal",'Cost Improvement and Off Wnd'!$A$45:$A$53,0),MATCH('CCaMC-BCCpUC'!$A25,'Cost Improvement and Off Wnd'!$B$44:$AI$44,0))*1000*About!$A$71</f>
        <v>1455788.9935425231</v>
      </c>
      <c r="I25" s="4">
        <f>'EIA Costs'!$D$9*INDEX('Cost Improvement and Off Wnd'!$B$45:$AI$53,MATCH("biomass",'Cost Improvement and Off Wnd'!$A$45:$A$53,0),MATCH('CCaMC-BCCpUC'!$A25,'Cost Improvement and Off Wnd'!$B$44:$AI$44,0))*1000*About!$A$71</f>
        <v>3260965.2553579621</v>
      </c>
      <c r="J25" s="4">
        <f>'EIA Costs'!$D$10*INDEX('Cost Improvement and Off Wnd'!$B$45:$AI$53,MATCH("geothermal",'Cost Improvement and Off Wnd'!$A$45:$A$53,0),MATCH('CCaMC-BCCpUC'!$A25,'Cost Improvement and Off Wnd'!$B$44:$AI$44,0))*1000*About!$A$71</f>
        <v>668659.39583219984</v>
      </c>
      <c r="K25" s="4">
        <f>'EIA Costs'!$D$7*INDEX('Cost Improvement and Off Wnd'!$B$45:$AI$53,MATCH("natural gas peaker",'Cost Improvement and Off Wnd'!$A$45:$A$53,0),MATCH('CCaMC-BCCpUC'!$A25,'Cost Improvement and Off Wnd'!$B$44:$AI$44,0))*1000*About!$A$71</f>
        <v>556922.89340897254</v>
      </c>
      <c r="L25" s="4">
        <f>'EIA Costs'!$D$7*INDEX('Cost Improvement and Off Wnd'!$B$45:$AI$53,MATCH("natural gas peaker",'Cost Improvement and Off Wnd'!$A$45:$A$53,0),MATCH('CCaMC-BCCpUC'!$A25,'Cost Improvement and Off Wnd'!$B$44:$AI$44,0))*1000*About!$A$71</f>
        <v>556922.89340897254</v>
      </c>
      <c r="M25" s="4">
        <f>B25*'Coal Cost Multipliers'!$B$33</f>
        <v>5156885.7019720068</v>
      </c>
      <c r="N25" s="4">
        <v>0</v>
      </c>
      <c r="O25" s="4">
        <f t="shared" si="0"/>
        <v>556922.89340897254</v>
      </c>
      <c r="P25" s="4">
        <f t="shared" si="1"/>
        <v>556922.89340897254</v>
      </c>
      <c r="Q25" s="4">
        <f>'EIA Costs'!$D$16*INDEX('Cost Improvement and Off Wnd'!$B$45:$AI$53,MATCH("biomass",'Cost Improvement and Off Wnd'!$A$45:$A$53,0),MATCH('CCaMC-BCCpUC'!$A25,'Cost Improvement and Off Wnd'!$B$44:$AI$44,0))*1000*About!$A$71</f>
        <v>7429595.5857021902</v>
      </c>
    </row>
    <row r="26" spans="1:17">
      <c r="A26" s="1">
        <v>2042</v>
      </c>
      <c r="B26" s="4">
        <f>'EIA Costs'!$D$3*INDEX('Cost Improvement and Off Wnd'!$B$45:$AI$53,MATCH("coal",'Cost Improvement and Off Wnd'!$A$45:$A$53,0),MATCH('CCaMC-BCCpUC'!$A26,'Cost Improvement and Off Wnd'!$B$44:$AI$44,0))*1000*About!$A$63</f>
        <v>4421609.6841190895</v>
      </c>
      <c r="C26" s="4">
        <f>'EIA Costs'!$D$5*INDEX('Cost Improvement and Off Wnd'!$B$45:$AI$53,MATCH("natural gas nonpeaker",'Cost Improvement and Off Wnd'!$A$45:$A$53,0),MATCH('CCaMC-BCCpUC'!$A26,'Cost Improvement and Off Wnd'!$B$44:$AI$44,0))*1000*About!$A$71</f>
        <v>898386.45623839565</v>
      </c>
      <c r="D26" s="4">
        <f>'EIA Costs'!$D$8*INDEX('Cost Improvement and Off Wnd'!$B$45:$AI$53,MATCH("nuclear",'Cost Improvement and Off Wnd'!$A$45:$A$53,0),MATCH('CCaMC-BCCpUC'!$A26,'Cost Improvement and Off Wnd'!$B$44:$AI$44,0))*1000*About!$A$71</f>
        <v>4705845.3936161082</v>
      </c>
      <c r="E26" s="4">
        <f>'EIA Costs'!$D$11*INDEX('Cost Improvement and Off Wnd'!$B$45:$AI$53,MATCH("hydro",'Cost Improvement and Off Wnd'!$A$45:$A$53,0),MATCH('CCaMC-BCCpUC'!$A26,'Cost Improvement and Off Wnd'!$B$44:$AI$44,0))*1000*About!$A$71</f>
        <v>1861499.5353034122</v>
      </c>
      <c r="F26" s="4">
        <v>0</v>
      </c>
      <c r="G26" s="4">
        <v>0</v>
      </c>
      <c r="H26" s="4">
        <f>'EIA Costs'!$D$14*INDEX('Cost Improvement and Off Wnd'!$B$45:$AI$53,MATCH("solar thermal",'Cost Improvement and Off Wnd'!$A$45:$A$53,0),MATCH('CCaMC-BCCpUC'!$A26,'Cost Improvement and Off Wnd'!$B$44:$AI$44,0))*1000*About!$A$71</f>
        <v>1439534.888969254</v>
      </c>
      <c r="I26" s="4">
        <f>'EIA Costs'!$D$9*INDEX('Cost Improvement and Off Wnd'!$B$45:$AI$53,MATCH("biomass",'Cost Improvement and Off Wnd'!$A$45:$A$53,0),MATCH('CCaMC-BCCpUC'!$A26,'Cost Improvement and Off Wnd'!$B$44:$AI$44,0))*1000*About!$A$71</f>
        <v>3246909.0993724768</v>
      </c>
      <c r="J26" s="4">
        <f>'EIA Costs'!$D$10*INDEX('Cost Improvement and Off Wnd'!$B$45:$AI$53,MATCH("geothermal",'Cost Improvement and Off Wnd'!$A$45:$A$53,0),MATCH('CCaMC-BCCpUC'!$A26,'Cost Improvement and Off Wnd'!$B$44:$AI$44,0))*1000*About!$A$71</f>
        <v>668659.39583219984</v>
      </c>
      <c r="K26" s="4">
        <f>'EIA Costs'!$D$7*INDEX('Cost Improvement and Off Wnd'!$B$45:$AI$53,MATCH("natural gas peaker",'Cost Improvement and Off Wnd'!$A$45:$A$53,0),MATCH('CCaMC-BCCpUC'!$A26,'Cost Improvement and Off Wnd'!$B$44:$AI$44,0))*1000*About!$A$71</f>
        <v>554884.21025692218</v>
      </c>
      <c r="L26" s="4">
        <f>'EIA Costs'!$D$7*INDEX('Cost Improvement and Off Wnd'!$B$45:$AI$53,MATCH("natural gas peaker",'Cost Improvement and Off Wnd'!$A$45:$A$53,0),MATCH('CCaMC-BCCpUC'!$A26,'Cost Improvement and Off Wnd'!$B$44:$AI$44,0))*1000*About!$A$71</f>
        <v>554884.21025692218</v>
      </c>
      <c r="M26" s="4">
        <f>B26*'Coal Cost Multipliers'!$B$33</f>
        <v>5124390.4101419989</v>
      </c>
      <c r="N26" s="4">
        <v>0</v>
      </c>
      <c r="O26" s="4">
        <f t="shared" si="0"/>
        <v>554884.21025692218</v>
      </c>
      <c r="P26" s="4">
        <f t="shared" si="1"/>
        <v>554884.21025692218</v>
      </c>
      <c r="Q26" s="4">
        <f>'EIA Costs'!$D$16*INDEX('Cost Improvement and Off Wnd'!$B$45:$AI$53,MATCH("biomass",'Cost Improvement and Off Wnd'!$A$45:$A$53,0),MATCH('CCaMC-BCCpUC'!$A26,'Cost Improvement and Off Wnd'!$B$44:$AI$44,0))*1000*About!$A$71</f>
        <v>7397570.8487657513</v>
      </c>
    </row>
    <row r="27" spans="1:17">
      <c r="A27" s="1">
        <v>2043</v>
      </c>
      <c r="B27" s="4">
        <f>'EIA Costs'!$D$3*INDEX('Cost Improvement and Off Wnd'!$B$45:$AI$53,MATCH("coal",'Cost Improvement and Off Wnd'!$A$45:$A$53,0),MATCH('CCaMC-BCCpUC'!$A27,'Cost Improvement and Off Wnd'!$B$44:$AI$44,0))*1000*About!$A$63</f>
        <v>4405889.3576820614</v>
      </c>
      <c r="C27" s="4">
        <f>'EIA Costs'!$D$5*INDEX('Cost Improvement and Off Wnd'!$B$45:$AI$53,MATCH("natural gas nonpeaker",'Cost Improvement and Off Wnd'!$A$45:$A$53,0),MATCH('CCaMC-BCCpUC'!$A27,'Cost Improvement and Off Wnd'!$B$44:$AI$44,0))*1000*About!$A$71</f>
        <v>897475.85991610389</v>
      </c>
      <c r="D27" s="4">
        <f>'EIA Costs'!$D$8*INDEX('Cost Improvement and Off Wnd'!$B$45:$AI$53,MATCH("nuclear",'Cost Improvement and Off Wnd'!$A$45:$A$53,0),MATCH('CCaMC-BCCpUC'!$A27,'Cost Improvement and Off Wnd'!$B$44:$AI$44,0))*1000*About!$A$71</f>
        <v>4685294.6223583268</v>
      </c>
      <c r="E27" s="4">
        <f>'EIA Costs'!$D$11*INDEX('Cost Improvement and Off Wnd'!$B$45:$AI$53,MATCH("hydro",'Cost Improvement and Off Wnd'!$A$45:$A$53,0),MATCH('CCaMC-BCCpUC'!$A27,'Cost Improvement and Off Wnd'!$B$44:$AI$44,0))*1000*About!$A$71</f>
        <v>1851088.8755479991</v>
      </c>
      <c r="F27" s="4">
        <v>0</v>
      </c>
      <c r="G27" s="4">
        <v>0</v>
      </c>
      <c r="H27" s="4">
        <f>'EIA Costs'!$D$14*INDEX('Cost Improvement and Off Wnd'!$B$45:$AI$53,MATCH("solar thermal",'Cost Improvement and Off Wnd'!$A$45:$A$53,0),MATCH('CCaMC-BCCpUC'!$A27,'Cost Improvement and Off Wnd'!$B$44:$AI$44,0))*1000*About!$A$71</f>
        <v>1423280.7843959855</v>
      </c>
      <c r="I27" s="4">
        <f>'EIA Costs'!$D$9*INDEX('Cost Improvement and Off Wnd'!$B$45:$AI$53,MATCH("biomass",'Cost Improvement and Off Wnd'!$A$45:$A$53,0),MATCH('CCaMC-BCCpUC'!$A27,'Cost Improvement and Off Wnd'!$B$44:$AI$44,0))*1000*About!$A$71</f>
        <v>3241407.783956822</v>
      </c>
      <c r="J27" s="4">
        <f>'EIA Costs'!$D$10*INDEX('Cost Improvement and Off Wnd'!$B$45:$AI$53,MATCH("geothermal",'Cost Improvement and Off Wnd'!$A$45:$A$53,0),MATCH('CCaMC-BCCpUC'!$A27,'Cost Improvement and Off Wnd'!$B$44:$AI$44,0))*1000*About!$A$71</f>
        <v>668659.39583219984</v>
      </c>
      <c r="K27" s="4">
        <f>'EIA Costs'!$D$7*INDEX('Cost Improvement and Off Wnd'!$B$45:$AI$53,MATCH("natural gas peaker",'Cost Improvement and Off Wnd'!$A$45:$A$53,0),MATCH('CCaMC-BCCpUC'!$A27,'Cost Improvement and Off Wnd'!$B$44:$AI$44,0))*1000*About!$A$71</f>
        <v>554391.38046651601</v>
      </c>
      <c r="L27" s="4">
        <f>'EIA Costs'!$D$7*INDEX('Cost Improvement and Off Wnd'!$B$45:$AI$53,MATCH("natural gas peaker",'Cost Improvement and Off Wnd'!$A$45:$A$53,0),MATCH('CCaMC-BCCpUC'!$A27,'Cost Improvement and Off Wnd'!$B$44:$AI$44,0))*1000*About!$A$71</f>
        <v>554391.38046651601</v>
      </c>
      <c r="M27" s="4">
        <f>B27*'Coal Cost Multipliers'!$B$33</f>
        <v>5106171.459173183</v>
      </c>
      <c r="N27" s="4">
        <v>0</v>
      </c>
      <c r="O27" s="4">
        <f t="shared" si="0"/>
        <v>554391.38046651601</v>
      </c>
      <c r="P27" s="4">
        <f t="shared" si="1"/>
        <v>554391.38046651601</v>
      </c>
      <c r="Q27" s="4">
        <f>'EIA Costs'!$D$16*INDEX('Cost Improvement and Off Wnd'!$B$45:$AI$53,MATCH("biomass",'Cost Improvement and Off Wnd'!$A$45:$A$53,0),MATCH('CCaMC-BCCpUC'!$A27,'Cost Improvement and Off Wnd'!$B$44:$AI$44,0))*1000*About!$A$71</f>
        <v>7385036.9682956832</v>
      </c>
    </row>
    <row r="28" spans="1:17">
      <c r="A28" s="1">
        <v>2044</v>
      </c>
      <c r="B28" s="4">
        <f>'EIA Costs'!$D$3*INDEX('Cost Improvement and Off Wnd'!$B$45:$AI$53,MATCH("coal",'Cost Improvement and Off Wnd'!$A$45:$A$53,0),MATCH('CCaMC-BCCpUC'!$A28,'Cost Improvement and Off Wnd'!$B$44:$AI$44,0))*1000*About!$A$63</f>
        <v>4378824.4001157461</v>
      </c>
      <c r="C28" s="4">
        <f>'EIA Costs'!$D$5*INDEX('Cost Improvement and Off Wnd'!$B$45:$AI$53,MATCH("natural gas nonpeaker",'Cost Improvement and Off Wnd'!$A$45:$A$53,0),MATCH('CCaMC-BCCpUC'!$A28,'Cost Improvement and Off Wnd'!$B$44:$AI$44,0))*1000*About!$A$71</f>
        <v>894254.85631226201</v>
      </c>
      <c r="D28" s="4">
        <f>'EIA Costs'!$D$8*INDEX('Cost Improvement and Off Wnd'!$B$45:$AI$53,MATCH("nuclear",'Cost Improvement and Off Wnd'!$A$45:$A$53,0),MATCH('CCaMC-BCCpUC'!$A28,'Cost Improvement and Off Wnd'!$B$44:$AI$44,0))*1000*About!$A$71</f>
        <v>4652678.500656059</v>
      </c>
      <c r="E28" s="4">
        <f>'EIA Costs'!$D$11*INDEX('Cost Improvement and Off Wnd'!$B$45:$AI$53,MATCH("hydro",'Cost Improvement and Off Wnd'!$A$45:$A$53,0),MATCH('CCaMC-BCCpUC'!$A28,'Cost Improvement and Off Wnd'!$B$44:$AI$44,0))*1000*About!$A$71</f>
        <v>1840678.2157925859</v>
      </c>
      <c r="F28" s="4">
        <v>0</v>
      </c>
      <c r="G28" s="4">
        <v>0</v>
      </c>
      <c r="H28" s="4">
        <f>'EIA Costs'!$D$14*INDEX('Cost Improvement and Off Wnd'!$B$45:$AI$53,MATCH("solar thermal",'Cost Improvement and Off Wnd'!$A$45:$A$53,0),MATCH('CCaMC-BCCpUC'!$A28,'Cost Improvement and Off Wnd'!$B$44:$AI$44,0))*1000*About!$A$71</f>
        <v>1407026.6798227169</v>
      </c>
      <c r="I28" s="4">
        <f>'EIA Costs'!$D$9*INDEX('Cost Improvement and Off Wnd'!$B$45:$AI$53,MATCH("biomass",'Cost Improvement and Off Wnd'!$A$45:$A$53,0),MATCH('CCaMC-BCCpUC'!$A28,'Cost Improvement and Off Wnd'!$B$44:$AI$44,0))*1000*About!$A$71</f>
        <v>3228014.3421793631</v>
      </c>
      <c r="J28" s="4">
        <f>'EIA Costs'!$D$10*INDEX('Cost Improvement and Off Wnd'!$B$45:$AI$53,MATCH("geothermal",'Cost Improvement and Off Wnd'!$A$45:$A$53,0),MATCH('CCaMC-BCCpUC'!$A28,'Cost Improvement and Off Wnd'!$B$44:$AI$44,0))*1000*About!$A$71</f>
        <v>668659.39583219984</v>
      </c>
      <c r="K28" s="4">
        <f>'EIA Costs'!$D$7*INDEX('Cost Improvement and Off Wnd'!$B$45:$AI$53,MATCH("natural gas peaker",'Cost Improvement and Off Wnd'!$A$45:$A$53,0),MATCH('CCaMC-BCCpUC'!$A28,'Cost Improvement and Off Wnd'!$B$44:$AI$44,0))*1000*About!$A$71</f>
        <v>552471.36324781028</v>
      </c>
      <c r="L28" s="4">
        <f>'EIA Costs'!$D$7*INDEX('Cost Improvement and Off Wnd'!$B$45:$AI$53,MATCH("natural gas peaker",'Cost Improvement and Off Wnd'!$A$45:$A$53,0),MATCH('CCaMC-BCCpUC'!$A28,'Cost Improvement and Off Wnd'!$B$44:$AI$44,0))*1000*About!$A$71</f>
        <v>552471.36324781028</v>
      </c>
      <c r="M28" s="4">
        <f>B28*'Coal Cost Multipliers'!$B$33</f>
        <v>5074804.7355336314</v>
      </c>
      <c r="N28" s="4">
        <v>0</v>
      </c>
      <c r="O28" s="4">
        <f t="shared" si="0"/>
        <v>552471.36324781028</v>
      </c>
      <c r="P28" s="4">
        <f t="shared" si="1"/>
        <v>552471.36324781028</v>
      </c>
      <c r="Q28" s="4">
        <f>'EIA Costs'!$D$16*INDEX('Cost Improvement and Off Wnd'!$B$45:$AI$53,MATCH("biomass",'Cost Improvement and Off Wnd'!$A$45:$A$53,0),MATCH('CCaMC-BCCpUC'!$A28,'Cost Improvement and Off Wnd'!$B$44:$AI$44,0))*1000*About!$A$71</f>
        <v>7354522.1212749518</v>
      </c>
    </row>
    <row r="29" spans="1:17">
      <c r="A29" s="1">
        <v>2045</v>
      </c>
      <c r="B29" s="4">
        <f>'EIA Costs'!$D$3*INDEX('Cost Improvement and Off Wnd'!$B$45:$AI$53,MATCH("coal",'Cost Improvement and Off Wnd'!$A$45:$A$53,0),MATCH('CCaMC-BCCpUC'!$A29,'Cost Improvement and Off Wnd'!$B$44:$AI$44,0))*1000*About!$A$63</f>
        <v>4362106.3510442022</v>
      </c>
      <c r="C29" s="4">
        <f>'EIA Costs'!$D$5*INDEX('Cost Improvement and Off Wnd'!$B$45:$AI$53,MATCH("natural gas nonpeaker",'Cost Improvement and Off Wnd'!$A$45:$A$53,0),MATCH('CCaMC-BCCpUC'!$A29,'Cost Improvement and Off Wnd'!$B$44:$AI$44,0))*1000*About!$A$71</f>
        <v>893146.79079662124</v>
      </c>
      <c r="D29" s="4">
        <f>'EIA Costs'!$D$8*INDEX('Cost Improvement and Off Wnd'!$B$45:$AI$53,MATCH("nuclear",'Cost Improvement and Off Wnd'!$A$45:$A$53,0),MATCH('CCaMC-BCCpUC'!$A29,'Cost Improvement and Off Wnd'!$B$44:$AI$44,0))*1000*About!$A$71</f>
        <v>4631056.6298666513</v>
      </c>
      <c r="E29" s="4">
        <f>'EIA Costs'!$D$11*INDEX('Cost Improvement and Off Wnd'!$B$45:$AI$53,MATCH("hydro",'Cost Improvement and Off Wnd'!$A$45:$A$53,0),MATCH('CCaMC-BCCpUC'!$A29,'Cost Improvement and Off Wnd'!$B$44:$AI$44,0))*1000*About!$A$71</f>
        <v>1830267.5560371724</v>
      </c>
      <c r="F29" s="4">
        <v>0</v>
      </c>
      <c r="G29" s="4">
        <v>0</v>
      </c>
      <c r="H29" s="4">
        <f>'EIA Costs'!$D$14*INDEX('Cost Improvement and Off Wnd'!$B$45:$AI$53,MATCH("solar thermal",'Cost Improvement and Off Wnd'!$A$45:$A$53,0),MATCH('CCaMC-BCCpUC'!$A29,'Cost Improvement and Off Wnd'!$B$44:$AI$44,0))*1000*About!$A$71</f>
        <v>1390772.5752494477</v>
      </c>
      <c r="I29" s="4">
        <f>'EIA Costs'!$D$9*INDEX('Cost Improvement and Off Wnd'!$B$45:$AI$53,MATCH("biomass",'Cost Improvement and Off Wnd'!$A$45:$A$53,0),MATCH('CCaMC-BCCpUC'!$A29,'Cost Improvement and Off Wnd'!$B$44:$AI$44,0))*1000*About!$A$71</f>
        <v>3221832.2607411454</v>
      </c>
      <c r="J29" s="4">
        <f>'EIA Costs'!$D$10*INDEX('Cost Improvement and Off Wnd'!$B$45:$AI$53,MATCH("geothermal",'Cost Improvement and Off Wnd'!$A$45:$A$53,0),MATCH('CCaMC-BCCpUC'!$A29,'Cost Improvement and Off Wnd'!$B$44:$AI$44,0))*1000*About!$A$71</f>
        <v>668659.39583219984</v>
      </c>
      <c r="K29" s="4">
        <f>'EIA Costs'!$D$7*INDEX('Cost Improvement and Off Wnd'!$B$45:$AI$53,MATCH("natural gas peaker",'Cost Improvement and Off Wnd'!$A$45:$A$53,0),MATCH('CCaMC-BCCpUC'!$A29,'Cost Improvement and Off Wnd'!$B$44:$AI$44,0))*1000*About!$A$71</f>
        <v>551856.68438044505</v>
      </c>
      <c r="L29" s="4">
        <f>'EIA Costs'!$D$7*INDEX('Cost Improvement and Off Wnd'!$B$45:$AI$53,MATCH("natural gas peaker",'Cost Improvement and Off Wnd'!$A$45:$A$53,0),MATCH('CCaMC-BCCpUC'!$A29,'Cost Improvement and Off Wnd'!$B$44:$AI$44,0))*1000*About!$A$71</f>
        <v>551856.68438044505</v>
      </c>
      <c r="M29" s="4">
        <f>B29*'Coal Cost Multipliers'!$B$33</f>
        <v>5055429.4816196105</v>
      </c>
      <c r="N29" s="4">
        <v>0</v>
      </c>
      <c r="O29" s="4">
        <f t="shared" si="0"/>
        <v>551856.68438044505</v>
      </c>
      <c r="P29" s="4">
        <f t="shared" si="1"/>
        <v>551856.68438044505</v>
      </c>
      <c r="Q29" s="4">
        <f>'EIA Costs'!$D$16*INDEX('Cost Improvement and Off Wnd'!$B$45:$AI$53,MATCH("biomass",'Cost Improvement and Off Wnd'!$A$45:$A$53,0),MATCH('CCaMC-BCCpUC'!$A29,'Cost Improvement and Off Wnd'!$B$44:$AI$44,0))*1000*About!$A$71</f>
        <v>7340437.2226737272</v>
      </c>
    </row>
    <row r="30" spans="1:17">
      <c r="A30" s="1">
        <v>2046</v>
      </c>
      <c r="B30" s="4">
        <f>'EIA Costs'!$D$3*INDEX('Cost Improvement and Off Wnd'!$B$45:$AI$53,MATCH("coal",'Cost Improvement and Off Wnd'!$A$45:$A$53,0),MATCH('CCaMC-BCCpUC'!$A30,'Cost Improvement and Off Wnd'!$B$44:$AI$44,0))*1000*About!$A$63</f>
        <v>4336769.959802771</v>
      </c>
      <c r="C30" s="4">
        <f>'EIA Costs'!$D$5*INDEX('Cost Improvement and Off Wnd'!$B$45:$AI$53,MATCH("natural gas nonpeaker",'Cost Improvement and Off Wnd'!$A$45:$A$53,0),MATCH('CCaMC-BCCpUC'!$A30,'Cost Improvement and Off Wnd'!$B$44:$AI$44,0))*1000*About!$A$71</f>
        <v>890275.17907585343</v>
      </c>
      <c r="D30" s="4">
        <f>'EIA Costs'!$D$8*INDEX('Cost Improvement and Off Wnd'!$B$45:$AI$53,MATCH("nuclear",'Cost Improvement and Off Wnd'!$A$45:$A$53,0),MATCH('CCaMC-BCCpUC'!$A30,'Cost Improvement and Off Wnd'!$B$44:$AI$44,0))*1000*About!$A$71</f>
        <v>4600284.9973030258</v>
      </c>
      <c r="E30" s="4">
        <f>'EIA Costs'!$D$11*INDEX('Cost Improvement and Off Wnd'!$B$45:$AI$53,MATCH("hydro",'Cost Improvement and Off Wnd'!$A$45:$A$53,0),MATCH('CCaMC-BCCpUC'!$A30,'Cost Improvement and Off Wnd'!$B$44:$AI$44,0))*1000*About!$A$71</f>
        <v>1819856.8962817597</v>
      </c>
      <c r="F30" s="4">
        <v>0</v>
      </c>
      <c r="G30" s="4">
        <v>0</v>
      </c>
      <c r="H30" s="4">
        <f>'EIA Costs'!$D$14*INDEX('Cost Improvement and Off Wnd'!$B$45:$AI$53,MATCH("solar thermal",'Cost Improvement and Off Wnd'!$A$45:$A$53,0),MATCH('CCaMC-BCCpUC'!$A30,'Cost Improvement and Off Wnd'!$B$44:$AI$44,0))*1000*About!$A$71</f>
        <v>1374518.470676179</v>
      </c>
      <c r="I30" s="4">
        <f>'EIA Costs'!$D$9*INDEX('Cost Improvement and Off Wnd'!$B$45:$AI$53,MATCH("biomass",'Cost Improvement and Off Wnd'!$A$45:$A$53,0),MATCH('CCaMC-BCCpUC'!$A30,'Cost Improvement and Off Wnd'!$B$44:$AI$44,0))*1000*About!$A$71</f>
        <v>3209635.4861874729</v>
      </c>
      <c r="J30" s="4">
        <f>'EIA Costs'!$D$10*INDEX('Cost Improvement and Off Wnd'!$B$45:$AI$53,MATCH("geothermal",'Cost Improvement and Off Wnd'!$A$45:$A$53,0),MATCH('CCaMC-BCCpUC'!$A30,'Cost Improvement and Off Wnd'!$B$44:$AI$44,0))*1000*About!$A$71</f>
        <v>668659.39583219984</v>
      </c>
      <c r="K30" s="4">
        <f>'EIA Costs'!$D$7*INDEX('Cost Improvement and Off Wnd'!$B$45:$AI$53,MATCH("natural gas peaker",'Cost Improvement and Off Wnd'!$A$45:$A$53,0),MATCH('CCaMC-BCCpUC'!$A30,'Cost Improvement and Off Wnd'!$B$44:$AI$44,0))*1000*About!$A$71</f>
        <v>550152.42239255458</v>
      </c>
      <c r="L30" s="4">
        <f>'EIA Costs'!$D$7*INDEX('Cost Improvement and Off Wnd'!$B$45:$AI$53,MATCH("natural gas peaker",'Cost Improvement and Off Wnd'!$A$45:$A$53,0),MATCH('CCaMC-BCCpUC'!$A30,'Cost Improvement and Off Wnd'!$B$44:$AI$44,0))*1000*About!$A$71</f>
        <v>550152.42239255458</v>
      </c>
      <c r="M30" s="4">
        <f>B30*'Coal Cost Multipliers'!$B$33</f>
        <v>5026066.0665783612</v>
      </c>
      <c r="N30" s="4">
        <v>0</v>
      </c>
      <c r="O30" s="4">
        <f t="shared" si="0"/>
        <v>550152.42239255458</v>
      </c>
      <c r="P30" s="4">
        <f t="shared" si="1"/>
        <v>550152.42239255458</v>
      </c>
      <c r="Q30" s="4">
        <f>'EIA Costs'!$D$16*INDEX('Cost Improvement and Off Wnd'!$B$45:$AI$53,MATCH("biomass",'Cost Improvement and Off Wnd'!$A$45:$A$53,0),MATCH('CCaMC-BCCpUC'!$A30,'Cost Improvement and Off Wnd'!$B$44:$AI$44,0))*1000*About!$A$71</f>
        <v>7312648.7933935076</v>
      </c>
    </row>
    <row r="31" spans="1:17">
      <c r="A31" s="1">
        <v>2047</v>
      </c>
      <c r="B31" s="4">
        <f>'EIA Costs'!$D$3*INDEX('Cost Improvement and Off Wnd'!$B$45:$AI$53,MATCH("coal",'Cost Improvement and Off Wnd'!$A$45:$A$53,0),MATCH('CCaMC-BCCpUC'!$A31,'Cost Improvement and Off Wnd'!$B$44:$AI$44,0))*1000*About!$A$63</f>
        <v>4315481.4844746375</v>
      </c>
      <c r="C31" s="4">
        <f>'EIA Costs'!$D$5*INDEX('Cost Improvement and Off Wnd'!$B$45:$AI$53,MATCH("natural gas nonpeaker",'Cost Improvement and Off Wnd'!$A$45:$A$53,0),MATCH('CCaMC-BCCpUC'!$A31,'Cost Improvement and Off Wnd'!$B$44:$AI$44,0))*1000*About!$A$71</f>
        <v>888232.92473174375</v>
      </c>
      <c r="D31" s="4">
        <f>'EIA Costs'!$D$8*INDEX('Cost Improvement and Off Wnd'!$B$45:$AI$53,MATCH("nuclear",'Cost Improvement and Off Wnd'!$A$45:$A$53,0),MATCH('CCaMC-BCCpUC'!$A31,'Cost Improvement and Off Wnd'!$B$44:$AI$44,0))*1000*About!$A$71</f>
        <v>4573809.735484709</v>
      </c>
      <c r="E31" s="4">
        <f>'EIA Costs'!$D$11*INDEX('Cost Improvement and Off Wnd'!$B$45:$AI$53,MATCH("hydro",'Cost Improvement and Off Wnd'!$A$45:$A$53,0),MATCH('CCaMC-BCCpUC'!$A31,'Cost Improvement and Off Wnd'!$B$44:$AI$44,0))*1000*About!$A$71</f>
        <v>1809446.2365263463</v>
      </c>
      <c r="F31" s="4">
        <v>0</v>
      </c>
      <c r="G31" s="4">
        <v>0</v>
      </c>
      <c r="H31" s="4">
        <f>'EIA Costs'!$D$14*INDEX('Cost Improvement and Off Wnd'!$B$45:$AI$53,MATCH("solar thermal",'Cost Improvement and Off Wnd'!$A$45:$A$53,0),MATCH('CCaMC-BCCpUC'!$A31,'Cost Improvement and Off Wnd'!$B$44:$AI$44,0))*1000*About!$A$71</f>
        <v>1358264.3661029099</v>
      </c>
      <c r="I31" s="4">
        <f>'EIA Costs'!$D$9*INDEX('Cost Improvement and Off Wnd'!$B$45:$AI$53,MATCH("biomass",'Cost Improvement and Off Wnd'!$A$45:$A$53,0),MATCH('CCaMC-BCCpUC'!$A31,'Cost Improvement and Off Wnd'!$B$44:$AI$44,0))*1000*About!$A$71</f>
        <v>3200266.2664250759</v>
      </c>
      <c r="J31" s="4">
        <f>'EIA Costs'!$D$10*INDEX('Cost Improvement and Off Wnd'!$B$45:$AI$53,MATCH("geothermal",'Cost Improvement and Off Wnd'!$A$45:$A$53,0),MATCH('CCaMC-BCCpUC'!$A31,'Cost Improvement and Off Wnd'!$B$44:$AI$44,0))*1000*About!$A$71</f>
        <v>668659.39583219984</v>
      </c>
      <c r="K31" s="4">
        <f>'EIA Costs'!$D$7*INDEX('Cost Improvement and Off Wnd'!$B$45:$AI$53,MATCH("natural gas peaker",'Cost Improvement and Off Wnd'!$A$45:$A$53,0),MATCH('CCaMC-BCCpUC'!$A31,'Cost Improvement and Off Wnd'!$B$44:$AI$44,0))*1000*About!$A$71</f>
        <v>548960.60343798099</v>
      </c>
      <c r="L31" s="4">
        <f>'EIA Costs'!$D$7*INDEX('Cost Improvement and Off Wnd'!$B$45:$AI$53,MATCH("natural gas peaker",'Cost Improvement and Off Wnd'!$A$45:$A$53,0),MATCH('CCaMC-BCCpUC'!$A31,'Cost Improvement and Off Wnd'!$B$44:$AI$44,0))*1000*About!$A$71</f>
        <v>548960.60343798099</v>
      </c>
      <c r="M31" s="4">
        <f>B31*'Coal Cost Multipliers'!$B$33</f>
        <v>5001393.9524363447</v>
      </c>
      <c r="N31" s="4">
        <v>0</v>
      </c>
      <c r="O31" s="4">
        <f t="shared" si="0"/>
        <v>548960.60343798099</v>
      </c>
      <c r="P31" s="4">
        <f t="shared" si="1"/>
        <v>548960.60343798099</v>
      </c>
      <c r="Q31" s="4">
        <f>'EIA Costs'!$D$16*INDEX('Cost Improvement and Off Wnd'!$B$45:$AI$53,MATCH("biomass",'Cost Improvement and Off Wnd'!$A$45:$A$53,0),MATCH('CCaMC-BCCpUC'!$A31,'Cost Improvement and Off Wnd'!$B$44:$AI$44,0))*1000*About!$A$71</f>
        <v>7291302.5022382103</v>
      </c>
    </row>
    <row r="32" spans="1:17">
      <c r="A32" s="1">
        <v>2048</v>
      </c>
      <c r="B32" s="4">
        <f>'EIA Costs'!$D$3*INDEX('Cost Improvement and Off Wnd'!$B$45:$AI$53,MATCH("coal",'Cost Improvement and Off Wnd'!$A$45:$A$53,0),MATCH('CCaMC-BCCpUC'!$A32,'Cost Improvement and Off Wnd'!$B$44:$AI$44,0))*1000*About!$A$63</f>
        <v>4294121.837076081</v>
      </c>
      <c r="C32" s="4">
        <f>'EIA Costs'!$D$5*INDEX('Cost Improvement and Off Wnd'!$B$45:$AI$53,MATCH("natural gas nonpeaker",'Cost Improvement and Off Wnd'!$A$45:$A$53,0),MATCH('CCaMC-BCCpUC'!$A32,'Cost Improvement and Off Wnd'!$B$44:$AI$44,0))*1000*About!$A$71</f>
        <v>886176.35560993128</v>
      </c>
      <c r="D32" s="4">
        <f>'EIA Costs'!$D$8*INDEX('Cost Improvement and Off Wnd'!$B$45:$AI$53,MATCH("nuclear",'Cost Improvement and Off Wnd'!$A$45:$A$53,0),MATCH('CCaMC-BCCpUC'!$A32,'Cost Improvement and Off Wnd'!$B$44:$AI$44,0))*1000*About!$A$71</f>
        <v>4547256.0722374143</v>
      </c>
      <c r="E32" s="4">
        <f>'EIA Costs'!$D$11*INDEX('Cost Improvement and Off Wnd'!$B$45:$AI$53,MATCH("hydro",'Cost Improvement and Off Wnd'!$A$45:$A$53,0),MATCH('CCaMC-BCCpUC'!$A32,'Cost Improvement and Off Wnd'!$B$44:$AI$44,0))*1000*About!$A$71</f>
        <v>1799035.5767709336</v>
      </c>
      <c r="F32" s="4">
        <v>0</v>
      </c>
      <c r="G32" s="4">
        <v>0</v>
      </c>
      <c r="H32" s="4">
        <f>'EIA Costs'!$D$14*INDEX('Cost Improvement and Off Wnd'!$B$45:$AI$53,MATCH("solar thermal",'Cost Improvement and Off Wnd'!$A$45:$A$53,0),MATCH('CCaMC-BCCpUC'!$A32,'Cost Improvement and Off Wnd'!$B$44:$AI$44,0))*1000*About!$A$71</f>
        <v>1342010.261529641</v>
      </c>
      <c r="I32" s="4">
        <f>'EIA Costs'!$D$9*INDEX('Cost Improvement and Off Wnd'!$B$45:$AI$53,MATCH("biomass",'Cost Improvement and Off Wnd'!$A$45:$A$53,0),MATCH('CCaMC-BCCpUC'!$A32,'Cost Improvement and Off Wnd'!$B$44:$AI$44,0))*1000*About!$A$71</f>
        <v>3190847.9381775381</v>
      </c>
      <c r="J32" s="4">
        <f>'EIA Costs'!$D$10*INDEX('Cost Improvement and Off Wnd'!$B$45:$AI$53,MATCH("geothermal",'Cost Improvement and Off Wnd'!$A$45:$A$53,0),MATCH('CCaMC-BCCpUC'!$A32,'Cost Improvement and Off Wnd'!$B$44:$AI$44,0))*1000*About!$A$71</f>
        <v>668659.39583219984</v>
      </c>
      <c r="K32" s="4">
        <f>'EIA Costs'!$D$7*INDEX('Cost Improvement and Off Wnd'!$B$45:$AI$53,MATCH("natural gas peaker",'Cost Improvement and Off Wnd'!$A$45:$A$53,0),MATCH('CCaMC-BCCpUC'!$A32,'Cost Improvement and Off Wnd'!$B$44:$AI$44,0))*1000*About!$A$71</f>
        <v>547759.99001111533</v>
      </c>
      <c r="L32" s="4">
        <f>'EIA Costs'!$D$7*INDEX('Cost Improvement and Off Wnd'!$B$45:$AI$53,MATCH("natural gas peaker",'Cost Improvement and Off Wnd'!$A$45:$A$53,0),MATCH('CCaMC-BCCpUC'!$A32,'Cost Improvement and Off Wnd'!$B$44:$AI$44,0))*1000*About!$A$71</f>
        <v>547759.99001111533</v>
      </c>
      <c r="M32" s="4">
        <f>B32*'Coal Cost Multipliers'!$B$33</f>
        <v>4976639.3539727349</v>
      </c>
      <c r="N32" s="4">
        <v>0</v>
      </c>
      <c r="O32" s="4">
        <f t="shared" si="0"/>
        <v>547759.99001111533</v>
      </c>
      <c r="P32" s="4">
        <f t="shared" si="1"/>
        <v>547759.99001111533</v>
      </c>
      <c r="Q32" s="4">
        <f>'EIA Costs'!$D$16*INDEX('Cost Improvement and Off Wnd'!$B$45:$AI$53,MATCH("biomass",'Cost Improvement and Off Wnd'!$A$45:$A$53,0),MATCH('CCaMC-BCCpUC'!$A32,'Cost Improvement and Off Wnd'!$B$44:$AI$44,0))*1000*About!$A$71</f>
        <v>7269844.3251363151</v>
      </c>
    </row>
    <row r="33" spans="1:17">
      <c r="A33" s="1">
        <v>2049</v>
      </c>
      <c r="B33" s="4">
        <f>'EIA Costs'!$D$3*INDEX('Cost Improvement and Off Wnd'!$B$45:$AI$53,MATCH("coal",'Cost Improvement and Off Wnd'!$A$45:$A$53,0),MATCH('CCaMC-BCCpUC'!$A33,'Cost Improvement and Off Wnd'!$B$44:$AI$44,0))*1000*About!$A$63</f>
        <v>4272377.1143856384</v>
      </c>
      <c r="C33" s="4">
        <f>'EIA Costs'!$D$5*INDEX('Cost Improvement and Off Wnd'!$B$45:$AI$53,MATCH("natural gas nonpeaker",'Cost Improvement and Off Wnd'!$A$45:$A$53,0),MATCH('CCaMC-BCCpUC'!$A33,'Cost Improvement and Off Wnd'!$B$44:$AI$44,0))*1000*About!$A$71</f>
        <v>884040.8418737516</v>
      </c>
      <c r="D33" s="4">
        <f>'EIA Costs'!$D$8*INDEX('Cost Improvement and Off Wnd'!$B$45:$AI$53,MATCH("nuclear",'Cost Improvement and Off Wnd'!$A$45:$A$53,0),MATCH('CCaMC-BCCpUC'!$A33,'Cost Improvement and Off Wnd'!$B$44:$AI$44,0))*1000*About!$A$71</f>
        <v>4520295.1836425504</v>
      </c>
      <c r="E33" s="4">
        <f>'EIA Costs'!$D$11*INDEX('Cost Improvement and Off Wnd'!$B$45:$AI$53,MATCH("hydro",'Cost Improvement and Off Wnd'!$A$45:$A$53,0),MATCH('CCaMC-BCCpUC'!$A33,'Cost Improvement and Off Wnd'!$B$44:$AI$44,0))*1000*About!$A$71</f>
        <v>1788624.9170155204</v>
      </c>
      <c r="F33" s="4">
        <v>0</v>
      </c>
      <c r="G33" s="4">
        <v>0</v>
      </c>
      <c r="H33" s="4">
        <f>'EIA Costs'!$D$14*INDEX('Cost Improvement and Off Wnd'!$B$45:$AI$53,MATCH("solar thermal",'Cost Improvement and Off Wnd'!$A$45:$A$53,0),MATCH('CCaMC-BCCpUC'!$A33,'Cost Improvement and Off Wnd'!$B$44:$AI$44,0))*1000*About!$A$71</f>
        <v>1325756.1569563723</v>
      </c>
      <c r="I33" s="4">
        <f>'EIA Costs'!$D$9*INDEX('Cost Improvement and Off Wnd'!$B$45:$AI$53,MATCH("biomass",'Cost Improvement and Off Wnd'!$A$45:$A$53,0),MATCH('CCaMC-BCCpUC'!$A33,'Cost Improvement and Off Wnd'!$B$44:$AI$44,0))*1000*About!$A$71</f>
        <v>3181160.2441755827</v>
      </c>
      <c r="J33" s="4">
        <f>'EIA Costs'!$D$10*INDEX('Cost Improvement and Off Wnd'!$B$45:$AI$53,MATCH("geothermal",'Cost Improvement and Off Wnd'!$A$45:$A$53,0),MATCH('CCaMC-BCCpUC'!$A33,'Cost Improvement and Off Wnd'!$B$44:$AI$44,0))*1000*About!$A$71</f>
        <v>668659.39583219984</v>
      </c>
      <c r="K33" s="4">
        <f>'EIA Costs'!$D$7*INDEX('Cost Improvement and Off Wnd'!$B$45:$AI$53,MATCH("natural gas peaker",'Cost Improvement and Off Wnd'!$A$45:$A$53,0),MATCH('CCaMC-BCCpUC'!$A33,'Cost Improvement and Off Wnd'!$B$44:$AI$44,0))*1000*About!$A$71</f>
        <v>546510.49006492062</v>
      </c>
      <c r="L33" s="4">
        <f>'EIA Costs'!$D$7*INDEX('Cost Improvement and Off Wnd'!$B$45:$AI$53,MATCH("natural gas peaker",'Cost Improvement and Off Wnd'!$A$45:$A$53,0),MATCH('CCaMC-BCCpUC'!$A33,'Cost Improvement and Off Wnd'!$B$44:$AI$44,0))*1000*About!$A$71</f>
        <v>546510.49006492062</v>
      </c>
      <c r="M33" s="4">
        <f>B33*'Coal Cost Multipliers'!$B$33</f>
        <v>4951438.4754722388</v>
      </c>
      <c r="N33" s="4">
        <v>0</v>
      </c>
      <c r="O33" s="4">
        <f t="shared" si="0"/>
        <v>546510.49006492062</v>
      </c>
      <c r="P33" s="4">
        <f t="shared" si="1"/>
        <v>546510.49006492062</v>
      </c>
      <c r="Q33" s="4">
        <f>'EIA Costs'!$D$16*INDEX('Cost Improvement and Off Wnd'!$B$45:$AI$53,MATCH("biomass",'Cost Improvement and Off Wnd'!$A$45:$A$53,0),MATCH('CCaMC-BCCpUC'!$A33,'Cost Improvement and Off Wnd'!$B$44:$AI$44,0))*1000*About!$A$71</f>
        <v>7247772.4406001931</v>
      </c>
    </row>
    <row r="34" spans="1:17">
      <c r="A34" s="1">
        <v>2050</v>
      </c>
      <c r="B34" s="4">
        <f>'EIA Costs'!$D$3*INDEX('Cost Improvement and Off Wnd'!$B$45:$AI$53,MATCH("coal",'Cost Improvement and Off Wnd'!$A$45:$A$53,0),MATCH('CCaMC-BCCpUC'!$A34,'Cost Improvement and Off Wnd'!$B$44:$AI$44,0))*1000*About!$A$63</f>
        <v>4217869.8575414019</v>
      </c>
      <c r="C34" s="4">
        <f>'EIA Costs'!$D$5*INDEX('Cost Improvement and Off Wnd'!$B$45:$AI$53,MATCH("natural gas nonpeaker",'Cost Improvement and Off Wnd'!$A$45:$A$53,0),MATCH('CCaMC-BCCpUC'!$A34,'Cost Improvement and Off Wnd'!$B$44:$AI$44,0))*1000*About!$A$71</f>
        <v>875107.94943165942</v>
      </c>
      <c r="D34" s="4">
        <f>'EIA Costs'!$D$8*INDEX('Cost Improvement and Off Wnd'!$B$45:$AI$53,MATCH("nuclear",'Cost Improvement and Off Wnd'!$A$45:$A$53,0),MATCH('CCaMC-BCCpUC'!$A34,'Cost Improvement and Off Wnd'!$B$44:$AI$44,0))*1000*About!$A$71</f>
        <v>4458701.0732432539</v>
      </c>
      <c r="E34" s="4">
        <f>'EIA Costs'!$D$11*INDEX('Cost Improvement and Off Wnd'!$B$45:$AI$53,MATCH("hydro",'Cost Improvement and Off Wnd'!$A$45:$A$53,0),MATCH('CCaMC-BCCpUC'!$A34,'Cost Improvement and Off Wnd'!$B$44:$AI$44,0))*1000*About!$A$71</f>
        <v>1778214.2572601077</v>
      </c>
      <c r="F34" s="4">
        <v>0</v>
      </c>
      <c r="G34" s="4">
        <v>0</v>
      </c>
      <c r="H34" s="4">
        <f>'EIA Costs'!$D$14*INDEX('Cost Improvement and Off Wnd'!$B$45:$AI$53,MATCH("solar thermal",'Cost Improvement and Off Wnd'!$A$45:$A$53,0),MATCH('CCaMC-BCCpUC'!$A34,'Cost Improvement and Off Wnd'!$B$44:$AI$44,0))*1000*About!$A$71</f>
        <v>1309502.0523831041</v>
      </c>
      <c r="I34" s="4">
        <f>'EIA Costs'!$D$9*INDEX('Cost Improvement and Off Wnd'!$B$45:$AI$53,MATCH("biomass",'Cost Improvement and Off Wnd'!$A$45:$A$53,0),MATCH('CCaMC-BCCpUC'!$A34,'Cost Improvement and Off Wnd'!$B$44:$AI$44,0))*1000*About!$A$71</f>
        <v>3148388.0289021889</v>
      </c>
      <c r="J34" s="4">
        <f>'EIA Costs'!$D$10*INDEX('Cost Improvement and Off Wnd'!$B$45:$AI$53,MATCH("geothermal",'Cost Improvement and Off Wnd'!$A$45:$A$53,0),MATCH('CCaMC-BCCpUC'!$A34,'Cost Improvement and Off Wnd'!$B$44:$AI$44,0))*1000*About!$A$71</f>
        <v>668659.39583219984</v>
      </c>
      <c r="K34" s="4">
        <f>'EIA Costs'!$D$7*INDEX('Cost Improvement and Off Wnd'!$B$45:$AI$53,MATCH("natural gas peaker",'Cost Improvement and Off Wnd'!$A$45:$A$53,0),MATCH('CCaMC-BCCpUC'!$A34,'Cost Improvement and Off Wnd'!$B$44:$AI$44,0))*1000*About!$A$71</f>
        <v>541058.41525406053</v>
      </c>
      <c r="L34" s="4">
        <f>'EIA Costs'!$D$7*INDEX('Cost Improvement and Off Wnd'!$B$45:$AI$53,MATCH("natural gas peaker",'Cost Improvement and Off Wnd'!$A$45:$A$53,0),MATCH('CCaMC-BCCpUC'!$A34,'Cost Improvement and Off Wnd'!$B$44:$AI$44,0))*1000*About!$A$71</f>
        <v>541058.41525406053</v>
      </c>
      <c r="M34" s="4">
        <f>B34*'Coal Cost Multipliers'!$B$33</f>
        <v>4888267.7109294161</v>
      </c>
      <c r="N34" s="4">
        <v>0</v>
      </c>
      <c r="O34" s="4">
        <f t="shared" si="0"/>
        <v>541058.41525406053</v>
      </c>
      <c r="P34" s="4">
        <f t="shared" si="1"/>
        <v>541058.41525406053</v>
      </c>
      <c r="Q34" s="4">
        <f>'EIA Costs'!$D$16*INDEX('Cost Improvement and Off Wnd'!$B$45:$AI$53,MATCH("biomass",'Cost Improvement and Off Wnd'!$A$45:$A$53,0),MATCH('CCaMC-BCCpUC'!$A34,'Cost Improvement and Off Wnd'!$B$44:$AI$44,0))*1000*About!$A$71</f>
        <v>7173106.1111970115</v>
      </c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  <row r="47" spans="1:17">
      <c r="B47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053284-7C58-45AC-9554-C89BE7A530D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FA2DBE0-7CBC-4A8F-8992-60B1CB41C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CEEDCB-921F-4AFD-BB2E-366B27A3D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2014-02-14T06:19:38Z</dcterms:created>
  <dcterms:modified xsi:type="dcterms:W3CDTF">2019-10-22T09:27:22Z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