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mengpin.ge\World Resources Institute\TRAC City - HK 2050 is now\EPS HK 2.0\eps-2.0.0-us-wipF\InputData\trans\BAADTbVT\"/>
    </mc:Choice>
  </mc:AlternateContent>
  <xr:revisionPtr revIDLastSave="1238" documentId="11_AD82337C2350E43599ECDF91D5F6DA9B4D08506B" xr6:coauthVersionLast="41" xr6:coauthVersionMax="45" xr10:uidLastSave="{11EAA654-C617-4E3E-B87E-838E42F973F5}"/>
  <bookViews>
    <workbookView minimized="1" xWindow="8085" yWindow="2505" windowWidth="20460" windowHeight="11490" firstSheet="2" activeTab="10" xr2:uid="{00000000-000D-0000-FFFF-FFFF00000000}"/>
  </bookViews>
  <sheets>
    <sheet name="About" sheetId="1" r:id="rId1"/>
    <sheet name="Ships" sheetId="21" r:id="rId2"/>
    <sheet name="Extra_Info" sheetId="20" r:id="rId3"/>
    <sheet name="Rail-MTR" sheetId="18" r:id="rId4"/>
    <sheet name="HK Passenger" sheetId="16" r:id="rId5"/>
    <sheet name="HK Freight" sheetId="17" r:id="rId6"/>
    <sheet name="HK Taxi" sheetId="23" r:id="rId7"/>
    <sheet name="HK Air" sheetId="19" r:id="rId8"/>
    <sheet name="T2.2 (b)" sheetId="25" r:id="rId9"/>
    <sheet name="Sheet1" sheetId="24" r:id="rId10"/>
    <sheet name="BAADTbVT-freight" sheetId="12" r:id="rId11"/>
    <sheet name="BAADTbVT-passengers" sheetId="6" r:id="rId12"/>
  </sheets>
  <externalReferences>
    <externalReference r:id="rId13"/>
    <externalReference r:id="rId14"/>
    <externalReference r:id="rId15"/>
    <externalReference r:id="rId16"/>
  </externalReferences>
  <definedNames>
    <definedName name="_Key1" hidden="1">#REF!</definedName>
    <definedName name="_Sort" hidden="1">#REF!</definedName>
    <definedName name="Eno_TM">'[1]1997  Table 1a Modified'!#REF!</definedName>
    <definedName name="Eno_Tons">'[1]1997  Table 1a Modified'!#REF!</definedName>
    <definedName name="p.1">#REF!</definedName>
    <definedName name="p.2">#REF!</definedName>
    <definedName name="_xlnm.Print_Area" localSheetId="8">'T2.2 (b)'!$A$1:$AC$34</definedName>
    <definedName name="_xlnm.Print_Titles" localSheetId="8">'T2.2 (b)'!$4:$9</definedName>
    <definedName name="Sum_T2">'[1]1997  Table 1a Modified'!#REF!</definedName>
    <definedName name="Sum_TTM">'[1]1997  Table 1a Modified'!#REF!</definedName>
    <definedName name="ti_tbl_50">#REF!</definedName>
    <definedName name="ti_tbl_69">#REF!</definedName>
    <definedName name="wrn.Full_set." localSheetId="8" hidden="1">{#N/A,#N/A,FALSE,"T01";#N/A,#N/A,FALSE,"T01cont";#N/A,#N/A,FALSE,"T1.2a";#N/A,#N/A,FALSE,"T1.2b"}</definedName>
    <definedName name="wrn.Full_set." hidden="1">{#N/A,#N/A,FALSE,"T01";#N/A,#N/A,FALSE,"T01cont";#N/A,#N/A,FALSE,"T1.2a";#N/A,#N/A,FALSE,"T1.2b"}</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10" i="25" l="1"/>
  <c r="AD11" i="25"/>
  <c r="AD12" i="25"/>
  <c r="AD13" i="25"/>
  <c r="AD14" i="25"/>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AJ7" i="12"/>
  <c r="AF91" i="23"/>
  <c r="V91" i="23"/>
  <c r="V90" i="23"/>
  <c r="U90" i="23"/>
  <c r="D90" i="23"/>
  <c r="U89" i="23"/>
  <c r="K89" i="23"/>
  <c r="J89" i="23"/>
  <c r="G89" i="23"/>
  <c r="F89" i="23"/>
  <c r="D89" i="23"/>
  <c r="Z88" i="23"/>
  <c r="AA88" i="23"/>
  <c r="K88" i="23"/>
  <c r="V88" i="23"/>
  <c r="AK87" i="23"/>
  <c r="AK91" i="23"/>
  <c r="AF87" i="23"/>
  <c r="V87" i="23"/>
  <c r="I87" i="23"/>
  <c r="I91" i="23"/>
  <c r="E87" i="23"/>
  <c r="E91" i="23"/>
  <c r="AR86" i="23"/>
  <c r="AA86" i="23"/>
  <c r="H86" i="23"/>
  <c r="J86" i="23"/>
  <c r="V86" i="23"/>
  <c r="M86" i="23"/>
  <c r="G86" i="23"/>
  <c r="D86" i="23"/>
  <c r="F86" i="23"/>
  <c r="AA85" i="23"/>
  <c r="V85" i="23"/>
  <c r="H85" i="23"/>
  <c r="J85" i="23"/>
  <c r="G85" i="23"/>
  <c r="D85" i="23"/>
  <c r="AA84" i="23"/>
  <c r="V84" i="23"/>
  <c r="H84" i="23"/>
  <c r="J84" i="23"/>
  <c r="G84" i="23"/>
  <c r="D84" i="23"/>
  <c r="F84" i="23"/>
  <c r="AA83" i="23"/>
  <c r="V83" i="23"/>
  <c r="H83" i="23"/>
  <c r="J83" i="23"/>
  <c r="AU82" i="23"/>
  <c r="AS82" i="23"/>
  <c r="AP82" i="23"/>
  <c r="AP87" i="23"/>
  <c r="AL82" i="23"/>
  <c r="AI82" i="23"/>
  <c r="AG82" i="23"/>
  <c r="AD82" i="23"/>
  <c r="AB82" i="23"/>
  <c r="Y82" i="23"/>
  <c r="W82" i="23"/>
  <c r="V82" i="23"/>
  <c r="U82" i="23"/>
  <c r="Q82" i="23"/>
  <c r="L82" i="23"/>
  <c r="AU81" i="23"/>
  <c r="AS81" i="23"/>
  <c r="AL81" i="23"/>
  <c r="AI81" i="23"/>
  <c r="AG81" i="23"/>
  <c r="AD81" i="23"/>
  <c r="AB81" i="23"/>
  <c r="Y81" i="23"/>
  <c r="W81" i="23"/>
  <c r="V81" i="23"/>
  <c r="U81" i="23"/>
  <c r="S81" i="23"/>
  <c r="Q81" i="23"/>
  <c r="N81" i="23"/>
  <c r="L81" i="23"/>
  <c r="AU80" i="23"/>
  <c r="AS80" i="23"/>
  <c r="AL80" i="23"/>
  <c r="AI80" i="23"/>
  <c r="AG80" i="23"/>
  <c r="AD80" i="23"/>
  <c r="AB80" i="23"/>
  <c r="Y80" i="23"/>
  <c r="W80" i="23"/>
  <c r="V80" i="23"/>
  <c r="U80" i="23"/>
  <c r="Q80" i="23"/>
  <c r="N80" i="23"/>
  <c r="L80" i="23"/>
  <c r="AU79" i="23"/>
  <c r="AS79" i="23"/>
  <c r="AN79" i="23"/>
  <c r="AL79" i="23"/>
  <c r="AI79" i="23"/>
  <c r="AG79" i="23"/>
  <c r="AD79" i="23"/>
  <c r="AB79" i="23"/>
  <c r="Y79" i="23"/>
  <c r="W79" i="23"/>
  <c r="V79" i="23"/>
  <c r="U79" i="23"/>
  <c r="S79" i="23"/>
  <c r="Q79" i="23"/>
  <c r="BG79" i="23"/>
  <c r="N79" i="23"/>
  <c r="L79" i="23"/>
  <c r="AU78" i="23"/>
  <c r="AS78" i="23"/>
  <c r="AL78" i="23"/>
  <c r="AI78" i="23"/>
  <c r="AG78" i="23"/>
  <c r="AD78" i="23"/>
  <c r="AB78" i="23"/>
  <c r="Y78" i="23"/>
  <c r="W78" i="23"/>
  <c r="V78" i="23"/>
  <c r="U78" i="23"/>
  <c r="Q78" i="23"/>
  <c r="N78" i="23"/>
  <c r="L78" i="23"/>
  <c r="V75" i="23"/>
  <c r="BB73" i="23"/>
  <c r="V73" i="23"/>
  <c r="U73" i="23"/>
  <c r="V72" i="23"/>
  <c r="U72" i="23"/>
  <c r="K72" i="23"/>
  <c r="J72" i="23"/>
  <c r="G72" i="23"/>
  <c r="F72" i="23"/>
  <c r="D72" i="23"/>
  <c r="V71" i="23"/>
  <c r="K71" i="23"/>
  <c r="J71" i="23"/>
  <c r="G71" i="23"/>
  <c r="D71" i="23"/>
  <c r="AA70" i="23"/>
  <c r="V70" i="23"/>
  <c r="K70" i="23"/>
  <c r="J70" i="23"/>
  <c r="H70" i="23"/>
  <c r="G70" i="23"/>
  <c r="D70" i="23"/>
  <c r="BB69" i="23"/>
  <c r="AY69" i="23"/>
  <c r="AW69" i="23"/>
  <c r="AW73" i="23"/>
  <c r="AR69" i="23"/>
  <c r="AR73" i="23"/>
  <c r="AK69" i="23"/>
  <c r="AK73" i="23"/>
  <c r="AH69" i="23"/>
  <c r="AF69" i="23"/>
  <c r="AF73" i="23"/>
  <c r="V69" i="23"/>
  <c r="U69" i="23"/>
  <c r="P69" i="23"/>
  <c r="P73" i="23"/>
  <c r="I69" i="23"/>
  <c r="I73" i="23"/>
  <c r="E69" i="23"/>
  <c r="E73" i="23"/>
  <c r="V68" i="23"/>
  <c r="H68" i="23"/>
  <c r="J68" i="23"/>
  <c r="G68" i="23"/>
  <c r="F68" i="23"/>
  <c r="D68" i="23"/>
  <c r="C68" i="23"/>
  <c r="AB67" i="23"/>
  <c r="V67" i="23"/>
  <c r="L67" i="23"/>
  <c r="H67" i="23"/>
  <c r="J67" i="23"/>
  <c r="G67" i="23"/>
  <c r="F67" i="23"/>
  <c r="D67" i="23"/>
  <c r="C67" i="23"/>
  <c r="AS67" i="23"/>
  <c r="AS66" i="23"/>
  <c r="AG66" i="23"/>
  <c r="AB66" i="23"/>
  <c r="W66" i="23"/>
  <c r="V66" i="23"/>
  <c r="Q66" i="23"/>
  <c r="L66" i="23"/>
  <c r="H66" i="23"/>
  <c r="J66" i="23"/>
  <c r="G66" i="23"/>
  <c r="D66" i="23"/>
  <c r="C66" i="23"/>
  <c r="AL66" i="23"/>
  <c r="AB65" i="23"/>
  <c r="V65" i="23"/>
  <c r="H65" i="23"/>
  <c r="J65" i="23"/>
  <c r="G65" i="23"/>
  <c r="F65" i="23"/>
  <c r="D65" i="23"/>
  <c r="C65" i="23"/>
  <c r="AZ64" i="23"/>
  <c r="AT64" i="23"/>
  <c r="AN64" i="23"/>
  <c r="AN82" i="23"/>
  <c r="AM64" i="23"/>
  <c r="AH64" i="23"/>
  <c r="AC64" i="23"/>
  <c r="X64" i="23"/>
  <c r="V64" i="23"/>
  <c r="R64" i="23"/>
  <c r="R69" i="23"/>
  <c r="M64" i="23"/>
  <c r="AT63" i="23"/>
  <c r="AN63" i="23"/>
  <c r="AN81" i="23"/>
  <c r="V63" i="23"/>
  <c r="C63" i="23"/>
  <c r="AN62" i="23"/>
  <c r="AN80" i="23"/>
  <c r="V62" i="23"/>
  <c r="C62" i="23"/>
  <c r="AL62" i="23"/>
  <c r="AQ62" i="23"/>
  <c r="V61" i="23"/>
  <c r="M61" i="23"/>
  <c r="AS60" i="23"/>
  <c r="AV60" i="23"/>
  <c r="AN60" i="23"/>
  <c r="AN78" i="23"/>
  <c r="V60" i="23"/>
  <c r="L60" i="23"/>
  <c r="O60" i="23"/>
  <c r="C60" i="23"/>
  <c r="AL60" i="23"/>
  <c r="AQ60" i="23"/>
  <c r="B60" i="23"/>
  <c r="V57" i="23"/>
  <c r="V56" i="23"/>
  <c r="C56" i="23"/>
  <c r="U52" i="23"/>
  <c r="R52" i="23"/>
  <c r="M52" i="23"/>
  <c r="F52" i="23"/>
  <c r="U51" i="23"/>
  <c r="O50" i="23"/>
  <c r="D50" i="23"/>
  <c r="B50" i="23"/>
  <c r="C64" i="23"/>
  <c r="Q64" i="23"/>
  <c r="T64" i="23"/>
  <c r="I49" i="23"/>
  <c r="H49" i="23"/>
  <c r="G49" i="23"/>
  <c r="I48" i="23"/>
  <c r="H48" i="23"/>
  <c r="G48" i="23"/>
  <c r="C48" i="23"/>
  <c r="B65" i="23"/>
  <c r="U47" i="23"/>
  <c r="I47" i="23"/>
  <c r="H47" i="23"/>
  <c r="G47" i="23"/>
  <c r="C47" i="23"/>
  <c r="B66" i="23"/>
  <c r="U46" i="23"/>
  <c r="I46" i="23"/>
  <c r="H46" i="23"/>
  <c r="G46" i="23"/>
  <c r="C46" i="23"/>
  <c r="B67" i="23"/>
  <c r="U45" i="23"/>
  <c r="M44" i="23"/>
  <c r="F44" i="23"/>
  <c r="U43" i="23"/>
  <c r="M43" i="23"/>
  <c r="I43" i="23"/>
  <c r="H43" i="23"/>
  <c r="G43" i="23"/>
  <c r="E43" i="23"/>
  <c r="D43" i="23"/>
  <c r="M42" i="23"/>
  <c r="I42" i="23"/>
  <c r="H42" i="23"/>
  <c r="G42" i="23"/>
  <c r="D41" i="23"/>
  <c r="S40" i="23"/>
  <c r="U50" i="23"/>
  <c r="P40" i="23"/>
  <c r="M40" i="23"/>
  <c r="I40" i="23"/>
  <c r="H40" i="23"/>
  <c r="G40" i="23"/>
  <c r="F40" i="23"/>
  <c r="B40" i="23"/>
  <c r="B41" i="23"/>
  <c r="E39" i="23"/>
  <c r="E40" i="23"/>
  <c r="M39" i="23"/>
  <c r="M41" i="23"/>
  <c r="I39" i="23"/>
  <c r="H39" i="23"/>
  <c r="G39" i="23"/>
  <c r="F39" i="23"/>
  <c r="C39" i="23"/>
  <c r="S38" i="23"/>
  <c r="Q38" i="23"/>
  <c r="P38" i="23"/>
  <c r="M38" i="23"/>
  <c r="F38" i="23"/>
  <c r="D38" i="23"/>
  <c r="B38" i="23"/>
  <c r="U37" i="23"/>
  <c r="R37" i="23"/>
  <c r="Q37" i="23"/>
  <c r="M37" i="23"/>
  <c r="I37" i="23"/>
  <c r="H37" i="23"/>
  <c r="G37" i="23"/>
  <c r="C37" i="23"/>
  <c r="B37" i="23"/>
  <c r="U36" i="23"/>
  <c r="T36" i="23"/>
  <c r="S36" i="23"/>
  <c r="R36" i="23"/>
  <c r="Q36" i="23"/>
  <c r="M36" i="23"/>
  <c r="I36" i="23"/>
  <c r="H36" i="23"/>
  <c r="G36" i="23"/>
  <c r="E36" i="23"/>
  <c r="C36" i="23"/>
  <c r="U35" i="23"/>
  <c r="R35" i="23"/>
  <c r="T35" i="23"/>
  <c r="S35" i="23"/>
  <c r="Q35" i="23"/>
  <c r="M35" i="23"/>
  <c r="I35" i="23"/>
  <c r="H35" i="23"/>
  <c r="G35" i="23"/>
  <c r="E35" i="23"/>
  <c r="C35" i="23"/>
  <c r="M34" i="23"/>
  <c r="I34" i="23"/>
  <c r="H34" i="23"/>
  <c r="G34" i="23"/>
  <c r="C34" i="23"/>
  <c r="X1" i="23"/>
  <c r="V1" i="23"/>
  <c r="F1" i="23"/>
  <c r="F56" i="23"/>
  <c r="D1" i="23"/>
  <c r="Y56" i="23"/>
  <c r="AA1" i="23"/>
  <c r="T37" i="23"/>
  <c r="S37" i="23"/>
  <c r="D56" i="23"/>
  <c r="BG82" i="23"/>
  <c r="G88" i="23"/>
  <c r="U53" i="23"/>
  <c r="L47" i="23"/>
  <c r="BG80" i="23"/>
  <c r="BG78" i="23"/>
  <c r="BG81" i="23"/>
  <c r="D88" i="23"/>
  <c r="AG68" i="23"/>
  <c r="Q68" i="23"/>
  <c r="AB68" i="23"/>
  <c r="L68" i="23"/>
  <c r="AS68" i="23"/>
  <c r="W68" i="23"/>
  <c r="AL68" i="23"/>
  <c r="AB62" i="23"/>
  <c r="AE62" i="23"/>
  <c r="AL63" i="23"/>
  <c r="AQ63" i="23"/>
  <c r="AB63" i="23"/>
  <c r="AE63" i="23"/>
  <c r="L63" i="23"/>
  <c r="O63" i="23"/>
  <c r="Q63" i="23"/>
  <c r="T63" i="23"/>
  <c r="B63" i="23"/>
  <c r="BH58" i="23"/>
  <c r="AS63" i="23"/>
  <c r="AV63" i="23"/>
  <c r="BG58" i="23"/>
  <c r="AG63" i="23"/>
  <c r="AJ63" i="23"/>
  <c r="W63" i="23"/>
  <c r="U38" i="23"/>
  <c r="B52" i="23"/>
  <c r="B44" i="23"/>
  <c r="T38" i="23"/>
  <c r="L64" i="23"/>
  <c r="O64" i="23"/>
  <c r="AS62" i="23"/>
  <c r="AV62" i="23"/>
  <c r="L62" i="23"/>
  <c r="O62" i="23"/>
  <c r="B62" i="23"/>
  <c r="BH57" i="23"/>
  <c r="AG62" i="23"/>
  <c r="AJ62" i="23"/>
  <c r="W62" i="23"/>
  <c r="Q62" i="23"/>
  <c r="T62" i="23"/>
  <c r="S62" i="23"/>
  <c r="S80" i="23"/>
  <c r="R38" i="23"/>
  <c r="D52" i="23"/>
  <c r="U42" i="23"/>
  <c r="P37" i="23"/>
  <c r="P35" i="23"/>
  <c r="P36" i="23"/>
  <c r="E42" i="23"/>
  <c r="E41" i="23"/>
  <c r="E37" i="23"/>
  <c r="E34" i="23"/>
  <c r="E38" i="23"/>
  <c r="AA56" i="23"/>
  <c r="AG64" i="23"/>
  <c r="AJ64" i="23"/>
  <c r="U87" i="23"/>
  <c r="U91" i="23"/>
  <c r="M69" i="23"/>
  <c r="F85" i="23"/>
  <c r="F71" i="23"/>
  <c r="C69" i="23"/>
  <c r="AB60" i="23"/>
  <c r="AE60" i="23"/>
  <c r="C61" i="23"/>
  <c r="W64" i="23"/>
  <c r="X69" i="23"/>
  <c r="C40" i="23"/>
  <c r="D44" i="23"/>
  <c r="Q60" i="23"/>
  <c r="T60" i="23"/>
  <c r="W60" i="23"/>
  <c r="AS64" i="23"/>
  <c r="AV64" i="23"/>
  <c r="AG65" i="23"/>
  <c r="Q65" i="23"/>
  <c r="AS65" i="23"/>
  <c r="W65" i="23"/>
  <c r="AL65" i="23"/>
  <c r="F66" i="23"/>
  <c r="Y1" i="23"/>
  <c r="B64" i="23"/>
  <c r="S64" i="23"/>
  <c r="AG60" i="23"/>
  <c r="AJ60" i="23"/>
  <c r="AT69" i="23"/>
  <c r="AB64" i="23"/>
  <c r="AE64" i="23"/>
  <c r="AC69" i="23"/>
  <c r="AM69" i="23"/>
  <c r="AL64" i="23"/>
  <c r="AQ64" i="23"/>
  <c r="L65" i="23"/>
  <c r="F70" i="23"/>
  <c r="Q67" i="23"/>
  <c r="AG67" i="23"/>
  <c r="H88" i="23"/>
  <c r="J88" i="23"/>
  <c r="AL67" i="23"/>
  <c r="W67" i="23"/>
  <c r="AJ7"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B7" i="6"/>
  <c r="B6" i="6"/>
  <c r="C5" i="6"/>
  <c r="B5"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B3" i="6"/>
  <c r="AJ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C2" i="6"/>
  <c r="B2" i="6"/>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AI6" i="12"/>
  <c r="AJ6" i="12"/>
  <c r="B6"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AJ3" i="12"/>
  <c r="B3"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AJ2" i="12"/>
  <c r="C2" i="12"/>
  <c r="B2" i="12"/>
  <c r="L48" i="23"/>
  <c r="L46" i="23"/>
  <c r="F88" i="23"/>
  <c r="S82" i="23"/>
  <c r="N82" i="23"/>
  <c r="BH59" i="23"/>
  <c r="S60" i="23"/>
  <c r="S78" i="23"/>
  <c r="Z64" i="23"/>
  <c r="B82" i="23"/>
  <c r="J46" i="23"/>
  <c r="L50" i="23"/>
  <c r="K46" i="23"/>
  <c r="B85" i="23"/>
  <c r="AR85" i="23"/>
  <c r="G64" i="23"/>
  <c r="Z60" i="23"/>
  <c r="G60" i="23"/>
  <c r="E52" i="23"/>
  <c r="E44" i="23"/>
  <c r="J48" i="23"/>
  <c r="C83" i="23"/>
  <c r="M83" i="23"/>
  <c r="BG59" i="23"/>
  <c r="AS61" i="23"/>
  <c r="AV61" i="23"/>
  <c r="AV69" i="23"/>
  <c r="AV73" i="23"/>
  <c r="AG61" i="23"/>
  <c r="AJ61" i="23"/>
  <c r="AJ69" i="23"/>
  <c r="AJ73" i="23"/>
  <c r="Q61" i="23"/>
  <c r="T61" i="23"/>
  <c r="T69" i="23"/>
  <c r="T73" i="23"/>
  <c r="W61" i="23"/>
  <c r="AB61" i="23"/>
  <c r="AE61" i="23"/>
  <c r="AL61" i="23"/>
  <c r="AQ61" i="23"/>
  <c r="AQ69" i="23"/>
  <c r="AQ73" i="23"/>
  <c r="L61" i="23"/>
  <c r="O61" i="23"/>
  <c r="B61" i="23"/>
  <c r="J47" i="23"/>
  <c r="C84" i="23"/>
  <c r="M84" i="23"/>
  <c r="U44" i="23"/>
  <c r="U48" i="23"/>
  <c r="N44" i="23"/>
  <c r="AE69" i="23"/>
  <c r="AE73" i="23"/>
  <c r="Z62" i="23"/>
  <c r="G62" i="23"/>
  <c r="BG57" i="23"/>
  <c r="Z63" i="23"/>
  <c r="G63" i="23"/>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D5" i="17"/>
  <c r="C6" i="17"/>
  <c r="C5" i="17"/>
  <c r="C4" i="17"/>
  <c r="C3" i="17"/>
  <c r="C2" i="17"/>
  <c r="B24" i="21"/>
  <c r="B29" i="21"/>
  <c r="B28" i="21"/>
  <c r="B32" i="21"/>
  <c r="B31" i="21"/>
  <c r="B30" i="21"/>
  <c r="C10" i="16"/>
  <c r="G10" i="16"/>
  <c r="C11" i="16"/>
  <c r="G11" i="16"/>
  <c r="D8" i="16"/>
  <c r="C8" i="16"/>
  <c r="F2" i="16"/>
  <c r="G2" i="16"/>
  <c r="E2" i="16"/>
  <c r="D3" i="16"/>
  <c r="E3" i="16"/>
  <c r="G3" i="16"/>
  <c r="D5" i="16"/>
  <c r="E5" i="16"/>
  <c r="G5" i="16"/>
  <c r="D6" i="16"/>
  <c r="E6" i="16"/>
  <c r="G6" i="16"/>
  <c r="G9" i="16"/>
  <c r="F9" i="16"/>
  <c r="F63" i="23"/>
  <c r="N43" i="23"/>
  <c r="L43" i="23"/>
  <c r="J43" i="23"/>
  <c r="N42" i="23"/>
  <c r="L42" i="23"/>
  <c r="J42" i="23"/>
  <c r="N37" i="23"/>
  <c r="L37" i="23"/>
  <c r="N34" i="23"/>
  <c r="N36" i="23"/>
  <c r="L36" i="23"/>
  <c r="N40" i="23"/>
  <c r="L40" i="23"/>
  <c r="N39" i="23"/>
  <c r="N35" i="23"/>
  <c r="L35" i="23"/>
  <c r="C85" i="23"/>
  <c r="M85" i="23"/>
  <c r="C82" i="23"/>
  <c r="J50" i="23"/>
  <c r="AA62" i="23"/>
  <c r="D62" i="23"/>
  <c r="F62" i="23"/>
  <c r="Z61" i="23"/>
  <c r="F64" i="23"/>
  <c r="D63" i="23"/>
  <c r="AA63" i="23"/>
  <c r="K47" i="23"/>
  <c r="B84" i="23"/>
  <c r="AR84" i="23"/>
  <c r="G61" i="23"/>
  <c r="O69" i="23"/>
  <c r="O73" i="23"/>
  <c r="K48" i="23"/>
  <c r="B83" i="23"/>
  <c r="AR83" i="23"/>
  <c r="Z69" i="23"/>
  <c r="Z73" i="23"/>
  <c r="D60" i="23"/>
  <c r="F60" i="23"/>
  <c r="AA60" i="23"/>
  <c r="AA64" i="23"/>
  <c r="D64" i="23"/>
  <c r="F6" i="16"/>
  <c r="F5" i="16"/>
  <c r="F3" i="16"/>
  <c r="F8" i="16"/>
  <c r="G8" i="16"/>
  <c r="G15" i="16"/>
  <c r="E4" i="16"/>
  <c r="D4" i="16"/>
  <c r="F6" i="17"/>
  <c r="G6" i="17"/>
  <c r="K64" i="23"/>
  <c r="H64" i="23"/>
  <c r="AX64" i="23"/>
  <c r="BA64" i="23"/>
  <c r="AA82" i="23"/>
  <c r="H82" i="23"/>
  <c r="K62" i="23"/>
  <c r="J62" i="23"/>
  <c r="H62" i="23"/>
  <c r="AX62" i="23"/>
  <c r="BA62" i="23"/>
  <c r="J35" i="23"/>
  <c r="K35" i="23"/>
  <c r="N38" i="23"/>
  <c r="L34" i="23"/>
  <c r="K60" i="23"/>
  <c r="H60" i="23"/>
  <c r="D61" i="23"/>
  <c r="AA61" i="23"/>
  <c r="AA69" i="23"/>
  <c r="AA73" i="23"/>
  <c r="L39" i="23"/>
  <c r="N41" i="23"/>
  <c r="N52" i="23"/>
  <c r="J37" i="23"/>
  <c r="C81" i="23"/>
  <c r="D69" i="23"/>
  <c r="D73" i="23"/>
  <c r="F61" i="23"/>
  <c r="F69" i="23"/>
  <c r="F73" i="23"/>
  <c r="AT82" i="23"/>
  <c r="AV82" i="23"/>
  <c r="AW82" i="23"/>
  <c r="X82" i="23"/>
  <c r="Z82" i="23"/>
  <c r="D82" i="23"/>
  <c r="R82" i="23"/>
  <c r="T82" i="23"/>
  <c r="AH82" i="23"/>
  <c r="AJ82" i="23"/>
  <c r="M82" i="23"/>
  <c r="O82" i="23"/>
  <c r="AM82" i="23"/>
  <c r="AQ82" i="23"/>
  <c r="AC82" i="23"/>
  <c r="AE82" i="23"/>
  <c r="J40" i="23"/>
  <c r="C79" i="23"/>
  <c r="G69" i="23"/>
  <c r="G73" i="23"/>
  <c r="H63" i="23"/>
  <c r="AX63" i="23"/>
  <c r="BA63" i="23"/>
  <c r="K63" i="23"/>
  <c r="J36" i="23"/>
  <c r="K36" i="23"/>
  <c r="F4" i="16"/>
  <c r="G4" i="16"/>
  <c r="D2" i="17"/>
  <c r="E2" i="17"/>
  <c r="D76" i="17"/>
  <c r="D75" i="17"/>
  <c r="D74" i="17"/>
  <c r="D73" i="17"/>
  <c r="D72" i="17"/>
  <c r="D71" i="17"/>
  <c r="D70" i="17"/>
  <c r="D69" i="17"/>
  <c r="C4" i="16"/>
  <c r="E54" i="16"/>
  <c r="D54" i="16"/>
  <c r="F54" i="16"/>
  <c r="G54" i="16"/>
  <c r="H54" i="16"/>
  <c r="E53" i="16"/>
  <c r="D53" i="16"/>
  <c r="E52" i="16"/>
  <c r="D52" i="16"/>
  <c r="E51" i="16"/>
  <c r="D51" i="16"/>
  <c r="E50" i="16"/>
  <c r="D50" i="16"/>
  <c r="F50" i="16"/>
  <c r="G50" i="16"/>
  <c r="H50" i="16"/>
  <c r="E49" i="16"/>
  <c r="D49" i="16"/>
  <c r="E48" i="16"/>
  <c r="D48" i="16"/>
  <c r="E47" i="16"/>
  <c r="D47" i="16"/>
  <c r="E46" i="16"/>
  <c r="D46" i="16"/>
  <c r="E45" i="16"/>
  <c r="D45" i="16"/>
  <c r="E44" i="16"/>
  <c r="D44" i="16"/>
  <c r="E43" i="16"/>
  <c r="D43" i="16"/>
  <c r="E42" i="16"/>
  <c r="D42" i="16"/>
  <c r="E41" i="16"/>
  <c r="D41" i="16"/>
  <c r="E40" i="16"/>
  <c r="D40" i="16"/>
  <c r="E39" i="16"/>
  <c r="F39" i="16"/>
  <c r="D39" i="16"/>
  <c r="E38" i="16"/>
  <c r="D38" i="16"/>
  <c r="F38" i="16"/>
  <c r="G38" i="16"/>
  <c r="H38" i="16"/>
  <c r="E37" i="16"/>
  <c r="D37" i="16"/>
  <c r="E36" i="16"/>
  <c r="D36" i="16"/>
  <c r="E35" i="16"/>
  <c r="D35" i="16"/>
  <c r="F35" i="16"/>
  <c r="G35" i="16"/>
  <c r="H35" i="16"/>
  <c r="E34" i="16"/>
  <c r="D34" i="16"/>
  <c r="E33" i="16"/>
  <c r="D33" i="16"/>
  <c r="E32" i="16"/>
  <c r="D32" i="16"/>
  <c r="E31" i="16"/>
  <c r="D31" i="16"/>
  <c r="F31" i="16"/>
  <c r="E30" i="16"/>
  <c r="D30" i="16"/>
  <c r="E29" i="16"/>
  <c r="D29" i="16"/>
  <c r="F29" i="16"/>
  <c r="G29" i="16"/>
  <c r="H29" i="16"/>
  <c r="E28" i="16"/>
  <c r="D28" i="16"/>
  <c r="E27" i="16"/>
  <c r="D27" i="16"/>
  <c r="F27" i="16"/>
  <c r="E26" i="16"/>
  <c r="D26" i="16"/>
  <c r="E25" i="16"/>
  <c r="D25" i="16"/>
  <c r="F25" i="16"/>
  <c r="G25" i="16"/>
  <c r="H25" i="16"/>
  <c r="E24" i="16"/>
  <c r="D24" i="16"/>
  <c r="E23" i="16"/>
  <c r="D23" i="16"/>
  <c r="E22" i="16"/>
  <c r="D22" i="16"/>
  <c r="E21" i="16"/>
  <c r="D21" i="16"/>
  <c r="E20" i="16"/>
  <c r="D20" i="16"/>
  <c r="AO82" i="23"/>
  <c r="AR82" i="23"/>
  <c r="X81" i="23"/>
  <c r="AT81" i="23"/>
  <c r="R81" i="23"/>
  <c r="AC81" i="23"/>
  <c r="AM81" i="23"/>
  <c r="AH81" i="23"/>
  <c r="M81" i="23"/>
  <c r="K61" i="23"/>
  <c r="H61" i="23"/>
  <c r="AX61" i="23"/>
  <c r="BA61" i="23"/>
  <c r="K69" i="23"/>
  <c r="K73" i="23"/>
  <c r="J60" i="23"/>
  <c r="L41" i="23"/>
  <c r="J39" i="23"/>
  <c r="X79" i="23"/>
  <c r="AT79" i="23"/>
  <c r="R79" i="23"/>
  <c r="AM79" i="23"/>
  <c r="AC79" i="23"/>
  <c r="AH79" i="23"/>
  <c r="M79" i="23"/>
  <c r="P82" i="23"/>
  <c r="K82" i="23"/>
  <c r="J82" i="23"/>
  <c r="G82" i="23"/>
  <c r="F82" i="23"/>
  <c r="K37" i="23"/>
  <c r="B81" i="23"/>
  <c r="J34" i="23"/>
  <c r="B80" i="23"/>
  <c r="L38" i="23"/>
  <c r="J64" i="23"/>
  <c r="J63" i="23"/>
  <c r="K40" i="23"/>
  <c r="B79" i="23"/>
  <c r="H69" i="23"/>
  <c r="H73" i="23"/>
  <c r="AX60" i="23"/>
  <c r="BA60" i="23"/>
  <c r="D4" i="17"/>
  <c r="F4" i="17"/>
  <c r="D3" i="17"/>
  <c r="E3" i="17"/>
  <c r="G3" i="17"/>
  <c r="F22" i="16"/>
  <c r="G22" i="16"/>
  <c r="H22" i="16"/>
  <c r="F34" i="16"/>
  <c r="G34" i="16"/>
  <c r="H34" i="16"/>
  <c r="F51" i="16"/>
  <c r="G51" i="16"/>
  <c r="H51" i="16"/>
  <c r="F3" i="17"/>
  <c r="E4" i="17"/>
  <c r="G4" i="17"/>
  <c r="F24" i="16"/>
  <c r="F28" i="16"/>
  <c r="G28" i="16"/>
  <c r="H28" i="16"/>
  <c r="F40" i="16"/>
  <c r="F44" i="16"/>
  <c r="G44" i="16"/>
  <c r="H44" i="16"/>
  <c r="F23" i="16"/>
  <c r="I23" i="16"/>
  <c r="F41" i="16"/>
  <c r="G41" i="16"/>
  <c r="H41" i="16"/>
  <c r="F43" i="16"/>
  <c r="I43" i="16"/>
  <c r="F45" i="16"/>
  <c r="G45" i="16"/>
  <c r="H45" i="16"/>
  <c r="F47" i="16"/>
  <c r="I47" i="16"/>
  <c r="G27" i="16"/>
  <c r="H27" i="16"/>
  <c r="I27" i="16"/>
  <c r="G31" i="16"/>
  <c r="H31" i="16"/>
  <c r="I31" i="16"/>
  <c r="G39" i="16"/>
  <c r="H39" i="16"/>
  <c r="I39" i="16"/>
  <c r="G23" i="16"/>
  <c r="H23" i="16"/>
  <c r="G47" i="16"/>
  <c r="H47" i="16"/>
  <c r="F32" i="16"/>
  <c r="F48" i="16"/>
  <c r="I51" i="16"/>
  <c r="I35" i="16"/>
  <c r="F20" i="16"/>
  <c r="F26" i="16"/>
  <c r="F33" i="16"/>
  <c r="F36" i="16"/>
  <c r="F42" i="16"/>
  <c r="F49" i="16"/>
  <c r="F52" i="16"/>
  <c r="I54" i="16"/>
  <c r="I50" i="16"/>
  <c r="I38" i="16"/>
  <c r="I22" i="16"/>
  <c r="F21" i="16"/>
  <c r="F30" i="16"/>
  <c r="F37" i="16"/>
  <c r="F46" i="16"/>
  <c r="F53" i="16"/>
  <c r="I41" i="16"/>
  <c r="I29" i="16"/>
  <c r="I25" i="16"/>
  <c r="K34" i="23"/>
  <c r="J61" i="23"/>
  <c r="BA69" i="23"/>
  <c r="BA73" i="23"/>
  <c r="C78" i="23"/>
  <c r="J41" i="23"/>
  <c r="K39" i="23"/>
  <c r="B78" i="23"/>
  <c r="L44" i="23"/>
  <c r="L52" i="23"/>
  <c r="T81" i="23"/>
  <c r="AJ81" i="23"/>
  <c r="AE81" i="23"/>
  <c r="O81" i="23"/>
  <c r="AV81" i="23"/>
  <c r="AW81" i="23"/>
  <c r="AQ81" i="23"/>
  <c r="Z81" i="23"/>
  <c r="T79" i="23"/>
  <c r="AJ79" i="23"/>
  <c r="AE79" i="23"/>
  <c r="O79" i="23"/>
  <c r="AV79" i="23"/>
  <c r="AW79" i="23"/>
  <c r="AQ79" i="23"/>
  <c r="Z79" i="23"/>
  <c r="C80" i="23"/>
  <c r="J38" i="23"/>
  <c r="J44" i="23"/>
  <c r="J69" i="23"/>
  <c r="J73" i="23"/>
  <c r="I44" i="16"/>
  <c r="I34" i="16"/>
  <c r="I45" i="16"/>
  <c r="G43" i="16"/>
  <c r="H43" i="16"/>
  <c r="G40" i="16"/>
  <c r="H40" i="16"/>
  <c r="I40" i="16"/>
  <c r="I28" i="16"/>
  <c r="G24" i="16"/>
  <c r="H24" i="16"/>
  <c r="I24" i="16"/>
  <c r="G37" i="16"/>
  <c r="H37" i="16"/>
  <c r="I37" i="16"/>
  <c r="G36" i="16"/>
  <c r="H36" i="16"/>
  <c r="I36" i="16"/>
  <c r="G30" i="16"/>
  <c r="H30" i="16"/>
  <c r="I30" i="16"/>
  <c r="G52" i="16"/>
  <c r="H52" i="16"/>
  <c r="I52" i="16"/>
  <c r="G33" i="16"/>
  <c r="H33" i="16"/>
  <c r="I33" i="16"/>
  <c r="G53" i="16"/>
  <c r="H53" i="16"/>
  <c r="I53" i="16"/>
  <c r="G21" i="16"/>
  <c r="H21" i="16"/>
  <c r="I21" i="16"/>
  <c r="G49" i="16"/>
  <c r="H49" i="16"/>
  <c r="I49" i="16"/>
  <c r="G26" i="16"/>
  <c r="H26" i="16"/>
  <c r="I26" i="16"/>
  <c r="G48" i="16"/>
  <c r="H48" i="16"/>
  <c r="I48" i="16"/>
  <c r="G46" i="16"/>
  <c r="H46" i="16"/>
  <c r="I46" i="16"/>
  <c r="G42" i="16"/>
  <c r="H42" i="16"/>
  <c r="I42" i="16"/>
  <c r="G20" i="16"/>
  <c r="H20" i="16"/>
  <c r="I20" i="16"/>
  <c r="G32" i="16"/>
  <c r="H32" i="16"/>
  <c r="I32" i="16"/>
  <c r="P81" i="23"/>
  <c r="G81" i="23"/>
  <c r="X78" i="23"/>
  <c r="C87" i="23"/>
  <c r="AT78" i="23"/>
  <c r="R78" i="23"/>
  <c r="AH78" i="23"/>
  <c r="AC78" i="23"/>
  <c r="M78" i="23"/>
  <c r="AM78" i="23"/>
  <c r="X80" i="23"/>
  <c r="Z80" i="23"/>
  <c r="AT80" i="23"/>
  <c r="AV80" i="23"/>
  <c r="AW80" i="23"/>
  <c r="R80" i="23"/>
  <c r="T80" i="23"/>
  <c r="AH80" i="23"/>
  <c r="AJ80" i="23"/>
  <c r="AM80" i="23"/>
  <c r="AQ80" i="23"/>
  <c r="AC80" i="23"/>
  <c r="AE80" i="23"/>
  <c r="M80" i="23"/>
  <c r="O80" i="23"/>
  <c r="P79" i="23"/>
  <c r="G79" i="23"/>
  <c r="F79" i="23"/>
  <c r="D81" i="23"/>
  <c r="AA81" i="23"/>
  <c r="H81" i="23"/>
  <c r="D79" i="23"/>
  <c r="AA79" i="23"/>
  <c r="H79" i="23"/>
  <c r="AO81" i="23"/>
  <c r="AR81" i="23"/>
  <c r="T78" i="23"/>
  <c r="T87" i="23"/>
  <c r="T91" i="23"/>
  <c r="AJ78" i="23"/>
  <c r="AJ87" i="23"/>
  <c r="AJ91" i="23"/>
  <c r="AE78" i="23"/>
  <c r="AE87" i="23"/>
  <c r="AE91" i="23"/>
  <c r="O78" i="23"/>
  <c r="AV78" i="23"/>
  <c r="AQ78" i="23"/>
  <c r="Z78" i="23"/>
  <c r="AO79" i="23"/>
  <c r="AR79" i="23"/>
  <c r="D10" i="17"/>
  <c r="AC87" i="23"/>
  <c r="AO80" i="23"/>
  <c r="AR80" i="23"/>
  <c r="D80" i="23"/>
  <c r="AA80" i="23"/>
  <c r="H80" i="23"/>
  <c r="AH87" i="23"/>
  <c r="X87" i="23"/>
  <c r="AO78" i="23"/>
  <c r="AQ87" i="23"/>
  <c r="AQ91" i="23"/>
  <c r="AR78" i="23"/>
  <c r="AW78" i="23"/>
  <c r="AW87" i="23"/>
  <c r="AW91" i="23"/>
  <c r="AV87" i="23"/>
  <c r="AV91" i="23"/>
  <c r="K79" i="23"/>
  <c r="J79" i="23"/>
  <c r="AM87" i="23"/>
  <c r="R87" i="23"/>
  <c r="F81" i="23"/>
  <c r="AA92" i="23"/>
  <c r="Z87" i="23"/>
  <c r="Z91" i="23"/>
  <c r="D83" i="23"/>
  <c r="D78" i="23"/>
  <c r="D87" i="23"/>
  <c r="D91" i="23"/>
  <c r="G83" i="23"/>
  <c r="AA78" i="23"/>
  <c r="P78" i="23"/>
  <c r="G78" i="23"/>
  <c r="O87" i="23"/>
  <c r="O91" i="23"/>
  <c r="P80" i="23"/>
  <c r="G80" i="23"/>
  <c r="M87" i="23"/>
  <c r="AT87" i="23"/>
  <c r="K81" i="23"/>
  <c r="J81" i="23"/>
  <c r="E5" i="18"/>
  <c r="D8" i="18"/>
  <c r="C7" i="16"/>
  <c r="F7" i="16"/>
  <c r="E3" i="19"/>
  <c r="F3" i="19"/>
  <c r="E2" i="19"/>
  <c r="F2" i="19"/>
  <c r="C5" i="18"/>
  <c r="C6" i="18"/>
  <c r="D5" i="18"/>
  <c r="D6" i="18"/>
  <c r="E6" i="18"/>
  <c r="F5" i="18"/>
  <c r="F6" i="18"/>
  <c r="K80" i="23"/>
  <c r="J80" i="23"/>
  <c r="AR87" i="23"/>
  <c r="AR91" i="23"/>
  <c r="F83" i="23"/>
  <c r="G87" i="23"/>
  <c r="G91" i="23"/>
  <c r="F78" i="23"/>
  <c r="F80" i="23"/>
  <c r="K78" i="23"/>
  <c r="P87" i="23"/>
  <c r="P91" i="23"/>
  <c r="AA87" i="23"/>
  <c r="AA91" i="23"/>
  <c r="H78" i="23"/>
  <c r="H87" i="23"/>
  <c r="H91" i="23"/>
  <c r="E7" i="16"/>
  <c r="G7" i="1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D9" i="18"/>
  <c r="D11" i="18"/>
  <c r="K87" i="23"/>
  <c r="K91" i="23"/>
  <c r="J78" i="23"/>
  <c r="J87" i="23"/>
  <c r="J91" i="23"/>
  <c r="F87" i="23"/>
  <c r="F91"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16" authorId="0" shapeId="0" xr:uid="{CF05DA04-F9F5-49D5-9BEF-678AE31E43E3}">
      <text>
        <r>
          <rPr>
            <b/>
            <sz val="9"/>
            <color indexed="81"/>
            <rFont val="Tahoma"/>
            <family val="2"/>
          </rPr>
          <t>jrg:</t>
        </r>
        <r>
          <rPr>
            <sz val="9"/>
            <color indexed="81"/>
            <rFont val="Tahoma"/>
            <family val="2"/>
          </rPr>
          <t xml:space="preserve">
Where in the report are the VKm numbers?</t>
        </r>
      </text>
    </comment>
    <comment ref="I17" authorId="0" shapeId="0" xr:uid="{145AF61D-1EB6-4E29-B7A3-1D2FC6A1A3F7}">
      <text>
        <r>
          <rPr>
            <b/>
            <sz val="9"/>
            <color indexed="81"/>
            <rFont val="Tahoma"/>
            <family val="2"/>
          </rPr>
          <t>Author:</t>
        </r>
        <r>
          <rPr>
            <sz val="9"/>
            <color indexed="81"/>
            <rFont val="Tahoma"/>
            <family val="2"/>
          </rPr>
          <t xml:space="preserve">
This is number of boardings. It notes some journeys use more than one type of transport so have more than one boarding.</t>
        </r>
      </text>
    </comment>
    <comment ref="I18" authorId="0" shapeId="0" xr:uid="{A72E6C4E-2B65-44F7-834D-ACF9A9DF16FA}">
      <text>
        <r>
          <rPr>
            <b/>
            <sz val="9"/>
            <color indexed="81"/>
            <rFont val="Tahoma"/>
            <family val="2"/>
          </rPr>
          <t xml:space="preserve">jrg: </t>
        </r>
        <r>
          <rPr>
            <sz val="9"/>
            <color indexed="81"/>
            <rFont val="Tahoma"/>
            <family val="2"/>
          </rPr>
          <t>It would have been better to use the average for the year rather than Jan: 
https://www.td.gov.hk/mini_site/atd/2017/en/section5_3.html
It has Vkm info but only for buses and MTR
See Trans rough work page</t>
        </r>
      </text>
    </comment>
    <comment ref="I23" authorId="0" shapeId="0" xr:uid="{EA9F9257-2A8D-4507-8A38-E5507471DE01}">
      <text>
        <r>
          <rPr>
            <b/>
            <sz val="9"/>
            <color indexed="81"/>
            <rFont val="Tahoma"/>
            <family val="2"/>
          </rPr>
          <t xml:space="preserve">jrg: </t>
        </r>
        <r>
          <rPr>
            <sz val="9"/>
            <color indexed="81"/>
            <rFont val="Tahoma"/>
            <family val="2"/>
          </rPr>
          <t xml:space="preserve"> IL to add reference.</t>
        </r>
      </text>
    </comment>
    <comment ref="W76" authorId="0" shapeId="0" xr:uid="{ACDEBBC8-A073-45F4-AC7F-CC94BD111148}">
      <text>
        <r>
          <rPr>
            <b/>
            <sz val="9"/>
            <color indexed="81"/>
            <rFont val="Tahoma"/>
            <family val="2"/>
          </rPr>
          <t>Author:</t>
        </r>
        <r>
          <rPr>
            <sz val="9"/>
            <color indexed="81"/>
            <rFont val="Tahoma"/>
            <family val="2"/>
          </rPr>
          <t xml:space="preserve">
The fuel efficiency has problem need to be cofrined </t>
        </r>
      </text>
    </comment>
    <comment ref="A80" authorId="0" shapeId="0" xr:uid="{BF8242A9-E67C-46CB-B06C-A14D231C7E44}">
      <text>
        <r>
          <rPr>
            <b/>
            <sz val="9"/>
            <color indexed="81"/>
            <rFont val="Tahoma"/>
            <family val="2"/>
          </rPr>
          <t>JRG:</t>
        </r>
        <r>
          <rPr>
            <sz val="9"/>
            <color indexed="81"/>
            <rFont val="Tahoma"/>
            <family val="2"/>
          </rPr>
          <t xml:space="preserve">
Why do we lump in mini-buses with Buses.  They are very different.</t>
        </r>
      </text>
    </comment>
    <comment ref="AP82" authorId="0" shapeId="0" xr:uid="{00B2A951-2B6D-4FC6-8CD2-48234D25214E}">
      <text>
        <r>
          <rPr>
            <b/>
            <sz val="9"/>
            <color indexed="81"/>
            <rFont val="Tahoma"/>
            <family val="2"/>
          </rPr>
          <t>Author:</t>
        </r>
        <r>
          <rPr>
            <sz val="9"/>
            <color indexed="81"/>
            <rFont val="Tahoma"/>
            <family val="2"/>
          </rPr>
          <t xml:space="preserve">
Landfill gas. Count as zero emission</t>
        </r>
      </text>
    </comment>
  </commentList>
</comments>
</file>

<file path=xl/sharedStrings.xml><?xml version="1.0" encoding="utf-8"?>
<sst xmlns="http://schemas.openxmlformats.org/spreadsheetml/2006/main" count="717" uniqueCount="468">
  <si>
    <t>BAADTbVT BAU Average Annual Dist Traveled by Vehicle Type</t>
  </si>
  <si>
    <t>Source:</t>
  </si>
  <si>
    <t>Vehicle KM Travelled</t>
  </si>
  <si>
    <t>Report on Study of Road Traffic Congestion in Hong Kong (private cars, goods vehicles, motorcycles, buses and light buses, taxis)</t>
  </si>
  <si>
    <t>Transport Advisory Committee</t>
  </si>
  <si>
    <t>https://www.thb.gov.hk/eng/boards/transport/land/Full_Eng_C_cover.pdf</t>
  </si>
  <si>
    <t>Figure 2E, p26</t>
  </si>
  <si>
    <t>Rail Cars</t>
  </si>
  <si>
    <t>Business Overview</t>
  </si>
  <si>
    <t>MTR</t>
  </si>
  <si>
    <t>https://www.mtr.com.hk/archive/corporate/en/publications/images/business_overview_e.pdf</t>
  </si>
  <si>
    <t xml:space="preserve">Rail Distance Travelled </t>
  </si>
  <si>
    <t>Public Transport Statistics</t>
  </si>
  <si>
    <t>Transport Department</t>
  </si>
  <si>
    <t>https://data.gov.hk/en-data/dataset/hk-td-tis_10-monthly-traffic-and-transport-digest/resource/dc327887-480e-48bc-b346-978c24657480</t>
  </si>
  <si>
    <t>StarrFerry Services</t>
  </si>
  <si>
    <t>Operational Information</t>
  </si>
  <si>
    <t>The "Star" Ferry Company Limited</t>
  </si>
  <si>
    <t>http://www.starferry.com.hk/en/operationalInfo</t>
  </si>
  <si>
    <t>Air</t>
  </si>
  <si>
    <t>Cathay Pacific: Annual Report 2017</t>
  </si>
  <si>
    <t>Cathay Pacific</t>
  </si>
  <si>
    <t>https://www.cathaypacific.com/content/dam/cx/about-us/investor-relations/interim-annual-reports/en/2017_annual_report_en.pdf</t>
  </si>
  <si>
    <t>HK Tramways</t>
  </si>
  <si>
    <t>Hong Kong Facts: Transport</t>
  </si>
  <si>
    <t xml:space="preserve">https://www.gov.hk/en/about/abouthk/factsheets/docs/transport.pdf </t>
  </si>
  <si>
    <t>Government Vehicles</t>
  </si>
  <si>
    <t>Fleet Management</t>
  </si>
  <si>
    <t>Government Logistics Department</t>
  </si>
  <si>
    <t>https://www.gld.gov.hk/text/eng/services_3_d.htm</t>
  </si>
  <si>
    <t>Vehicle Inventory</t>
  </si>
  <si>
    <t>Registration and Licensing of Vehicles by Class of Vehicles</t>
  </si>
  <si>
    <t>Transportation Department: The Government of the Hong Kong Special Administrative Region</t>
  </si>
  <si>
    <t>https://www.td.gov.hk/filemanager/en/content_4883/table41a.pdf</t>
  </si>
  <si>
    <t>Table 4.1(a)</t>
  </si>
  <si>
    <t>Ferry Count</t>
  </si>
  <si>
    <t>Hong Kong Licensed Vessels (New Series)</t>
  </si>
  <si>
    <t>n.d.</t>
  </si>
  <si>
    <t>Hong Kong Marine Department</t>
  </si>
  <si>
    <t>https://www.mardep.gov.hk/en/publication/pdf/portstat_2_y_e3.pdf</t>
  </si>
  <si>
    <t>Marine (Government) Fleet</t>
  </si>
  <si>
    <t>The Fleet</t>
  </si>
  <si>
    <t>Hong Kong Police Force</t>
  </si>
  <si>
    <t xml:space="preserve">https://www.police.gov.hk/ppp_en/14_marine/fleet.html </t>
  </si>
  <si>
    <t>Notes:</t>
  </si>
  <si>
    <t>Passenger vehicle calculations exclude government vehicles.</t>
  </si>
  <si>
    <t>HDV calculations include buses and light buses.</t>
  </si>
  <si>
    <t>Rail includes HK Tramways.</t>
  </si>
  <si>
    <t>This is a time-series variable to support countries or regions where average distance</t>
  </si>
  <si>
    <t>traveled per year changes over the model run. We assume values are constant as in the U.S.</t>
  </si>
  <si>
    <t>version of the model.</t>
  </si>
  <si>
    <t>We assume no rail freight.</t>
  </si>
  <si>
    <t>We assume air passenger average annual distance is equal to freight air average distance.</t>
  </si>
  <si>
    <t>Air passenger and freight data is solely based on Cathay Pacific and subsidiaries' information. Data on revenue-miles and fleet summaries from other airlines operating in Hong Kong was unavailable.</t>
  </si>
  <si>
    <t>Passenger ships excludes government launches and unclassified passenger boats.</t>
  </si>
  <si>
    <t>We assume other passenger ferries travel at the same distance per vehicle as Star Ferry and about the same distance as US recreational boats.</t>
  </si>
  <si>
    <t>Conversion</t>
  </si>
  <si>
    <t>1km=0.621371m</t>
  </si>
  <si>
    <t>Taxis represented as motorcycles in freight</t>
  </si>
  <si>
    <t>Vessel</t>
  </si>
  <si>
    <t>Number</t>
  </si>
  <si>
    <t>Type (G, I, C)</t>
  </si>
  <si>
    <t>Ferry Vessel</t>
  </si>
  <si>
    <t>IP</t>
  </si>
  <si>
    <t>Launch</t>
  </si>
  <si>
    <t>Multi-purpose Vessel</t>
  </si>
  <si>
    <t>IF</t>
  </si>
  <si>
    <t>Tug</t>
  </si>
  <si>
    <t>Dangerous Goods Carrier</t>
  </si>
  <si>
    <t>Dredger</t>
  </si>
  <si>
    <t>Dry Cargo Vessel</t>
  </si>
  <si>
    <t>Edible Oil Carrier</t>
  </si>
  <si>
    <t>Noxious Liquid Substance Carrier</t>
  </si>
  <si>
    <t>Oil Carrier</t>
  </si>
  <si>
    <t>Pilot Boat</t>
  </si>
  <si>
    <t>Special Purpose Vessel</t>
  </si>
  <si>
    <t>Transportation Boat</t>
  </si>
  <si>
    <t>Transportation Sampan</t>
  </si>
  <si>
    <t>Water Boat</t>
  </si>
  <si>
    <t>Work Boat</t>
  </si>
  <si>
    <t>Fish Carrier</t>
  </si>
  <si>
    <t>Fishing Vessel</t>
  </si>
  <si>
    <t>Auxiliary Powered Yacht</t>
  </si>
  <si>
    <t>CP</t>
  </si>
  <si>
    <t>Cruiser</t>
  </si>
  <si>
    <t>Open Cruiser</t>
  </si>
  <si>
    <t>Governmnet Launch</t>
  </si>
  <si>
    <t>GP</t>
  </si>
  <si>
    <t>Total</t>
  </si>
  <si>
    <t>**113 government marine</t>
  </si>
  <si>
    <t>Passenger Ships</t>
  </si>
  <si>
    <t>Freight Ships</t>
  </si>
  <si>
    <t>Consumer Passenger</t>
  </si>
  <si>
    <t>Industry Passenger</t>
  </si>
  <si>
    <t>Government Passenger</t>
  </si>
  <si>
    <t>Vehicle Type</t>
  </si>
  <si>
    <t>licensed</t>
  </si>
  <si>
    <t>private cars</t>
  </si>
  <si>
    <t>taxis</t>
  </si>
  <si>
    <t>public buses</t>
  </si>
  <si>
    <t>private buses</t>
  </si>
  <si>
    <t>public light buses</t>
  </si>
  <si>
    <t>private light bus</t>
  </si>
  <si>
    <t>motorcycles</t>
  </si>
  <si>
    <t>light goods</t>
  </si>
  <si>
    <t>goods vehicles</t>
  </si>
  <si>
    <t>special purpose vehicles</t>
  </si>
  <si>
    <t>govt cars</t>
  </si>
  <si>
    <t>Source</t>
  </si>
  <si>
    <t>Notes</t>
  </si>
  <si>
    <t>distance per vehicle type per year-2013 figures</t>
  </si>
  <si>
    <t>licensed vehicle numbers-2017 figures</t>
  </si>
  <si>
    <t>Line</t>
  </si>
  <si>
    <t>Kwun Tong, Tsuen Wan, Island, Tung Chung, Tseung Kwan O, Disneyland Resort, East Rail, Ma On Shan, West Rail and South Island lines</t>
  </si>
  <si>
    <t>Airport Line</t>
  </si>
  <si>
    <t>Light Rail</t>
  </si>
  <si>
    <t>Tramways</t>
  </si>
  <si>
    <t>Number of Train Cars</t>
  </si>
  <si>
    <t>Distance Travelled (km '000 in a month)</t>
  </si>
  <si>
    <t>Miles</t>
  </si>
  <si>
    <t>Distance in vehicle miles/year</t>
  </si>
  <si>
    <t>Distance per vehicle</t>
  </si>
  <si>
    <t>Vehicles (8cars per vehicle)</t>
  </si>
  <si>
    <t>Miles travelled</t>
  </si>
  <si>
    <t>avg (incl. tramways)</t>
  </si>
  <si>
    <t>Type</t>
  </si>
  <si>
    <t>Year</t>
  </si>
  <si>
    <t>Licensed</t>
  </si>
  <si>
    <t>Vehicle travel km</t>
  </si>
  <si>
    <t>Km per vehicle per annum</t>
  </si>
  <si>
    <t>Miles per vehicle per annum</t>
  </si>
  <si>
    <t>Private Cars-LDVs</t>
  </si>
  <si>
    <t>Taxis-LDVs</t>
  </si>
  <si>
    <t>PHDVs (Buses and Light Buses)</t>
  </si>
  <si>
    <t>Motorcycles</t>
  </si>
  <si>
    <t>Rail (includes HK Tramways)</t>
  </si>
  <si>
    <t>Recreational boats</t>
  </si>
  <si>
    <t>All Ferries</t>
  </si>
  <si>
    <t>LDVs</t>
  </si>
  <si>
    <t>HDVs (Goods Vehicles and Special Purpose Vehicles)</t>
  </si>
  <si>
    <t>Air Freighters</t>
  </si>
  <si>
    <t>Ships</t>
  </si>
  <si>
    <t>KM Flown</t>
  </si>
  <si>
    <t xml:space="preserve">Fleet </t>
  </si>
  <si>
    <t>Average seat (or tonne) km/vehicle</t>
  </si>
  <si>
    <t>Average mile/vehicle</t>
  </si>
  <si>
    <t>Air passenger</t>
  </si>
  <si>
    <t>*20 cargo freighters, 174 passenger crafts</t>
  </si>
  <si>
    <t>Note: Since all air travel for HK is int'l, we omit it for now</t>
  </si>
  <si>
    <t>HDVs</t>
  </si>
  <si>
    <t>aircraft</t>
  </si>
  <si>
    <t>rail</t>
  </si>
  <si>
    <t>ships</t>
  </si>
  <si>
    <t>motorbikes</t>
  </si>
  <si>
    <t>Usual Residents ^1</t>
  </si>
  <si>
    <t>IN(Usual Residents)</t>
  </si>
  <si>
    <t>Fleet Size</t>
  </si>
  <si>
    <t>VKM</t>
  </si>
  <si>
    <t>Vehicle KM per vehicle</t>
  </si>
  <si>
    <t>Miles per vehicle</t>
  </si>
  <si>
    <t>Period</t>
  </si>
  <si>
    <t>Fleet Size^2</t>
  </si>
  <si>
    <t xml:space="preserve">Appendix A Hong Kong Resident Population under baseline population projections, high population projections and low population projections </t>
  </si>
  <si>
    <t>https://www.statistics.gov.hk/pub/B1120015072017XXXXB0100.pdf</t>
  </si>
  <si>
    <t>EPD EmfacHKV41</t>
  </si>
  <si>
    <t>Private vehicles projections by Lawrence</t>
  </si>
  <si>
    <t>Passenger LDV total</t>
  </si>
  <si>
    <t>Scaling Factor to 2013</t>
  </si>
  <si>
    <t>Scaling Factors to 2013 data:</t>
  </si>
  <si>
    <t>Lawrence's projections:</t>
  </si>
  <si>
    <t>Container Throughput*
(‘000 TEUs)</t>
  </si>
  <si>
    <t>1/GDP</t>
  </si>
  <si>
    <t xml:space="preserve">Vkm (million
km) </t>
  </si>
  <si>
    <t>Container Throughput* Increase Rate^1</t>
  </si>
  <si>
    <t>HKPC Projection Vkm (million
km)</t>
  </si>
  <si>
    <t>GDP in Chain (2005)
Dollars (HK$ million)</t>
  </si>
  <si>
    <t>Vehicle Miles per vehicle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</si>
  <si>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</si>
  <si>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</si>
  <si>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</si>
  <si>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</si>
  <si>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</si>
  <si>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</si>
  <si>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</si>
  <si>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</si>
  <si>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</si>
  <si>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</si>
  <si>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</si>
  <si>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</si>
  <si>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</si>
  <si>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</si>
  <si>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</si>
  <si>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Coefficients</t>
  </si>
  <si>
    <t>t Stat</t>
  </si>
  <si>
    <t>P-value</t>
  </si>
  <si>
    <t>Lower 95%</t>
  </si>
  <si>
    <t>Upper 95%</t>
  </si>
  <si>
    <t>Lower 95.0%</t>
  </si>
  <si>
    <t>Upper 95.0%</t>
  </si>
  <si>
    <t>Intercept</t>
  </si>
  <si>
    <t>Findings of Study on the Strategic Development Plan for HK Port 2030</t>
  </si>
  <si>
    <t>https://www.info.gov.hk/gia/general/201412/01/P201412010731.htm</t>
  </si>
  <si>
    <t>Projection based on EmfacHKV41</t>
  </si>
  <si>
    <t>Goods vehicle total</t>
  </si>
  <si>
    <t>1 dangerous goods ferry travels 18 trips, each trip 12km, for 365 days</t>
  </si>
  <si>
    <t>Public Sector Operator</t>
  </si>
  <si>
    <t>Operating Statistics by Public Sector Operators</t>
  </si>
  <si>
    <t>https://www.td.gov.hk/filemanager/en/content_4893/table22.pdf</t>
  </si>
  <si>
    <t>Table 2.2</t>
  </si>
  <si>
    <t>75 ( Star, World, etc)</t>
  </si>
  <si>
    <t>assume same as star ferry</t>
  </si>
  <si>
    <t>Licensed (2017 numbers)</t>
  </si>
  <si>
    <t>Star Ferries</t>
  </si>
  <si>
    <t>Vehicle travel km (from Road Traffic Congestion Report for LDVs, HDVs and motorcycles)</t>
  </si>
  <si>
    <t>Operating Transport Sector Report</t>
  </si>
  <si>
    <t>km/year (2013 numbers)</t>
  </si>
  <si>
    <t>LDVs (Goods vehicles)</t>
  </si>
  <si>
    <t>Transportation</t>
  </si>
  <si>
    <t>Updated:</t>
  </si>
  <si>
    <t>Scenario:</t>
  </si>
  <si>
    <t>Color code</t>
  </si>
  <si>
    <t>Fixed data Input</t>
  </si>
  <si>
    <t>Parameter input</t>
  </si>
  <si>
    <t>Parameter rpt item</t>
  </si>
  <si>
    <t>Clear: calculated</t>
  </si>
  <si>
    <t>Page 1 of 3</t>
  </si>
  <si>
    <t>NOT USED</t>
  </si>
  <si>
    <t>Logic Flow</t>
  </si>
  <si>
    <t xml:space="preserve">Module 1 2016 Transportation usage </t>
  </si>
  <si>
    <t>Module 2 Part 1 2050 Demographic forecast</t>
  </si>
  <si>
    <t>Module 3 Transportation usage forecasting</t>
  </si>
  <si>
    <t>Module 5 Transportation Energy/ Technology Policy Block</t>
  </si>
  <si>
    <t>Module 6 Transport energy and emission forecasting</t>
  </si>
  <si>
    <t>output
VKm</t>
  </si>
  <si>
    <t>Output
2050 VKm</t>
  </si>
  <si>
    <t>Output
1.2050 VKm(adjusted)
2.No of Vechicles (adjusted)</t>
  </si>
  <si>
    <t>Output
1.2050 VKm (adjusted)
2.No of Vechicles (Distribution on vehicle technology 2050) (adjusted)
3.Fuel efficiency</t>
  </si>
  <si>
    <t xml:space="preserve">Output
1.VKm
2.No. of vehicles </t>
  </si>
  <si>
    <t>Output
Policy adjustment factor</t>
  </si>
  <si>
    <t>Module 4 2016 Transport energy and emission</t>
  </si>
  <si>
    <t>Module 2 Part 2 Transportation usage policy Block</t>
  </si>
  <si>
    <t>"Output"
Energy demand
+
Emissions</t>
  </si>
  <si>
    <t>1.Fuel efficiency (2016)</t>
  </si>
  <si>
    <t>2.No. of vehicles (Distribution on vehicle technology 2016)</t>
  </si>
  <si>
    <t>Formulas for Module 3</t>
  </si>
  <si>
    <t>References</t>
  </si>
  <si>
    <t>Pax Total VKm 2050 = Pax Total Vkm 2016 * Change in population * Impact of change in demo profile * Town planning efficiency factor * Work from home &amp; video conf factor</t>
  </si>
  <si>
    <t>Report on Study of Road traffic in HK</t>
  </si>
  <si>
    <t>2016 VKm</t>
  </si>
  <si>
    <t xml:space="preserve">P.14 Travel Characteristics Study 2011 </t>
  </si>
  <si>
    <t>Chg pop for each demographic</t>
  </si>
  <si>
    <t>Monthly Traffic and Transport Digest</t>
  </si>
  <si>
    <t>Town planning efficiency factor</t>
  </si>
  <si>
    <t>Demographic Trends in Hong Kong</t>
  </si>
  <si>
    <t>Work from home + video conference factor</t>
  </si>
  <si>
    <t>Hong Kong Population Projections 2017-2066</t>
  </si>
  <si>
    <t>Hong Kong Population Projections 2017-2067</t>
  </si>
  <si>
    <t>Mode split</t>
  </si>
  <si>
    <t>Vehicle number come from Transportport Dept Table 4.4 : Registration and Licensing of Vehicles by Fuel Type (December 2016)</t>
  </si>
  <si>
    <t>MTR&amp; tram % = f(MTR development plan)</t>
  </si>
  <si>
    <t xml:space="preserve">Land frieght transport VKm from EPD. </t>
  </si>
  <si>
    <t>Other % = f(Private car per Private car policy; Split of remaing modes per data input)</t>
  </si>
  <si>
    <t>Bus CNG fuel https://wenku.baidu.com/view/b2642efa3086bceb19e8b8f67c1cfad6195fe99f.html</t>
  </si>
  <si>
    <t>No of vehicles = VKm /(2016 VKm/vehicle)</t>
  </si>
  <si>
    <t>Car and motorcycle split in proportion to # vehciles.  Low priorty to improve as (a) vastly different fuel consumption (b) easier to make motorcycles into EVs.</t>
  </si>
  <si>
    <t>Motor-cycles solo and combo and tricycles</t>
  </si>
  <si>
    <t>Might improve the model by dividing MTR &amp; tram into (a) Heavy rail; Light rail and non-MTR tram.</t>
  </si>
  <si>
    <t>Freight Fuel efficiency https://www.transportenvironment.org/sites/te/files/2016_09_Blog_20_years_no_progress_methodological_note_final.pdf</t>
  </si>
  <si>
    <t>Demographic and Transportation Usage</t>
  </si>
  <si>
    <t>P.4 Emissions and fuel consumption of natural gas powered city buses versus diesel buses in realcity traffic</t>
  </si>
  <si>
    <t>http://citeseerx.ist.psu.edu/viewdoc/download?doi=10.1.1.201.5043&amp;rep=rep1&amp;type=pdf</t>
  </si>
  <si>
    <t>P.7  Test report of Iveco LNG-powered HD-truck</t>
  </si>
  <si>
    <t>https://www.cryogas.pl/pliki_do_pobrania/artykuly/20171110_Raport_LNG_Unilever_Link_Iveco_.pdf</t>
  </si>
  <si>
    <t xml:space="preserve">Module 1 Transportation usage </t>
  </si>
  <si>
    <t>Module 3 Transportation usage forecast</t>
  </si>
  <si>
    <t>Module 2 Part 1 Demographic and VKm forecast</t>
  </si>
  <si>
    <t>Year 2016</t>
  </si>
  <si>
    <t>Year 2050</t>
  </si>
  <si>
    <t>Input</t>
  </si>
  <si>
    <t>No of vehicles^1</t>
  </si>
  <si>
    <t>VKm/ vehicle/ year</t>
  </si>
  <si>
    <t>Million VKm^2</t>
  </si>
  <si>
    <t>Mode split (# boardings)^3</t>
  </si>
  <si>
    <t>'000 pax boardings per day^4</t>
  </si>
  <si>
    <t>% change in VKm/ vehicle/yr</t>
  </si>
  <si>
    <t>% change in pax/vehicle</t>
  </si>
  <si>
    <t>% change in VKm/ boarding</t>
  </si>
  <si>
    <t>No of vehicles</t>
  </si>
  <si>
    <t>Million VKm</t>
  </si>
  <si>
    <t>Mode split^3</t>
  </si>
  <si>
    <t>Population^5</t>
  </si>
  <si>
    <t>Travel as % of 15-64 band</t>
  </si>
  <si>
    <t>Population^6</t>
  </si>
  <si>
    <t>Passenger transport</t>
  </si>
  <si>
    <t>%</t>
  </si>
  <si>
    <t>Franchise bus</t>
  </si>
  <si>
    <t>Population</t>
  </si>
  <si>
    <t>Residents &amp; MTR bus</t>
  </si>
  <si>
    <t>0 - 14</t>
  </si>
  <si>
    <t>Minibus</t>
  </si>
  <si>
    <t>15-64</t>
  </si>
  <si>
    <t>Taxi</t>
  </si>
  <si>
    <t>&gt; 64</t>
  </si>
  <si>
    <t>1A Sub total (Public road)</t>
  </si>
  <si>
    <t>Private car ^11</t>
  </si>
  <si>
    <t>Economy</t>
  </si>
  <si>
    <t>2012 HK$'b</t>
  </si>
  <si>
    <t>2050 HK$'b</t>
  </si>
  <si>
    <t>Motorcycle ^7; 11; 12</t>
  </si>
  <si>
    <t>GDP</t>
  </si>
  <si>
    <t>1B Sub total (Private)</t>
  </si>
  <si>
    <t>Passenger journeys per day</t>
  </si>
  <si>
    <t>MTR &amp; tram ^13</t>
  </si>
  <si>
    <t>% chg due to increased population</t>
  </si>
  <si>
    <t>Ferry &amp; internal air</t>
  </si>
  <si>
    <t>% chg due to higher GDP/person</t>
  </si>
  <si>
    <t>Total pax transport</t>
  </si>
  <si>
    <t>% chg due to demographic profile</t>
  </si>
  <si>
    <t>Land freight transport ^9</t>
  </si>
  <si>
    <t>% chg due to Town Planning efficiency</t>
  </si>
  <si>
    <t>Light good vehicles</t>
  </si>
  <si>
    <t>% chg due to work from home and greater use of video-conferencing</t>
  </si>
  <si>
    <t>Medium good vehicles (5.5-15t)</t>
  </si>
  <si>
    <t>% chg due to more home delivery</t>
  </si>
  <si>
    <t>HGV (&gt;15t)</t>
  </si>
  <si>
    <t>Total change in passenger journeys per day</t>
  </si>
  <si>
    <t>Special purpose trucks</t>
  </si>
  <si>
    <t>Freight transport VKm</t>
  </si>
  <si>
    <t>1C Sub total</t>
  </si>
  <si>
    <t>of increase GDP in constant $</t>
  </si>
  <si>
    <t>% change due to Town Planning efficiency.</t>
  </si>
  <si>
    <t>Total 1A + 1B + 1C</t>
  </si>
  <si>
    <t>% chg due to more home delivery @</t>
  </si>
  <si>
    <t>* impact on pax journeys</t>
  </si>
  <si>
    <t>To Module 4 page 3</t>
  </si>
  <si>
    <t>Total VKm</t>
  </si>
  <si>
    <t>Total change in freight VKm</t>
  </si>
  <si>
    <t>CNG DGE</t>
  </si>
  <si>
    <t>Energy and Emissions</t>
  </si>
  <si>
    <t>Page 2 of 3</t>
  </si>
  <si>
    <t>Page 3 of 3</t>
  </si>
  <si>
    <t>Module 4 Transport energy and emission forecasting (2016)</t>
  </si>
  <si>
    <t>VKm (Km per vehicle per year)</t>
  </si>
  <si>
    <t>Energy in Tj</t>
  </si>
  <si>
    <t>GHG emissions tonnes CO2e</t>
  </si>
  <si>
    <t>Gasoline</t>
  </si>
  <si>
    <t>Diesel (Blend)</t>
  </si>
  <si>
    <t>EV</t>
  </si>
  <si>
    <t>Hybrid</t>
  </si>
  <si>
    <t>Hydrogen</t>
  </si>
  <si>
    <t>CNG</t>
  </si>
  <si>
    <t>LPG</t>
  </si>
  <si>
    <t>LNG</t>
  </si>
  <si>
    <t>Ref ^8</t>
  </si>
  <si>
    <t>Electricity</t>
  </si>
  <si>
    <t>Fossil</t>
  </si>
  <si>
    <t>% of vehicles</t>
  </si>
  <si>
    <t>No. of vehicles</t>
  </si>
  <si>
    <t>Fuel efficiency (L/100 KM)</t>
  </si>
  <si>
    <t>Energy (TJ)</t>
  </si>
  <si>
    <t>Emissions (ton CO2)</t>
  </si>
  <si>
    <t>Fuel efficiency kWh/100km</t>
  </si>
  <si>
    <t xml:space="preserve">                                                                                                                                                                                                                                                                              </t>
  </si>
  <si>
    <t>Fuel efficiency (Kg/100 KM)</t>
  </si>
  <si>
    <t>Fuel efficiency (m3/ KM) ^10</t>
  </si>
  <si>
    <t>CNG USEAGE (TJ)</t>
  </si>
  <si>
    <t>Landfill Gas Methane (TJ)</t>
  </si>
  <si>
    <t>Fuel efficiency (L/100 KM)^15^16</t>
  </si>
  <si>
    <t>Private car</t>
  </si>
  <si>
    <t>Motorcycle</t>
  </si>
  <si>
    <t>Bus</t>
  </si>
  <si>
    <t>Freight</t>
  </si>
  <si>
    <t xml:space="preserve">Heavy </t>
  </si>
  <si>
    <t xml:space="preserve">Medium </t>
  </si>
  <si>
    <t xml:space="preserve">Light </t>
  </si>
  <si>
    <t>Special purpose</t>
  </si>
  <si>
    <t>Sub-total road vehicle</t>
  </si>
  <si>
    <t>MTR &amp; tram</t>
  </si>
  <si>
    <t>Ferry &amp; internal air - pax</t>
  </si>
  <si>
    <t>Ferry &amp; internal air - freight</t>
  </si>
  <si>
    <t>TOTAL</t>
  </si>
  <si>
    <t>Module 6 Transport energy and emission forecasting (2050)</t>
  </si>
  <si>
    <t>VKm (Km per vehicle type year)</t>
  </si>
  <si>
    <t>double check share</t>
  </si>
  <si>
    <t>Fuel efficiency (KWh/100KM)</t>
  </si>
  <si>
    <t>Fuel efficiency (m3/KM)</t>
  </si>
  <si>
    <t>sub-total (vehicle)</t>
  </si>
  <si>
    <t>Ferry &amp; internal air - Pax</t>
  </si>
  <si>
    <t xml:space="preserve">Taxi patronage figures are estimated using the operating data of taxis covered in the corresponding month.  </t>
    <phoneticPr fontId="8" type="noConversion"/>
  </si>
  <si>
    <r>
      <t>(12</t>
    </r>
    <r>
      <rPr>
        <sz val="10"/>
        <rFont val="Times New Roman"/>
        <family val="1"/>
      </rPr>
      <t>)</t>
    </r>
  </si>
  <si>
    <t>的士乘客人次是根據該月所涵蓋的的士的營運資料估計。</t>
    <phoneticPr fontId="8" type="noConversion"/>
  </si>
  <si>
    <r>
      <t xml:space="preserve">Residents' services are services provided by or on behalf of the management, residents or owners of any residential development for the carriage of passengers to or from the residential development. Residents' services </t>
    </r>
    <r>
      <rPr>
        <sz val="10"/>
        <rFont val="Times New Roman"/>
        <family val="1"/>
      </rPr>
      <t>are a type of non-franchised public bus services.  Non-franchised public buses also provide tour service, hotel service, student service, employees' service, international passenger service and contract hire service. But since relevant data are not available, the patronage figures for these services cannot be provided.</t>
    </r>
  </si>
  <si>
    <r>
      <t>(11</t>
    </r>
    <r>
      <rPr>
        <sz val="10"/>
        <rFont val="Times New Roman"/>
        <family val="1"/>
      </rPr>
      <t>)</t>
    </r>
  </si>
  <si>
    <t>居民巴士服務是由或代任何住宅發展的管理機構、住客或擁有人提供，以運載乘客往返該住宅發展的服務。居民巴士服務是非專營公共巴士服務的其中一種。非專營公共巴士亦提供遊覽服務、酒店服務、學生服務、僱員服務、國際乘客服務及合約式出租服務，但因沒有相關資料，這些服務的乘客人次數字未能提供。</t>
    <phoneticPr fontId="8" type="noConversion"/>
  </si>
  <si>
    <r>
      <t>Ferries include franchised and licensed services</t>
    </r>
    <r>
      <rPr>
        <sz val="10"/>
        <rFont val="Times New Roman"/>
        <family val="1"/>
      </rPr>
      <t xml:space="preserve"> but exclude Kaitos.</t>
    </r>
  </si>
  <si>
    <r>
      <t>(10</t>
    </r>
    <r>
      <rPr>
        <sz val="10"/>
        <rFont val="Times New Roman"/>
        <family val="1"/>
      </rPr>
      <t>)</t>
    </r>
  </si>
  <si>
    <t>渡輪服務包括專營及持牌渡輪服務，但不包括街渡。</t>
    <phoneticPr fontId="8" type="noConversion"/>
  </si>
  <si>
    <t xml:space="preserve">No regular return is collected from operators of RMB.  As such, RMB patronage figures are estimated based on the results of the Comprehensive Surveys on Red Minibus Services, having regard to the number of licensed RMB and the number of days in the respective months, and cannot reflect short term fluctuation in passenger journeys.  The estimated RMB patronage figures should not be taken as an accurate representation of the actual RMB patronage. </t>
    <phoneticPr fontId="8" type="noConversion"/>
  </si>
  <si>
    <r>
      <t>(9</t>
    </r>
    <r>
      <rPr>
        <sz val="10"/>
        <rFont val="Times New Roman"/>
        <family val="1"/>
      </rPr>
      <t>)</t>
    </r>
  </si>
  <si>
    <t>紅色小巴的營辦商無須定期向運輸署提供營運數據。紅色小巴乘客人次的數字是根據公共小巴服務綜合調查的結果並按該月份領有牌照的紅色小巴數目和該月份的日數估算得出，因此不能反映乘客人次的短期波動，亦不應視作為紅色小巴實際乘客人次的準確陳述。</t>
    <phoneticPr fontId="8" type="noConversion"/>
  </si>
  <si>
    <r>
      <t>T</t>
    </r>
    <r>
      <rPr>
        <sz val="10"/>
        <rFont val="Times New Roman"/>
        <family val="1"/>
      </rPr>
      <t xml:space="preserve">he passenger carrying capacity of a tramcar is </t>
    </r>
    <r>
      <rPr>
        <sz val="11"/>
        <color theme="1"/>
        <rFont val="Calibri"/>
        <family val="2"/>
        <scheme val="minor"/>
      </rPr>
      <t xml:space="preserve">a </t>
    </r>
    <r>
      <rPr>
        <sz val="10"/>
        <rFont val="Times New Roman"/>
        <family val="1"/>
      </rPr>
      <t xml:space="preserve">nominal figure listed in gazette schedules.  </t>
    </r>
  </si>
  <si>
    <r>
      <t>(8</t>
    </r>
    <r>
      <rPr>
        <sz val="10"/>
        <rFont val="Times New Roman"/>
        <family val="1"/>
      </rPr>
      <t>)</t>
    </r>
  </si>
  <si>
    <t>電車的載客量是憲報刊登的名義上數字。</t>
    <phoneticPr fontId="8" type="noConversion"/>
  </si>
  <si>
    <t>Including passenger cars only for MTR Lines and Airport Express Line.</t>
    <phoneticPr fontId="8" type="noConversion"/>
  </si>
  <si>
    <r>
      <t>(7</t>
    </r>
    <r>
      <rPr>
        <sz val="10"/>
        <rFont val="Times New Roman"/>
        <family val="1"/>
      </rPr>
      <t>)</t>
    </r>
  </si>
  <si>
    <t>港鐵線路及機場快線只包括載人的車卡。</t>
    <phoneticPr fontId="8" type="noConversion"/>
  </si>
  <si>
    <t>Excluding Intercity Through Train and XRL in MTR Lines.</t>
    <phoneticPr fontId="8" type="noConversion"/>
  </si>
  <si>
    <r>
      <t>(</t>
    </r>
    <r>
      <rPr>
        <sz val="10"/>
        <rFont val="Times New Roman"/>
        <family val="1"/>
      </rPr>
      <t>6)</t>
    </r>
  </si>
  <si>
    <t>港鐵線路並不包括城際客運及高鐵香港段。</t>
    <phoneticPr fontId="8" type="noConversion"/>
  </si>
  <si>
    <t xml:space="preserve">MTR Lines include Kwun Tong, Tsuen Wan, Island, Tung Chung, Disneyland Resort, Tseung Kwan O, East Rail, West Rail, Ma On Shan, South Island Lines, Intercity Through Train and Express Rail Link (XRL).  </t>
    <phoneticPr fontId="8" type="noConversion"/>
  </si>
  <si>
    <r>
      <t>(</t>
    </r>
    <r>
      <rPr>
        <sz val="10"/>
        <rFont val="Times New Roman"/>
        <family val="1"/>
      </rPr>
      <t>5)</t>
    </r>
  </si>
  <si>
    <t>港鐵線路包括觀塘、荃灣、港島、東涌、迪士尼、將軍澳、東鐵、西鐵、馬鞍山、南港島線、城際客運及高鐵香港段。</t>
    <phoneticPr fontId="8" type="noConversion"/>
  </si>
  <si>
    <r>
      <t>Figures of buses, public light buses and taxis are based on the licensing records of Transport Department</t>
    </r>
    <r>
      <rPr>
        <sz val="10"/>
        <rFont val="Times New Roman"/>
        <family val="1"/>
      </rPr>
      <t>.</t>
    </r>
  </si>
  <si>
    <t>(4)</t>
    <phoneticPr fontId="8" type="noConversion"/>
  </si>
  <si>
    <t>巴士、公共小巴及的士的數字來自運輸署牌照紀錄。</t>
    <phoneticPr fontId="8" type="noConversion"/>
  </si>
  <si>
    <t>Figures refer to the number of licensed vehicles/vessels, which include spares, owned by individual operators.  Hence the  numbers of vehicles/vessels deployed in service are generally not the actual numbers.</t>
    <phoneticPr fontId="8" type="noConversion"/>
  </si>
  <si>
    <t>(3)</t>
    <phoneticPr fontId="8" type="noConversion"/>
  </si>
  <si>
    <t>指個別營辦商其領有牌照的車輛/船隻數目，當中包括後備車輛/船隻，所以一般不等於實際投入服務的車輛/船隻數目。</t>
    <phoneticPr fontId="8" type="noConversion"/>
  </si>
  <si>
    <r>
      <t>Car km of MTR</t>
    </r>
    <r>
      <rPr>
        <sz val="10"/>
        <rFont val="Times New Roman"/>
        <family val="1"/>
      </rPr>
      <t xml:space="preserve"> refers to train-kilometers operated.</t>
    </r>
  </si>
  <si>
    <t>港鐵的公里數則為列車行駛公里數。</t>
    <phoneticPr fontId="2" type="noConversion"/>
  </si>
  <si>
    <r>
      <t>T</t>
    </r>
    <r>
      <rPr>
        <sz val="10"/>
        <rFont val="Times New Roman"/>
        <family val="1"/>
      </rPr>
      <t>he Car km operated of bus operators refers to pa</t>
    </r>
    <r>
      <rPr>
        <sz val="11"/>
        <color theme="1"/>
        <rFont val="Calibri"/>
        <family val="2"/>
        <scheme val="minor"/>
      </rPr>
      <t>id</t>
    </r>
    <r>
      <rPr>
        <sz val="10"/>
        <rFont val="Times New Roman"/>
        <family val="1"/>
      </rPr>
      <t xml:space="preserve"> km.</t>
    </r>
  </si>
  <si>
    <t>(2)</t>
    <phoneticPr fontId="8" type="noConversion"/>
  </si>
  <si>
    <t>巴士營辦商的車輛行駛公里數為收費公里數。</t>
    <phoneticPr fontId="8" type="noConversion"/>
  </si>
  <si>
    <t>Statistics of various fixed route modes are supplied by respective public transport operators.</t>
  </si>
  <si>
    <r>
      <t>(1)</t>
    </r>
    <r>
      <rPr>
        <sz val="10"/>
        <rFont val="Times New Roman"/>
        <family val="1"/>
      </rPr>
      <t xml:space="preserve"> </t>
    </r>
  </si>
  <si>
    <t>各類型行走固定路線的公共交通工具的營運統計數字由有關的營辦商提供。</t>
  </si>
  <si>
    <t>(1)</t>
    <phoneticPr fontId="8" type="noConversion"/>
  </si>
  <si>
    <t>Figures in brackets represent cross harbour service.</t>
  </si>
  <si>
    <t xml:space="preserve">Notes : </t>
  </si>
  <si>
    <t>括號內的數字代表過海服務。</t>
  </si>
  <si>
    <r>
      <t>註</t>
    </r>
    <r>
      <rPr>
        <sz val="10"/>
        <rFont val="Times New Roman"/>
        <family val="1"/>
      </rPr>
      <t xml:space="preserve"> :</t>
    </r>
  </si>
  <si>
    <t>#</t>
    <phoneticPr fontId="8" type="noConversion"/>
  </si>
  <si>
    <r>
      <t>合計</t>
    </r>
    <r>
      <rPr>
        <sz val="10"/>
        <rFont val="Times New Roman"/>
        <family val="1"/>
      </rPr>
      <t xml:space="preserve">     Overall</t>
    </r>
    <r>
      <rPr>
        <vertAlign val="superscript"/>
        <sz val="10"/>
        <rFont val="Times New Roman"/>
        <family val="1"/>
      </rPr>
      <t xml:space="preserve"> </t>
    </r>
  </si>
  <si>
    <t xml:space="preserve">§ </t>
  </si>
  <si>
    <r>
      <t xml:space="preserve">   </t>
    </r>
    <r>
      <rPr>
        <sz val="9"/>
        <rFont val="細明體"/>
        <family val="3"/>
        <charset val="136"/>
      </rPr>
      <t>的士</t>
    </r>
    <r>
      <rPr>
        <sz val="9"/>
        <rFont val="Times New Roman"/>
        <family val="1"/>
      </rPr>
      <t xml:space="preserve"> </t>
    </r>
    <r>
      <rPr>
        <vertAlign val="superscript"/>
        <sz val="9"/>
        <rFont val="Times New Roman"/>
        <family val="1"/>
      </rPr>
      <t xml:space="preserve"> </t>
    </r>
    <r>
      <rPr>
        <sz val="9"/>
        <rFont val="Times New Roman"/>
        <family val="1"/>
      </rPr>
      <t xml:space="preserve"> Taxis </t>
    </r>
  </si>
  <si>
    <r>
      <t>N</t>
    </r>
    <r>
      <rPr>
        <sz val="10"/>
        <rFont val="Times New Roman"/>
        <family val="1"/>
      </rPr>
      <t>.A.</t>
    </r>
  </si>
  <si>
    <r>
      <rPr>
        <sz val="9"/>
        <rFont val="細明體"/>
        <family val="3"/>
        <charset val="136"/>
      </rPr>
      <t>的士</t>
    </r>
    <r>
      <rPr>
        <sz val="9"/>
        <rFont val="Times New Roman"/>
        <family val="1"/>
      </rPr>
      <t xml:space="preserve"> </t>
    </r>
    <r>
      <rPr>
        <vertAlign val="superscript"/>
        <sz val="9"/>
        <rFont val="Times New Roman"/>
        <family val="1"/>
      </rPr>
      <t>(12)</t>
    </r>
    <r>
      <rPr>
        <sz val="10"/>
        <rFont val="Times New Roman"/>
        <family val="1"/>
      </rPr>
      <t xml:space="preserve"> </t>
    </r>
    <r>
      <rPr>
        <sz val="9"/>
        <rFont val="Times New Roman"/>
        <family val="1"/>
      </rPr>
      <t>Taxis</t>
    </r>
    <r>
      <rPr>
        <sz val="11"/>
        <color theme="1"/>
        <rFont val="Calibri"/>
        <family val="2"/>
        <scheme val="minor"/>
      </rPr>
      <t xml:space="preserve"> </t>
    </r>
    <r>
      <rPr>
        <vertAlign val="superscript"/>
        <sz val="9"/>
        <rFont val="Times New Roman"/>
        <family val="1"/>
      </rPr>
      <t xml:space="preserve">(12) </t>
    </r>
  </si>
  <si>
    <r>
      <t xml:space="preserve">   </t>
    </r>
    <r>
      <rPr>
        <sz val="9"/>
        <rFont val="細明體"/>
        <family val="3"/>
        <charset val="136"/>
      </rPr>
      <t>巴士</t>
    </r>
    <r>
      <rPr>
        <sz val="9"/>
        <rFont val="Times New Roman"/>
        <family val="1"/>
      </rPr>
      <t xml:space="preserve"> </t>
    </r>
    <r>
      <rPr>
        <sz val="9"/>
        <rFont val="Times New Roman"/>
        <family val="1"/>
      </rPr>
      <t xml:space="preserve">  Buses </t>
    </r>
  </si>
  <si>
    <r>
      <t>居民巴士</t>
    </r>
    <r>
      <rPr>
        <sz val="10"/>
        <rFont val="Times New Roman"/>
        <family val="1"/>
      </rPr>
      <t xml:space="preserve"> </t>
    </r>
    <r>
      <rPr>
        <vertAlign val="superscript"/>
        <sz val="10"/>
        <rFont val="Times New Roman"/>
        <family val="1"/>
      </rPr>
      <t>(11)</t>
    </r>
    <r>
      <rPr>
        <sz val="10"/>
        <rFont val="Times New Roman"/>
        <family val="1"/>
      </rPr>
      <t xml:space="preserve">    Residents' Services </t>
    </r>
    <r>
      <rPr>
        <vertAlign val="superscript"/>
        <sz val="10"/>
        <rFont val="Times New Roman"/>
        <family val="1"/>
      </rPr>
      <t>(11)</t>
    </r>
  </si>
  <si>
    <t xml:space="preserve">- </t>
  </si>
  <si>
    <r>
      <t xml:space="preserve">   - </t>
    </r>
    <r>
      <rPr>
        <sz val="9"/>
        <rFont val="細明體"/>
        <family val="3"/>
        <charset val="136"/>
      </rPr>
      <t>單層</t>
    </r>
    <r>
      <rPr>
        <sz val="9"/>
        <rFont val="Times New Roman"/>
        <family val="1"/>
      </rPr>
      <t xml:space="preserve">  Single Deck  </t>
    </r>
  </si>
  <si>
    <r>
      <t xml:space="preserve">   - </t>
    </r>
    <r>
      <rPr>
        <sz val="9"/>
        <rFont val="細明體"/>
        <family val="3"/>
        <charset val="136"/>
      </rPr>
      <t>雙層</t>
    </r>
    <r>
      <rPr>
        <sz val="9"/>
        <rFont val="Times New Roman"/>
        <family val="1"/>
      </rPr>
      <t xml:space="preserve">  Double Deck  </t>
    </r>
  </si>
  <si>
    <r>
      <t>M</t>
    </r>
    <r>
      <rPr>
        <sz val="10"/>
        <rFont val="Times New Roman"/>
        <family val="1"/>
      </rPr>
      <t>TR Buses (Northwest New Territories)</t>
    </r>
  </si>
  <si>
    <t>港鐵巴士(新界西北)</t>
    <phoneticPr fontId="8" type="noConversion"/>
  </si>
  <si>
    <t>(%)</t>
  </si>
  <si>
    <t>(%)</t>
    <phoneticPr fontId="8" type="noConversion"/>
  </si>
  <si>
    <t>('000)</t>
    <phoneticPr fontId="8" type="noConversion"/>
  </si>
  <si>
    <t>2019/06</t>
  </si>
  <si>
    <t>2018/07</t>
  </si>
  <si>
    <t>As at End of Month</t>
    <phoneticPr fontId="8" type="noConversion"/>
  </si>
  <si>
    <t>Compared with</t>
    <phoneticPr fontId="8" type="noConversion"/>
  </si>
  <si>
    <t>月底</t>
    <phoneticPr fontId="8" type="noConversion"/>
  </si>
  <si>
    <t>During
Month</t>
    <phoneticPr fontId="8" type="noConversion"/>
  </si>
  <si>
    <t>比較</t>
    <phoneticPr fontId="8" type="noConversion"/>
  </si>
  <si>
    <r>
      <t xml:space="preserve">月底
</t>
    </r>
    <r>
      <rPr>
        <sz val="9"/>
        <rFont val="Times New Roman"/>
        <family val="1"/>
      </rPr>
      <t>As at End of Month</t>
    </r>
  </si>
  <si>
    <t xml:space="preserve">
</t>
    <phoneticPr fontId="8" type="noConversion"/>
  </si>
  <si>
    <t>月內</t>
    <phoneticPr fontId="8" type="noConversion"/>
  </si>
  <si>
    <r>
      <t xml:space="preserve">營辦商
</t>
    </r>
    <r>
      <rPr>
        <sz val="10"/>
        <rFont val="Times New Roman"/>
        <family val="1"/>
      </rPr>
      <t>Operator</t>
    </r>
  </si>
  <si>
    <r>
      <t xml:space="preserve">分類
</t>
    </r>
    <r>
      <rPr>
        <sz val="10"/>
        <rFont val="Times New Roman"/>
        <family val="1"/>
      </rPr>
      <t>Mode</t>
    </r>
  </si>
  <si>
    <r>
      <t xml:space="preserve">載客量
</t>
    </r>
    <r>
      <rPr>
        <sz val="10"/>
        <rFont val="Times New Roman"/>
        <family val="1"/>
      </rPr>
      <t>Passenger Carrying Capacity</t>
    </r>
  </si>
  <si>
    <r>
      <t>領牌車</t>
    </r>
    <r>
      <rPr>
        <sz val="10"/>
        <rFont val="Times New Roman"/>
        <family val="1"/>
      </rPr>
      <t>/</t>
    </r>
    <r>
      <rPr>
        <sz val="10"/>
        <rFont val="細明體"/>
        <family val="3"/>
        <charset val="136"/>
      </rPr>
      <t>船隊規模</t>
    </r>
    <r>
      <rPr>
        <sz val="10"/>
        <rFont val="Times New Roman"/>
        <family val="1"/>
      </rPr>
      <t xml:space="preserve"> </t>
    </r>
    <r>
      <rPr>
        <vertAlign val="superscript"/>
        <sz val="10"/>
        <rFont val="Times New Roman"/>
        <family val="1"/>
      </rPr>
      <t>(3)(4)(6)(7)(8)</t>
    </r>
    <r>
      <rPr>
        <sz val="10"/>
        <rFont val="細明體"/>
        <family val="3"/>
        <charset val="136"/>
      </rPr>
      <t xml:space="preserve">
</t>
    </r>
    <r>
      <rPr>
        <sz val="10"/>
        <rFont val="Times New Roman"/>
        <family val="1"/>
      </rPr>
      <t>Licensed Fleet</t>
    </r>
    <r>
      <rPr>
        <vertAlign val="superscript"/>
        <sz val="10"/>
        <rFont val="Times New Roman"/>
        <family val="1"/>
      </rPr>
      <t xml:space="preserve"> (3)(4)(6)(7)(8)</t>
    </r>
  </si>
  <si>
    <r>
      <t>車輛行駛公里數</t>
    </r>
    <r>
      <rPr>
        <sz val="10"/>
        <rFont val="Times New Roman"/>
        <family val="1"/>
      </rPr>
      <t xml:space="preserve"> </t>
    </r>
    <r>
      <rPr>
        <vertAlign val="superscript"/>
        <sz val="10"/>
        <rFont val="Times New Roman"/>
        <family val="1"/>
      </rPr>
      <t>(2)</t>
    </r>
    <r>
      <rPr>
        <sz val="10"/>
        <rFont val="細明體"/>
        <family val="3"/>
        <charset val="136"/>
      </rPr>
      <t xml:space="preserve">
</t>
    </r>
    <r>
      <rPr>
        <sz val="10"/>
        <rFont val="Times New Roman"/>
        <family val="1"/>
      </rPr>
      <t>Car KM Operated</t>
    </r>
    <r>
      <rPr>
        <vertAlign val="superscript"/>
        <sz val="10"/>
        <rFont val="Times New Roman"/>
        <family val="1"/>
      </rPr>
      <t xml:space="preserve"> (2)</t>
    </r>
  </si>
  <si>
    <r>
      <t>乘客人次</t>
    </r>
    <r>
      <rPr>
        <sz val="10"/>
        <rFont val="Times New Roman"/>
        <family val="1"/>
      </rPr>
      <t xml:space="preserve"> </t>
    </r>
    <r>
      <rPr>
        <vertAlign val="superscript"/>
        <sz val="10"/>
        <rFont val="Times New Roman"/>
        <family val="1"/>
      </rPr>
      <t>(1)</t>
    </r>
    <r>
      <rPr>
        <sz val="10"/>
        <rFont val="細明體"/>
        <family val="3"/>
        <charset val="136"/>
      </rPr>
      <t xml:space="preserve">
</t>
    </r>
    <r>
      <rPr>
        <sz val="10"/>
        <rFont val="Times New Roman"/>
        <family val="1"/>
      </rPr>
      <t>Passenger Journeys</t>
    </r>
    <r>
      <rPr>
        <vertAlign val="superscript"/>
        <sz val="10"/>
        <rFont val="Times New Roman"/>
        <family val="1"/>
      </rPr>
      <t xml:space="preserve"> (1)</t>
    </r>
  </si>
  <si>
    <r>
      <t xml:space="preserve">公共交通
</t>
    </r>
    <r>
      <rPr>
        <sz val="10"/>
        <rFont val="Times New Roman"/>
        <family val="1"/>
      </rPr>
      <t>Public Transport</t>
    </r>
  </si>
  <si>
    <t xml:space="preserve">   (cont'd)</t>
    <phoneticPr fontId="8" type="noConversion"/>
  </si>
  <si>
    <t>Table 2.2</t>
    <phoneticPr fontId="8" type="noConversion"/>
  </si>
  <si>
    <r>
      <t xml:space="preserve">   (</t>
    </r>
    <r>
      <rPr>
        <b/>
        <sz val="12"/>
        <rFont val="標楷體"/>
        <family val="4"/>
        <charset val="136"/>
      </rPr>
      <t>續</t>
    </r>
    <r>
      <rPr>
        <b/>
        <sz val="12"/>
        <rFont val="Times New Roman"/>
        <family val="1"/>
      </rPr>
      <t>)</t>
    </r>
  </si>
  <si>
    <r>
      <t>表</t>
    </r>
    <r>
      <rPr>
        <b/>
        <sz val="12"/>
        <rFont val="Times New Roman"/>
        <family val="1"/>
      </rPr>
      <t xml:space="preserve"> 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</si>
</sst>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4" formatCode="_(&quot;$&quot;* #,##0.00_);_(&quot;$&quot;* \(#,##0.00\);_(&quot;$&quot;* &quot;-&quot;??_);_(@_)"/>
    <numFmt numFmtId="43" formatCode="_(* #,##0.00_);_(* \(#,##0.00\);_(* &quot;-&quot;??_);_(@_)"/>
    <numFmt numFmtId="164" formatCode="###0.00_)"/>
    <numFmt numFmtId="165" formatCode="#,##0_)"/>
    <numFmt numFmtId="166" formatCode="_-* #,##0_-;\-* #,##0_-;_-* &quot;-&quot;??_-;_-@_-"/>
    <numFmt numFmtId="167" formatCode="_-* #,##0.00_-;\-* #,##0.00_-;_-* &quot;-&quot;??_-;_-@_-"/>
    <numFmt numFmtId="168" formatCode="0.0%"/>
    <numFmt numFmtId="169" formatCode="[$-13C09]d\ mmm\ yyyy;@"/>
    <numFmt numFmtId="170" formatCode="_(* #,##0_);_(* \(#,##0\);_(* &quot;-&quot;??_);_(@_)"/>
    <numFmt numFmtId="171" formatCode="_(* #,##0.0_);_(* \(#,##0.0\);_(* &quot;-&quot;??_);_(@_)"/>
    <numFmt numFmtId="172" formatCode="_-* #,##0.000000000000_-;\-* #,##0.000000000000_-;_-* &quot;-&quot;??_-;_-@_-"/>
    <numFmt numFmtId="173" formatCode="0.0"/>
    <numFmt numFmtId="174" formatCode="_(* #,##0.00000_);_(* \(#,##0.00000\);_(* &quot;-&quot;??_);_(@_)"/>
    <numFmt numFmtId="175" formatCode="0.0000%"/>
    <numFmt numFmtId="176" formatCode="_-* #,##0.0_-;\-* #,##0.0_-;_-* &quot;-&quot;??_-;_-@_-"/>
    <numFmt numFmtId="177" formatCode="General_)"/>
    <numFmt numFmtId="178" formatCode="\+0.0_ ;\-0.0_ "/>
    <numFmt numFmtId="179" formatCode="?\ ???\ ???;;???\ ??\-"/>
    <numFmt numFmtId="180" formatCode="\+0\ \ ;\-0\ \ ;\+0\ \ ;\ \ \ \ \ \ \ "/>
    <numFmt numFmtId="181" formatCode="\+0\ \ ;\-0\ \ ;\+0\ \ ;\ \ \ \ \ \ "/>
    <numFmt numFmtId="182" formatCode="???\ ???;;???\ ??\-"/>
    <numFmt numFmtId="183" formatCode="???\ ???\ "/>
    <numFmt numFmtId="184" formatCode="\+0_ ;\-0_ "/>
    <numFmt numFmtId="185" formatCode="_-* #,##0_-;\-* #,##0_-;_-* &quot;-&quot;_-;_-@_-"/>
    <numFmt numFmtId="186" formatCode="&quot;2019/&quot;0#"/>
  </numFmts>
  <fonts count="71">
    <font>
      <sz val="11"/>
      <color theme="1"/>
      <name val="Calibri"/>
      <family val="2"/>
      <scheme val="minor"/>
    </font>
    <font>
      <b/>
      <sz val="11"/>
      <color theme="1"/>
      <name val="Calibri"/>
      <family val="2"/>
      <scheme val="minor"/>
    </font>
    <font>
      <u/>
      <sz val="11"/>
      <color theme="10"/>
      <name val="Calibri"/>
      <family val="2"/>
      <scheme val="minor"/>
    </font>
    <font>
      <b/>
      <sz val="10"/>
      <color theme="1"/>
      <name val="Times New Roman"/>
      <family val="1"/>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11"/>
      <color rgb="FF000000"/>
      <name val="Calibri"/>
      <family val="2"/>
      <scheme val="minor"/>
    </font>
    <font>
      <b/>
      <sz val="11"/>
      <color theme="0"/>
      <name val="Calibri"/>
      <family val="2"/>
      <scheme val="minor"/>
    </font>
    <font>
      <sz val="11"/>
      <color theme="0"/>
      <name val="Calibri"/>
      <family val="2"/>
      <scheme val="minor"/>
    </font>
    <font>
      <b/>
      <sz val="11"/>
      <color rgb="FFFFFFFF"/>
      <name val="Calibri"/>
      <family val="2"/>
      <scheme val="minor"/>
    </font>
    <font>
      <sz val="11"/>
      <color rgb="FFFF0000"/>
      <name val="Calibri"/>
      <family val="2"/>
      <scheme val="minor"/>
    </font>
    <font>
      <b/>
      <sz val="24"/>
      <color theme="1"/>
      <name val="Calibri"/>
      <family val="2"/>
      <scheme val="minor"/>
    </font>
    <font>
      <b/>
      <sz val="14"/>
      <color theme="1"/>
      <name val="Calibri"/>
      <family val="2"/>
      <scheme val="minor"/>
    </font>
    <font>
      <b/>
      <sz val="18"/>
      <color theme="1"/>
      <name val="Calibri"/>
      <family val="2"/>
      <scheme val="minor"/>
    </font>
    <font>
      <sz val="14"/>
      <color theme="1"/>
      <name val="Calibri"/>
      <family val="2"/>
      <scheme val="minor"/>
    </font>
    <font>
      <b/>
      <sz val="20"/>
      <color theme="1"/>
      <name val="Calibri"/>
      <family val="2"/>
      <scheme val="minor"/>
    </font>
    <font>
      <b/>
      <sz val="16"/>
      <color theme="1"/>
      <name val="Calibri"/>
      <family val="2"/>
      <scheme val="minor"/>
    </font>
    <font>
      <sz val="10"/>
      <color theme="1"/>
      <name val="Calibri"/>
      <family val="2"/>
      <scheme val="minor"/>
    </font>
    <font>
      <sz val="18"/>
      <color theme="1"/>
      <name val="Calibri"/>
      <family val="2"/>
      <scheme val="minor"/>
    </font>
    <font>
      <sz val="11"/>
      <name val="Calibri"/>
      <family val="2"/>
      <scheme val="minor"/>
    </font>
    <font>
      <b/>
      <sz val="12"/>
      <color theme="1"/>
      <name val="Calibri"/>
      <family val="2"/>
      <scheme val="minor"/>
    </font>
    <font>
      <sz val="11"/>
      <color theme="8"/>
      <name val="Calibri"/>
      <family val="2"/>
      <scheme val="minor"/>
    </font>
    <font>
      <b/>
      <sz val="9"/>
      <color indexed="81"/>
      <name val="Tahoma"/>
      <family val="2"/>
    </font>
    <font>
      <sz val="9"/>
      <color indexed="81"/>
      <name val="Tahoma"/>
      <family val="2"/>
    </font>
    <font>
      <sz val="10"/>
      <name val="Times New Roman"/>
      <family val="1"/>
    </font>
    <font>
      <sz val="10"/>
      <name val="細明體"/>
      <family val="3"/>
      <charset val="136"/>
    </font>
    <font>
      <sz val="9"/>
      <name val="Times New Roman"/>
      <family val="1"/>
    </font>
    <font>
      <vertAlign val="superscript"/>
      <sz val="10"/>
      <name val="Times New Roman"/>
      <family val="1"/>
    </font>
    <font>
      <sz val="9"/>
      <name val="細明體"/>
      <family val="3"/>
      <charset val="136"/>
    </font>
    <font>
      <vertAlign val="superscript"/>
      <sz val="9"/>
      <name val="Times New Roman"/>
      <family val="1"/>
    </font>
    <font>
      <sz val="12"/>
      <name val="Times New Roman"/>
      <family val="1"/>
    </font>
    <font>
      <b/>
      <sz val="12"/>
      <name val="Times New Roman"/>
      <family val="1"/>
    </font>
    <font>
      <b/>
      <sz val="12"/>
      <name val="標楷體"/>
      <family val="4"/>
      <charset val="136"/>
    </font>
  </fonts>
  <fills count="38">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D9E1F2"/>
        <bgColor indexed="64"/>
      </patternFill>
    </fill>
    <fill>
      <patternFill patternType="solid">
        <fgColor rgb="FFB4C6E7"/>
        <bgColor indexed="64"/>
      </patternFill>
    </fill>
    <fill>
      <patternFill patternType="solid">
        <fgColor theme="3" tint="0.59999389629810485"/>
        <bgColor indexed="64"/>
      </patternFill>
    </fill>
    <fill>
      <patternFill patternType="solid">
        <fgColor rgb="FF8EA9DB"/>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127">
    <border>
      <left/>
      <right/>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bottom style="medium">
        <color rgb="FF000000"/>
      </bottom>
      <diagonal/>
    </border>
    <border>
      <left style="medium">
        <color rgb="FF000000"/>
      </left>
      <right style="medium">
        <color rgb="FF000000"/>
      </right>
      <top/>
      <bottom/>
      <diagonal/>
    </border>
    <border>
      <left/>
      <right style="thin">
        <color rgb="FF000000"/>
      </right>
      <top/>
      <bottom style="medium">
        <color rgb="FF000000"/>
      </bottom>
      <diagonal/>
    </border>
    <border>
      <left/>
      <right style="thin">
        <color rgb="FF000000"/>
      </right>
      <top/>
      <bottom/>
      <diagonal/>
    </border>
    <border>
      <left/>
      <right style="medium">
        <color indexed="64"/>
      </right>
      <top/>
      <bottom/>
      <diagonal/>
    </border>
    <border>
      <left/>
      <right style="medium">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Dashed">
        <color indexed="64"/>
      </left>
      <right/>
      <top style="mediumDashed">
        <color indexed="64"/>
      </top>
      <bottom/>
      <diagonal/>
    </border>
    <border>
      <left/>
      <right style="mediumDashed">
        <color indexed="64"/>
      </right>
      <top style="mediumDashed">
        <color indexed="64"/>
      </top>
      <bottom/>
      <diagonal/>
    </border>
    <border>
      <left style="thin">
        <color auto="1"/>
      </left>
      <right/>
      <top/>
      <bottom style="thin">
        <color auto="1"/>
      </bottom>
      <diagonal/>
    </border>
    <border>
      <left style="medium">
        <color indexed="64"/>
      </left>
      <right/>
      <top/>
      <bottom style="medium">
        <color indexed="64"/>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auto="1"/>
      </left>
      <right style="medium">
        <color indexed="64"/>
      </right>
      <top style="thin">
        <color auto="1"/>
      </top>
      <bottom/>
      <diagonal/>
    </border>
    <border>
      <left style="medium">
        <color indexed="64"/>
      </left>
      <right style="thin">
        <color indexed="64"/>
      </right>
      <top/>
      <bottom style="thin">
        <color indexed="64"/>
      </bottom>
      <diagonal/>
    </border>
    <border>
      <left style="thin">
        <color auto="1"/>
      </left>
      <right style="medium">
        <color indexed="64"/>
      </right>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auto="1"/>
      </left>
      <right/>
      <top/>
      <bottom style="medium">
        <color indexed="64"/>
      </bottom>
      <diagonal/>
    </border>
    <border>
      <left style="medium">
        <color indexed="64"/>
      </left>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thin">
        <color auto="1"/>
      </top>
      <bottom/>
      <diagonal/>
    </border>
    <border>
      <left style="medium">
        <color indexed="64"/>
      </left>
      <right/>
      <top style="thin">
        <color indexed="64"/>
      </top>
      <bottom/>
      <diagonal/>
    </border>
    <border>
      <left/>
      <right style="thin">
        <color auto="1"/>
      </right>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medium">
        <color indexed="64"/>
      </top>
      <bottom/>
      <diagonal/>
    </border>
    <border>
      <left/>
      <right style="thin">
        <color auto="1"/>
      </right>
      <top style="medium">
        <color indexed="64"/>
      </top>
      <bottom/>
      <diagonal/>
    </border>
    <border>
      <left/>
      <right style="thin">
        <color indexed="64"/>
      </right>
      <top style="medium">
        <color indexed="64"/>
      </top>
      <bottom style="thin">
        <color indexed="64"/>
      </bottom>
      <diagonal/>
    </border>
    <border>
      <left/>
      <right style="medium">
        <color indexed="64"/>
      </right>
      <top style="thin">
        <color auto="1"/>
      </top>
      <bottom/>
      <diagonal/>
    </border>
    <border>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style="hair">
        <color indexed="64"/>
      </right>
      <top/>
      <bottom/>
      <diagonal/>
    </border>
    <border>
      <left style="hair">
        <color indexed="64"/>
      </left>
      <right/>
      <top style="hair">
        <color indexed="64"/>
      </top>
      <bottom/>
      <diagonal/>
    </border>
    <border>
      <left/>
      <right style="hair">
        <color indexed="64"/>
      </right>
      <top style="hair">
        <color indexed="64"/>
      </top>
      <bottom/>
      <diagonal/>
    </border>
    <border>
      <left/>
      <right style="hair">
        <color indexed="64"/>
      </right>
      <top style="hair">
        <color indexed="64"/>
      </top>
      <bottom style="double">
        <color indexed="64"/>
      </bottom>
      <diagonal/>
    </border>
    <border>
      <left/>
      <right/>
      <top style="hair">
        <color indexed="64"/>
      </top>
      <bottom style="double">
        <color indexed="64"/>
      </bottom>
      <diagonal/>
    </border>
    <border>
      <left style="hair">
        <color indexed="64"/>
      </left>
      <right/>
      <top/>
      <bottom/>
      <diagonal/>
    </border>
    <border>
      <left/>
      <right style="hair">
        <color indexed="64"/>
      </right>
      <top/>
      <bottom style="double">
        <color indexed="64"/>
      </bottom>
      <diagonal/>
    </border>
    <border>
      <left style="double">
        <color indexed="64"/>
      </left>
      <right/>
      <top/>
      <bottom/>
      <diagonal/>
    </border>
    <border>
      <left/>
      <right style="double">
        <color indexed="64"/>
      </right>
      <top/>
      <bottom style="double">
        <color indexed="64"/>
      </bottom>
      <diagonal/>
    </border>
    <border>
      <left style="hair">
        <color indexed="64"/>
      </left>
      <right/>
      <top style="hair">
        <color indexed="64"/>
      </top>
      <bottom style="hair">
        <color indexed="64"/>
      </bottom>
      <diagonal/>
    </border>
    <border>
      <left style="hair">
        <color indexed="64"/>
      </left>
      <right/>
      <top style="hair">
        <color indexed="64"/>
      </top>
      <bottom style="double">
        <color indexed="64"/>
      </bottom>
      <diagonal/>
    </border>
    <border>
      <left/>
      <right/>
      <top style="hair">
        <color indexed="64"/>
      </top>
      <bottom/>
      <diagonal/>
    </border>
    <border>
      <left style="hair">
        <color indexed="64"/>
      </left>
      <right style="hair">
        <color indexed="64"/>
      </right>
      <top style="hair">
        <color indexed="64"/>
      </top>
      <bottom style="double">
        <color indexed="64"/>
      </bottom>
      <diagonal/>
    </border>
    <border>
      <left/>
      <right style="hair">
        <color indexed="64"/>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style="hair">
        <color indexed="64"/>
      </bottom>
      <diagonal/>
    </border>
    <border>
      <left style="double">
        <color indexed="64"/>
      </left>
      <right/>
      <top/>
      <bottom style="hair">
        <color indexed="64"/>
      </bottom>
      <diagonal/>
    </border>
    <border>
      <left/>
      <right style="double">
        <color indexed="64"/>
      </right>
      <top/>
      <bottom style="hair">
        <color indexed="64"/>
      </bottom>
      <diagonal/>
    </border>
    <border>
      <left/>
      <right style="double">
        <color indexed="64"/>
      </right>
      <top/>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right style="double">
        <color indexed="64"/>
      </right>
      <top style="hair">
        <color indexed="64"/>
      </top>
      <bottom/>
      <diagonal/>
    </border>
    <border>
      <left style="hair">
        <color indexed="64"/>
      </left>
      <right style="hair">
        <color indexed="64"/>
      </right>
      <top/>
      <bottom/>
      <diagonal/>
    </border>
    <border>
      <left style="double">
        <color indexed="64"/>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158">
    <xf numFmtId="0" fontId="0" fillId="0" borderId="0"/>
    <xf numFmtId="0" fontId="2" fillId="0" borderId="0" applyNumberFormat="0" applyFill="0" applyBorder="0" applyAlignment="0" applyProtection="0"/>
    <xf numFmtId="0" fontId="4" fillId="0" borderId="0"/>
    <xf numFmtId="0" fontId="5" fillId="0" borderId="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0" borderId="3" applyNumberFormat="0" applyFont="0" applyProtection="0">
      <alignment wrapText="1"/>
    </xf>
    <xf numFmtId="0" fontId="10" fillId="0" borderId="3" applyNumberFormat="0" applyFont="0" applyProtection="0">
      <alignment wrapText="1"/>
    </xf>
    <xf numFmtId="0" fontId="11" fillId="22" borderId="4" applyNumberFormat="0" applyAlignment="0" applyProtection="0"/>
    <xf numFmtId="0" fontId="12" fillId="23" borderId="5" applyNumberFormat="0" applyAlignment="0" applyProtection="0"/>
    <xf numFmtId="0" fontId="13" fillId="0" borderId="0">
      <alignment horizontal="center" vertical="center" wrapText="1"/>
    </xf>
    <xf numFmtId="43" fontId="4"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4" fillId="0" borderId="0">
      <alignment horizontal="left" vertical="center" wrapText="1"/>
    </xf>
    <xf numFmtId="44" fontId="6" fillId="0" borderId="0" applyFont="0" applyFill="0" applyBorder="0" applyAlignment="0" applyProtection="0"/>
    <xf numFmtId="44" fontId="6" fillId="0" borderId="0" applyFont="0" applyFill="0" applyBorder="0" applyAlignment="0" applyProtection="0"/>
    <xf numFmtId="44" fontId="4" fillId="0" borderId="0" applyFont="0" applyFill="0" applyBorder="0" applyAlignment="0" applyProtection="0"/>
    <xf numFmtId="164" fontId="15" fillId="0" borderId="6" applyNumberFormat="0" applyFill="0">
      <alignment horizontal="right"/>
    </xf>
    <xf numFmtId="164" fontId="16" fillId="0" borderId="6" applyNumberFormat="0" applyFill="0">
      <alignment horizontal="right"/>
    </xf>
    <xf numFmtId="165" fontId="17" fillId="0" borderId="6">
      <alignment horizontal="right" vertical="center"/>
    </xf>
    <xf numFmtId="49" fontId="18" fillId="0" borderId="6">
      <alignment horizontal="left" vertical="center"/>
    </xf>
    <xf numFmtId="164" fontId="15" fillId="0" borderId="6" applyNumberFormat="0" applyFill="0">
      <alignment horizontal="right"/>
    </xf>
    <xf numFmtId="0" fontId="1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7" applyNumberFormat="0" applyProtection="0">
      <alignment wrapText="1"/>
    </xf>
    <xf numFmtId="0" fontId="10" fillId="0" borderId="7" applyNumberFormat="0" applyProtection="0">
      <alignment wrapText="1"/>
    </xf>
    <xf numFmtId="0" fontId="20" fillId="6" borderId="0" applyNumberFormat="0" applyBorder="0" applyAlignment="0" applyProtection="0"/>
    <xf numFmtId="0" fontId="21" fillId="0" borderId="8" applyNumberFormat="0" applyProtection="0">
      <alignment wrapText="1"/>
    </xf>
    <xf numFmtId="0" fontId="21" fillId="0" borderId="8"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6">
      <alignment horizontal="left"/>
    </xf>
    <xf numFmtId="0" fontId="26" fillId="0" borderId="6">
      <alignment horizontal="left"/>
    </xf>
    <xf numFmtId="0" fontId="27" fillId="0" borderId="12">
      <alignment horizontal="right" vertical="center"/>
    </xf>
    <xf numFmtId="0" fontId="28" fillId="0" borderId="6">
      <alignment horizontal="left" vertical="center"/>
    </xf>
    <xf numFmtId="0" fontId="15" fillId="0" borderId="6">
      <alignment horizontal="left" vertical="center"/>
    </xf>
    <xf numFmtId="0" fontId="25" fillId="0" borderId="6">
      <alignment horizontal="left"/>
    </xf>
    <xf numFmtId="0" fontId="25" fillId="24" borderId="0">
      <alignment horizontal="centerContinuous" wrapText="1"/>
    </xf>
    <xf numFmtId="49" fontId="25" fillId="24" borderId="1">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4" applyNumberFormat="0" applyAlignment="0" applyProtection="0"/>
    <xf numFmtId="0" fontId="31" fillId="0" borderId="13" applyNumberFormat="0" applyFill="0" applyAlignment="0" applyProtection="0"/>
    <xf numFmtId="0" fontId="32" fillId="25" borderId="0" applyNumberFormat="0" applyBorder="0" applyAlignment="0" applyProtection="0"/>
    <xf numFmtId="0" fontId="6" fillId="0" borderId="0"/>
    <xf numFmtId="0" fontId="6" fillId="0" borderId="0"/>
    <xf numFmtId="0" fontId="4" fillId="0" borderId="0"/>
    <xf numFmtId="0" fontId="33"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3" borderId="2" applyNumberFormat="0" applyFont="0" applyAlignment="0" applyProtection="0"/>
    <xf numFmtId="0" fontId="4" fillId="26" borderId="14" applyNumberFormat="0" applyFont="0" applyAlignment="0" applyProtection="0"/>
    <xf numFmtId="0" fontId="34" fillId="22" borderId="15" applyNumberFormat="0" applyAlignment="0" applyProtection="0"/>
    <xf numFmtId="0" fontId="21" fillId="0" borderId="16" applyNumberFormat="0" applyProtection="0">
      <alignment wrapText="1"/>
    </xf>
    <xf numFmtId="0" fontId="21" fillId="0" borderId="16" applyNumberFormat="0" applyProtection="0">
      <alignment wrapText="1"/>
    </xf>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3" fontId="17"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8" fillId="0" borderId="0">
      <alignment horizontal="right"/>
    </xf>
    <xf numFmtId="0" fontId="36" fillId="0" borderId="0">
      <alignment horizontal="right"/>
    </xf>
    <xf numFmtId="0" fontId="35" fillId="0" borderId="0">
      <alignment horizontal="left"/>
    </xf>
    <xf numFmtId="0" fontId="37" fillId="0" borderId="0">
      <alignment horizontal="left"/>
    </xf>
    <xf numFmtId="49" fontId="17" fillId="0" borderId="0">
      <alignment horizontal="left" vertical="center"/>
    </xf>
    <xf numFmtId="49" fontId="18" fillId="0" borderId="6">
      <alignment horizontal="left"/>
    </xf>
    <xf numFmtId="164" fontId="17" fillId="0" borderId="0" applyNumberFormat="0">
      <alignment horizontal="right"/>
    </xf>
    <xf numFmtId="0" fontId="27" fillId="27" borderId="0">
      <alignment horizontal="centerContinuous" vertical="center" wrapText="1"/>
    </xf>
    <xf numFmtId="0" fontId="27" fillId="0" borderId="17">
      <alignment horizontal="left" vertical="center"/>
    </xf>
    <xf numFmtId="0" fontId="38" fillId="0" borderId="0" applyNumberFormat="0" applyProtection="0">
      <alignment horizontal="left"/>
    </xf>
    <xf numFmtId="0" fontId="38" fillId="0" borderId="0" applyNumberFormat="0" applyProtection="0">
      <alignment horizontal="left"/>
    </xf>
    <xf numFmtId="0" fontId="39" fillId="0" borderId="0" applyNumberFormat="0" applyFill="0" applyBorder="0" applyAlignment="0" applyProtection="0"/>
    <xf numFmtId="0" fontId="25" fillId="0" borderId="0">
      <alignment horizontal="left"/>
    </xf>
    <xf numFmtId="0" fontId="14" fillId="0" borderId="0">
      <alignment horizontal="left"/>
    </xf>
    <xf numFmtId="0" fontId="15" fillId="0" borderId="0">
      <alignment horizontal="left"/>
    </xf>
    <xf numFmtId="0" fontId="40" fillId="0" borderId="0">
      <alignment horizontal="left" vertical="top"/>
    </xf>
    <xf numFmtId="0" fontId="14" fillId="0" borderId="0">
      <alignment horizontal="left"/>
    </xf>
    <xf numFmtId="0" fontId="15"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7" fillId="0" borderId="6">
      <alignment horizontal="left"/>
    </xf>
    <xf numFmtId="0" fontId="27" fillId="0" borderId="12">
      <alignment horizontal="left"/>
    </xf>
    <xf numFmtId="0" fontId="25" fillId="0" borderId="0">
      <alignment horizontal="left" vertical="center"/>
    </xf>
    <xf numFmtId="49" fontId="35" fillId="0" borderId="6">
      <alignment horizontal="left"/>
    </xf>
    <xf numFmtId="43" fontId="6" fillId="0" borderId="0" applyFont="0" applyFill="0" applyBorder="0" applyAlignment="0" applyProtection="0"/>
    <xf numFmtId="9" fontId="6" fillId="0" borderId="0" applyFont="0" applyFill="0" applyBorder="0" applyAlignment="0" applyProtection="0"/>
    <xf numFmtId="177" fontId="62" fillId="0" borderId="0"/>
    <xf numFmtId="0" fontId="62" fillId="0" borderId="0"/>
  </cellStyleXfs>
  <cellXfs count="735">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3" fontId="0" fillId="0" borderId="0" xfId="0" applyNumberFormat="1" applyFill="1" applyAlignment="1">
      <alignment horizontal="left"/>
    </xf>
    <xf numFmtId="0" fontId="1" fillId="0" borderId="0" xfId="0" applyFont="1" applyFill="1"/>
    <xf numFmtId="0" fontId="0" fillId="0" borderId="0" xfId="0" applyAlignment="1">
      <alignment horizontal="left" indent="2"/>
    </xf>
    <xf numFmtId="3" fontId="0" fillId="0" borderId="0" xfId="0" applyNumberFormat="1"/>
    <xf numFmtId="0" fontId="1" fillId="2" borderId="0" xfId="0" applyFont="1" applyFill="1" applyAlignment="1">
      <alignment horizontal="left"/>
    </xf>
    <xf numFmtId="0" fontId="1" fillId="0" borderId="0" xfId="0" applyFont="1" applyAlignment="1"/>
    <xf numFmtId="0" fontId="0" fillId="0" borderId="0" xfId="0" applyAlignment="1"/>
    <xf numFmtId="2" fontId="0" fillId="0" borderId="0" xfId="0" applyNumberFormat="1"/>
    <xf numFmtId="0" fontId="0" fillId="0" borderId="0" xfId="0" applyAlignment="1">
      <alignment horizontal="right"/>
    </xf>
    <xf numFmtId="0" fontId="1" fillId="28" borderId="19" xfId="0" applyFont="1" applyFill="1" applyBorder="1" applyAlignment="1">
      <alignment vertical="center"/>
    </xf>
    <xf numFmtId="0" fontId="44" fillId="0" borderId="0" xfId="1" applyFont="1"/>
    <xf numFmtId="0" fontId="1" fillId="0" borderId="0" xfId="0" applyFont="1" applyFill="1" applyAlignment="1">
      <alignment horizontal="left"/>
    </xf>
    <xf numFmtId="0" fontId="0" fillId="0" borderId="0" xfId="0" applyFill="1"/>
    <xf numFmtId="0" fontId="0" fillId="0" borderId="0" xfId="0" applyFill="1" applyAlignment="1">
      <alignment horizontal="left"/>
    </xf>
    <xf numFmtId="0" fontId="2" fillId="0" borderId="0" xfId="1" applyFill="1"/>
    <xf numFmtId="0" fontId="0" fillId="0" borderId="0" xfId="0" applyFill="1" applyAlignment="1">
      <alignment horizontal="left" indent="2"/>
    </xf>
    <xf numFmtId="0" fontId="43" fillId="0" borderId="0" xfId="0" applyFont="1" applyFill="1" applyAlignment="1">
      <alignment horizontal="left"/>
    </xf>
    <xf numFmtId="0" fontId="0" fillId="0" borderId="0" xfId="0" applyFont="1" applyFill="1"/>
    <xf numFmtId="0" fontId="2" fillId="0" borderId="0" xfId="1" applyAlignment="1">
      <alignment horizontal="left"/>
    </xf>
    <xf numFmtId="0" fontId="1" fillId="28" borderId="19" xfId="0" applyFont="1" applyFill="1" applyBorder="1" applyAlignment="1">
      <alignment horizontal="right" vertical="center" wrapText="1"/>
    </xf>
    <xf numFmtId="0" fontId="1" fillId="28" borderId="19" xfId="0" applyFont="1" applyFill="1" applyBorder="1" applyAlignment="1">
      <alignment horizontal="right" vertical="center"/>
    </xf>
    <xf numFmtId="0" fontId="0" fillId="29" borderId="0" xfId="0" applyFill="1"/>
    <xf numFmtId="0" fontId="0" fillId="29" borderId="19" xfId="0" applyFill="1" applyBorder="1"/>
    <xf numFmtId="0" fontId="3" fillId="29" borderId="19" xfId="0" applyFont="1" applyFill="1" applyBorder="1" applyAlignment="1">
      <alignment horizontal="center" vertical="center" wrapText="1"/>
    </xf>
    <xf numFmtId="0" fontId="0" fillId="0" borderId="0" xfId="0" applyAlignment="1">
      <alignment horizontal="center"/>
    </xf>
    <xf numFmtId="0" fontId="3" fillId="0" borderId="20" xfId="0" applyFont="1" applyBorder="1" applyAlignment="1">
      <alignment horizontal="left" wrapText="1"/>
    </xf>
    <xf numFmtId="3" fontId="0" fillId="0" borderId="0" xfId="0" applyNumberFormat="1" applyAlignment="1">
      <alignment horizontal="right"/>
    </xf>
    <xf numFmtId="0" fontId="0" fillId="0" borderId="0" xfId="0" applyFill="1" applyAlignment="1"/>
    <xf numFmtId="2" fontId="0" fillId="0" borderId="0" xfId="0" applyNumberFormat="1" applyFill="1"/>
    <xf numFmtId="0" fontId="1" fillId="28" borderId="21" xfId="0" applyFont="1" applyFill="1" applyBorder="1" applyAlignment="1">
      <alignment vertical="center"/>
    </xf>
    <xf numFmtId="0" fontId="0" fillId="0" borderId="22" xfId="0" applyBorder="1"/>
    <xf numFmtId="0" fontId="0" fillId="0" borderId="0" xfId="0" applyAlignment="1">
      <alignment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45" fillId="30" borderId="30" xfId="0" applyFont="1" applyFill="1" applyBorder="1" applyAlignment="1">
      <alignment vertical="center" wrapText="1"/>
    </xf>
    <xf numFmtId="0" fontId="45" fillId="30" borderId="31" xfId="0" applyFont="1" applyFill="1" applyBorder="1" applyAlignment="1">
      <alignment horizontal="right" vertical="center" wrapText="1"/>
    </xf>
    <xf numFmtId="0" fontId="45" fillId="30" borderId="32" xfId="0" applyFont="1" applyFill="1" applyBorder="1" applyAlignment="1">
      <alignment horizontal="right" vertical="center" wrapText="1"/>
    </xf>
    <xf numFmtId="0" fontId="1" fillId="0" borderId="0" xfId="0" applyFont="1" applyAlignment="1">
      <alignment vertical="center" wrapText="1"/>
    </xf>
    <xf numFmtId="0" fontId="45" fillId="30" borderId="33" xfId="0" applyFont="1" applyFill="1" applyBorder="1" applyAlignment="1">
      <alignment vertical="center" wrapText="1"/>
    </xf>
    <xf numFmtId="0" fontId="0" fillId="0" borderId="0" xfId="0" applyAlignment="1">
      <alignment vertical="center"/>
    </xf>
    <xf numFmtId="0" fontId="46" fillId="30" borderId="33" xfId="0" applyFont="1" applyFill="1" applyBorder="1" applyAlignment="1">
      <alignment vertical="center" wrapText="1"/>
    </xf>
    <xf numFmtId="0" fontId="47" fillId="31" borderId="0" xfId="0" applyFont="1" applyFill="1"/>
    <xf numFmtId="0" fontId="0" fillId="0" borderId="0" xfId="0" applyAlignment="1">
      <alignment wrapText="1"/>
    </xf>
    <xf numFmtId="0" fontId="0" fillId="0" borderId="0" xfId="0" quotePrefix="1"/>
    <xf numFmtId="166" fontId="0" fillId="0" borderId="0" xfId="0" applyNumberFormat="1"/>
    <xf numFmtId="166" fontId="0" fillId="0" borderId="0" xfId="154" applyNumberFormat="1" applyFont="1"/>
    <xf numFmtId="9" fontId="0" fillId="0" borderId="0" xfId="155" applyFont="1" applyAlignment="1">
      <alignment wrapText="1"/>
    </xf>
    <xf numFmtId="167" fontId="0" fillId="0" borderId="0" xfId="0" applyNumberFormat="1"/>
    <xf numFmtId="9" fontId="0" fillId="0" borderId="0" xfId="155" applyFont="1"/>
    <xf numFmtId="0" fontId="43" fillId="0" borderId="35" xfId="0" applyFont="1" applyFill="1" applyBorder="1" applyAlignment="1">
      <alignment horizontal="centerContinuous"/>
    </xf>
    <xf numFmtId="0" fontId="0" fillId="0" borderId="0" xfId="0" applyFill="1" applyBorder="1" applyAlignment="1"/>
    <xf numFmtId="0" fontId="0" fillId="0" borderId="36" xfId="0" applyFill="1" applyBorder="1" applyAlignment="1"/>
    <xf numFmtId="0" fontId="43" fillId="0" borderId="35" xfId="0" applyFont="1" applyFill="1" applyBorder="1" applyAlignment="1">
      <alignment horizontal="center"/>
    </xf>
    <xf numFmtId="168" fontId="0" fillId="0" borderId="0" xfId="155" applyNumberFormat="1" applyFont="1"/>
    <xf numFmtId="0" fontId="0" fillId="0" borderId="0" xfId="0" applyFill="1" applyBorder="1" applyAlignment="1">
      <alignment wrapText="1"/>
    </xf>
    <xf numFmtId="0" fontId="0" fillId="0" borderId="0" xfId="0" applyFill="1" applyBorder="1" applyAlignment="1">
      <alignment horizontal="left"/>
    </xf>
    <xf numFmtId="0" fontId="0" fillId="32" borderId="25" xfId="0" applyFill="1" applyBorder="1" applyAlignment="1">
      <alignment vertical="center" wrapText="1"/>
    </xf>
    <xf numFmtId="0" fontId="0" fillId="32" borderId="28" xfId="0" applyFill="1" applyBorder="1" applyAlignment="1">
      <alignment vertical="center" wrapText="1"/>
    </xf>
    <xf numFmtId="0" fontId="0" fillId="32" borderId="28" xfId="0" applyFill="1" applyBorder="1" applyAlignment="1">
      <alignment horizontal="right" vertical="center" wrapText="1"/>
    </xf>
    <xf numFmtId="0" fontId="0" fillId="32" borderId="28" xfId="0" applyFill="1" applyBorder="1" applyAlignment="1">
      <alignment wrapText="1"/>
    </xf>
    <xf numFmtId="0" fontId="45" fillId="30" borderId="34" xfId="0" applyFont="1" applyFill="1" applyBorder="1" applyAlignment="1">
      <alignment horizontal="center" vertical="center" wrapText="1"/>
    </xf>
    <xf numFmtId="0" fontId="0" fillId="0" borderId="25" xfId="0" applyFill="1" applyBorder="1" applyAlignment="1">
      <alignment vertical="center" wrapText="1"/>
    </xf>
    <xf numFmtId="0" fontId="0" fillId="0" borderId="28" xfId="0" applyFill="1" applyBorder="1" applyAlignment="1">
      <alignment vertical="center" wrapText="1"/>
    </xf>
    <xf numFmtId="0" fontId="0" fillId="0" borderId="28" xfId="0" applyFill="1" applyBorder="1" applyAlignment="1">
      <alignment horizontal="right" vertical="center" wrapText="1"/>
    </xf>
    <xf numFmtId="1" fontId="0" fillId="0" borderId="28" xfId="0" applyNumberFormat="1" applyBorder="1" applyAlignment="1">
      <alignment vertical="center" wrapText="1"/>
    </xf>
    <xf numFmtId="3" fontId="0" fillId="0" borderId="28" xfId="0" applyNumberFormat="1" applyBorder="1" applyAlignment="1">
      <alignment vertical="center" wrapText="1"/>
    </xf>
    <xf numFmtId="3" fontId="0" fillId="0" borderId="25" xfId="0" applyNumberFormat="1" applyBorder="1" applyAlignment="1">
      <alignment vertical="center" wrapText="1"/>
    </xf>
    <xf numFmtId="1" fontId="0" fillId="0" borderId="0" xfId="0" applyNumberFormat="1" applyAlignment="1">
      <alignment vertical="center" wrapText="1"/>
    </xf>
    <xf numFmtId="0" fontId="49" fillId="33" borderId="1" xfId="0" applyFont="1" applyFill="1" applyBorder="1"/>
    <xf numFmtId="0" fontId="50" fillId="33" borderId="37" xfId="0" applyFont="1" applyFill="1" applyBorder="1" applyAlignment="1">
      <alignment horizontal="right"/>
    </xf>
    <xf numFmtId="169" fontId="0" fillId="0" borderId="38" xfId="0" applyNumberFormat="1" applyBorder="1"/>
    <xf numFmtId="0" fontId="0" fillId="0" borderId="39" xfId="0" applyBorder="1"/>
    <xf numFmtId="0" fontId="0" fillId="0" borderId="38" xfId="0" applyBorder="1" applyAlignment="1">
      <alignment wrapText="1"/>
    </xf>
    <xf numFmtId="0" fontId="1" fillId="33" borderId="40" xfId="0" applyFont="1" applyFill="1" applyBorder="1" applyAlignment="1">
      <alignment horizontal="left" vertical="top" wrapText="1"/>
    </xf>
    <xf numFmtId="0" fontId="1" fillId="2" borderId="40" xfId="0" applyFont="1" applyFill="1" applyBorder="1" applyAlignment="1">
      <alignment vertical="top" wrapText="1"/>
    </xf>
    <xf numFmtId="0" fontId="0" fillId="32" borderId="40" xfId="0" applyFill="1" applyBorder="1" applyAlignment="1">
      <alignment vertical="top" wrapText="1"/>
    </xf>
    <xf numFmtId="0" fontId="1" fillId="34" borderId="40" xfId="0" applyFont="1" applyFill="1" applyBorder="1" applyAlignment="1">
      <alignment vertical="top" wrapText="1"/>
    </xf>
    <xf numFmtId="0" fontId="1" fillId="33" borderId="40" xfId="0" applyFont="1" applyFill="1" applyBorder="1" applyAlignment="1">
      <alignment vertical="top" wrapText="1"/>
    </xf>
    <xf numFmtId="0" fontId="51" fillId="33" borderId="1" xfId="0" applyFont="1" applyFill="1" applyBorder="1" applyAlignment="1">
      <alignment horizontal="left"/>
    </xf>
    <xf numFmtId="0" fontId="51" fillId="33" borderId="1" xfId="0" applyFont="1" applyFill="1" applyBorder="1" applyAlignment="1">
      <alignment horizontal="right"/>
    </xf>
    <xf numFmtId="0" fontId="1" fillId="33" borderId="0" xfId="0" applyFont="1" applyFill="1"/>
    <xf numFmtId="0" fontId="1" fillId="33" borderId="0" xfId="0" applyFont="1" applyFill="1" applyAlignment="1">
      <alignment wrapText="1"/>
    </xf>
    <xf numFmtId="0" fontId="0" fillId="33" borderId="0" xfId="0" applyFill="1"/>
    <xf numFmtId="0" fontId="50" fillId="33" borderId="37" xfId="0" applyFont="1" applyFill="1" applyBorder="1"/>
    <xf numFmtId="0" fontId="50" fillId="33" borderId="39" xfId="0" applyFont="1" applyFill="1" applyBorder="1"/>
    <xf numFmtId="0" fontId="1" fillId="33" borderId="39" xfId="0" applyFont="1" applyFill="1" applyBorder="1" applyAlignment="1">
      <alignment wrapText="1"/>
    </xf>
    <xf numFmtId="0" fontId="0" fillId="33" borderId="39" xfId="0" applyFill="1" applyBorder="1" applyAlignment="1">
      <alignment vertical="top" wrapText="1"/>
    </xf>
    <xf numFmtId="0" fontId="1" fillId="33" borderId="39" xfId="0" applyFont="1" applyFill="1" applyBorder="1"/>
    <xf numFmtId="0" fontId="1" fillId="33" borderId="38" xfId="0" applyFont="1" applyFill="1" applyBorder="1"/>
    <xf numFmtId="0" fontId="0" fillId="33" borderId="0" xfId="0" applyFill="1" applyAlignment="1">
      <alignment wrapText="1"/>
    </xf>
    <xf numFmtId="0" fontId="0" fillId="33" borderId="0" xfId="0" applyFill="1" applyAlignment="1">
      <alignment vertical="center" wrapText="1"/>
    </xf>
    <xf numFmtId="0" fontId="0" fillId="33" borderId="0" xfId="0" applyFill="1" applyAlignment="1">
      <alignment vertical="center"/>
    </xf>
    <xf numFmtId="0" fontId="0" fillId="33" borderId="0" xfId="0" applyFill="1" applyAlignment="1">
      <alignment vertical="top" wrapText="1"/>
    </xf>
    <xf numFmtId="0" fontId="0" fillId="33" borderId="0" xfId="0" applyFill="1" applyAlignment="1">
      <alignment horizontal="center" vertical="center"/>
    </xf>
    <xf numFmtId="0" fontId="0" fillId="33" borderId="0" xfId="0" applyFill="1" applyAlignment="1">
      <alignment horizontal="left" vertical="top" wrapText="1" indent="8"/>
    </xf>
    <xf numFmtId="0" fontId="0" fillId="33" borderId="0" xfId="0" applyFill="1" applyAlignment="1">
      <alignment vertical="top"/>
    </xf>
    <xf numFmtId="0" fontId="52" fillId="0" borderId="0" xfId="0" applyFont="1"/>
    <xf numFmtId="0" fontId="1" fillId="0" borderId="41" xfId="0" applyFont="1" applyBorder="1"/>
    <xf numFmtId="0" fontId="1" fillId="0" borderId="51" xfId="0" applyFont="1" applyBorder="1"/>
    <xf numFmtId="0" fontId="0" fillId="0" borderId="51" xfId="0" applyBorder="1"/>
    <xf numFmtId="0" fontId="0" fillId="0" borderId="42" xfId="0" applyBorder="1"/>
    <xf numFmtId="0" fontId="1" fillId="0" borderId="0" xfId="0" applyFont="1" applyAlignment="1">
      <alignment wrapText="1"/>
    </xf>
    <xf numFmtId="0" fontId="0" fillId="0" borderId="52" xfId="0" applyBorder="1" applyAlignment="1">
      <alignment horizontal="left" indent="1"/>
    </xf>
    <xf numFmtId="0" fontId="0" fillId="0" borderId="0" xfId="0" applyAlignment="1">
      <alignment horizontal="left" indent="1"/>
    </xf>
    <xf numFmtId="0" fontId="0" fillId="0" borderId="25" xfId="0" applyBorder="1"/>
    <xf numFmtId="0" fontId="0" fillId="0" borderId="52" xfId="0" applyBorder="1" applyAlignment="1">
      <alignment horizontal="left"/>
    </xf>
    <xf numFmtId="0" fontId="0" fillId="0" borderId="25" xfId="0" applyBorder="1" applyAlignment="1">
      <alignment horizontal="left" indent="1"/>
    </xf>
    <xf numFmtId="0" fontId="1" fillId="0" borderId="0" xfId="0" applyFont="1" applyAlignment="1">
      <alignment horizontal="left" indent="1"/>
    </xf>
    <xf numFmtId="0" fontId="1" fillId="0" borderId="0" xfId="0" applyFont="1" applyAlignment="1">
      <alignment horizontal="left" indent="4"/>
    </xf>
    <xf numFmtId="0" fontId="0" fillId="0" borderId="0" xfId="0" applyAlignment="1">
      <alignment horizontal="left" wrapText="1" indent="1"/>
    </xf>
    <xf numFmtId="0" fontId="0" fillId="0" borderId="0" xfId="0" applyAlignment="1">
      <alignment horizontal="left" indent="4"/>
    </xf>
    <xf numFmtId="0" fontId="0" fillId="0" borderId="47" xfId="0" applyBorder="1" applyAlignment="1">
      <alignment horizontal="left"/>
    </xf>
    <xf numFmtId="0" fontId="0" fillId="0" borderId="1" xfId="0" applyBorder="1" applyAlignment="1">
      <alignment horizontal="left"/>
    </xf>
    <xf numFmtId="0" fontId="0" fillId="0" borderId="1" xfId="0" applyBorder="1"/>
    <xf numFmtId="0" fontId="0" fillId="0" borderId="33" xfId="0" applyBorder="1"/>
    <xf numFmtId="0" fontId="51" fillId="0" borderId="0" xfId="0" applyFont="1"/>
    <xf numFmtId="0" fontId="53" fillId="0" borderId="0" xfId="0" applyFont="1"/>
    <xf numFmtId="169" fontId="0" fillId="0" borderId="0" xfId="0" applyNumberFormat="1"/>
    <xf numFmtId="170" fontId="0" fillId="0" borderId="0" xfId="154" applyNumberFormat="1" applyFont="1"/>
    <xf numFmtId="169" fontId="2" fillId="0" borderId="0" xfId="1" applyNumberFormat="1"/>
    <xf numFmtId="0" fontId="53" fillId="0" borderId="1" xfId="0" applyFont="1" applyBorder="1"/>
    <xf numFmtId="0" fontId="50" fillId="0" borderId="53" xfId="0" applyFont="1" applyBorder="1"/>
    <xf numFmtId="0" fontId="50" fillId="0" borderId="54" xfId="0" applyFont="1" applyBorder="1" applyAlignment="1">
      <alignment wrapText="1"/>
    </xf>
    <xf numFmtId="0" fontId="50" fillId="0" borderId="54" xfId="0" applyFont="1" applyBorder="1"/>
    <xf numFmtId="0" fontId="50" fillId="0" borderId="55" xfId="0" applyFont="1" applyBorder="1" applyAlignment="1">
      <alignment wrapText="1"/>
    </xf>
    <xf numFmtId="0" fontId="52" fillId="0" borderId="54" xfId="0" applyFont="1" applyBorder="1"/>
    <xf numFmtId="0" fontId="52" fillId="0" borderId="55" xfId="0" applyFont="1" applyBorder="1"/>
    <xf numFmtId="0" fontId="50" fillId="0" borderId="0" xfId="0" applyFont="1"/>
    <xf numFmtId="0" fontId="50" fillId="0" borderId="0" xfId="0" applyFont="1" applyAlignment="1">
      <alignment vertical="top"/>
    </xf>
    <xf numFmtId="0" fontId="52" fillId="0" borderId="0" xfId="0" applyFont="1" applyAlignment="1">
      <alignment vertical="top"/>
    </xf>
    <xf numFmtId="0" fontId="0" fillId="0" borderId="43" xfId="0" applyBorder="1" applyAlignment="1">
      <alignment wrapText="1"/>
    </xf>
    <xf numFmtId="0" fontId="0" fillId="0" borderId="56" xfId="0" applyBorder="1" applyAlignment="1">
      <alignment wrapText="1"/>
    </xf>
    <xf numFmtId="0" fontId="0" fillId="0" borderId="57" xfId="0" applyBorder="1" applyAlignment="1">
      <alignment wrapText="1"/>
    </xf>
    <xf numFmtId="0" fontId="0" fillId="0" borderId="43" xfId="0" applyBorder="1"/>
    <xf numFmtId="0" fontId="0" fillId="0" borderId="59" xfId="0" applyBorder="1"/>
    <xf numFmtId="0" fontId="0" fillId="0" borderId="35" xfId="0" applyBorder="1"/>
    <xf numFmtId="0" fontId="0" fillId="0" borderId="32" xfId="0" applyBorder="1"/>
    <xf numFmtId="0" fontId="0" fillId="0" borderId="60" xfId="0" applyBorder="1" applyAlignment="1">
      <alignment wrapText="1"/>
    </xf>
    <xf numFmtId="0" fontId="0" fillId="0" borderId="40" xfId="0" applyBorder="1" applyAlignment="1">
      <alignment horizontal="center" wrapText="1"/>
    </xf>
    <xf numFmtId="0" fontId="0" fillId="0" borderId="37" xfId="0" quotePrefix="1" applyBorder="1" applyAlignment="1">
      <alignment horizontal="center" wrapText="1"/>
    </xf>
    <xf numFmtId="0" fontId="0" fillId="0" borderId="60" xfId="0" applyBorder="1" applyAlignment="1">
      <alignment horizontal="center" wrapText="1"/>
    </xf>
    <xf numFmtId="0" fontId="0" fillId="0" borderId="38" xfId="0" applyBorder="1" applyAlignment="1">
      <alignment horizontal="center" wrapText="1"/>
    </xf>
    <xf numFmtId="0" fontId="0" fillId="0" borderId="61" xfId="0" quotePrefix="1" applyBorder="1" applyAlignment="1">
      <alignment horizontal="center" wrapText="1"/>
    </xf>
    <xf numFmtId="0" fontId="0" fillId="0" borderId="62" xfId="0" applyBorder="1"/>
    <xf numFmtId="0" fontId="0" fillId="0" borderId="37" xfId="0" applyBorder="1" applyAlignment="1">
      <alignment wrapText="1"/>
    </xf>
    <xf numFmtId="0" fontId="0" fillId="33" borderId="41" xfId="0" applyFill="1" applyBorder="1" applyAlignment="1">
      <alignment wrapText="1"/>
    </xf>
    <xf numFmtId="0" fontId="0" fillId="0" borderId="37" xfId="0" applyBorder="1" applyAlignment="1">
      <alignment horizontal="center" wrapText="1"/>
    </xf>
    <xf numFmtId="0" fontId="0" fillId="33" borderId="63" xfId="0" applyFill="1" applyBorder="1" applyAlignment="1">
      <alignment wrapText="1"/>
    </xf>
    <xf numFmtId="0" fontId="0" fillId="0" borderId="0" xfId="0" applyAlignment="1">
      <alignment horizontal="left" vertical="top"/>
    </xf>
    <xf numFmtId="0" fontId="0" fillId="0" borderId="0" xfId="0" applyAlignment="1">
      <alignment vertical="top"/>
    </xf>
    <xf numFmtId="0" fontId="1" fillId="0" borderId="62" xfId="0" applyFont="1" applyBorder="1" applyAlignment="1">
      <alignment wrapText="1"/>
    </xf>
    <xf numFmtId="3" fontId="0" fillId="0" borderId="52" xfId="0" applyNumberFormat="1" applyBorder="1"/>
    <xf numFmtId="3" fontId="0" fillId="33" borderId="0" xfId="0" applyNumberFormat="1" applyFill="1"/>
    <xf numFmtId="168" fontId="0" fillId="0" borderId="0" xfId="0" applyNumberFormat="1"/>
    <xf numFmtId="3" fontId="0" fillId="0" borderId="62" xfId="0" applyNumberFormat="1" applyBorder="1"/>
    <xf numFmtId="3" fontId="0" fillId="0" borderId="23" xfId="0" applyNumberFormat="1" applyBorder="1" applyAlignment="1">
      <alignment horizontal="right"/>
    </xf>
    <xf numFmtId="0" fontId="0" fillId="0" borderId="64" xfId="0" applyBorder="1"/>
    <xf numFmtId="0" fontId="0" fillId="0" borderId="40" xfId="0" applyBorder="1" applyAlignment="1">
      <alignment horizontal="center"/>
    </xf>
    <xf numFmtId="0" fontId="0" fillId="33" borderId="47" xfId="0" applyFill="1" applyBorder="1" applyAlignment="1">
      <alignment wrapText="1"/>
    </xf>
    <xf numFmtId="0" fontId="0" fillId="33" borderId="65" xfId="0" applyFill="1" applyBorder="1" applyAlignment="1">
      <alignment wrapText="1"/>
    </xf>
    <xf numFmtId="0" fontId="0" fillId="0" borderId="0" xfId="0" applyAlignment="1">
      <alignment vertical="top" wrapText="1"/>
    </xf>
    <xf numFmtId="0" fontId="0" fillId="0" borderId="62" xfId="0" applyBorder="1" applyAlignment="1">
      <alignment wrapText="1"/>
    </xf>
    <xf numFmtId="3" fontId="0" fillId="2" borderId="52" xfId="0" applyNumberFormat="1" applyFill="1" applyBorder="1"/>
    <xf numFmtId="3" fontId="0" fillId="2" borderId="0" xfId="0" applyNumberFormat="1" applyFill="1"/>
    <xf numFmtId="168" fontId="0" fillId="2" borderId="0" xfId="0" applyNumberFormat="1" applyFill="1"/>
    <xf numFmtId="3" fontId="0" fillId="2" borderId="0" xfId="0" applyNumberFormat="1" applyFill="1" applyAlignment="1">
      <alignment horizontal="right"/>
    </xf>
    <xf numFmtId="168" fontId="0" fillId="34" borderId="62" xfId="155" applyNumberFormat="1" applyFont="1" applyFill="1" applyBorder="1"/>
    <xf numFmtId="168" fontId="0" fillId="34" borderId="0" xfId="155" applyNumberFormat="1" applyFont="1" applyFill="1"/>
    <xf numFmtId="170" fontId="0" fillId="34" borderId="0" xfId="154" applyNumberFormat="1" applyFont="1" applyFill="1"/>
    <xf numFmtId="168" fontId="0" fillId="34" borderId="0" xfId="0" applyNumberFormat="1" applyFill="1"/>
    <xf numFmtId="3" fontId="0" fillId="34" borderId="23" xfId="0" applyNumberFormat="1" applyFill="1" applyBorder="1" applyAlignment="1">
      <alignment horizontal="right"/>
    </xf>
    <xf numFmtId="0" fontId="0" fillId="0" borderId="41" xfId="0" applyBorder="1"/>
    <xf numFmtId="0" fontId="0" fillId="33" borderId="51" xfId="0" applyFill="1" applyBorder="1"/>
    <xf numFmtId="0" fontId="0" fillId="0" borderId="52" xfId="0" applyBorder="1"/>
    <xf numFmtId="0" fontId="0" fillId="0" borderId="23" xfId="0" applyBorder="1"/>
    <xf numFmtId="0" fontId="0" fillId="0" borderId="62" xfId="0" applyBorder="1" applyAlignment="1">
      <alignment horizontal="left" indent="1"/>
    </xf>
    <xf numFmtId="170" fontId="0" fillId="33" borderId="52" xfId="154" applyNumberFormat="1" applyFont="1" applyFill="1" applyBorder="1"/>
    <xf numFmtId="168" fontId="0" fillId="35" borderId="0" xfId="0" applyNumberFormat="1" applyFill="1"/>
    <xf numFmtId="3" fontId="0" fillId="33" borderId="52" xfId="0" applyNumberFormat="1" applyFill="1" applyBorder="1"/>
    <xf numFmtId="168" fontId="0" fillId="34" borderId="23" xfId="0" applyNumberFormat="1" applyFill="1" applyBorder="1"/>
    <xf numFmtId="0" fontId="0" fillId="0" borderId="62" xfId="0" quotePrefix="1" applyBorder="1" applyAlignment="1">
      <alignment horizontal="left" indent="1"/>
    </xf>
    <xf numFmtId="0" fontId="0" fillId="0" borderId="66" xfId="0" applyBorder="1" applyAlignment="1">
      <alignment horizontal="left" vertical="top" wrapText="1"/>
    </xf>
    <xf numFmtId="3" fontId="0" fillId="33" borderId="37" xfId="0" applyNumberFormat="1" applyFill="1" applyBorder="1"/>
    <xf numFmtId="3" fontId="0" fillId="33" borderId="39" xfId="0" applyNumberFormat="1" applyFill="1" applyBorder="1"/>
    <xf numFmtId="168" fontId="0" fillId="33" borderId="39" xfId="0" applyNumberFormat="1" applyFill="1" applyBorder="1"/>
    <xf numFmtId="3" fontId="0" fillId="33" borderId="39" xfId="0" applyNumberFormat="1" applyFill="1" applyBorder="1" applyAlignment="1">
      <alignment horizontal="right"/>
    </xf>
    <xf numFmtId="9" fontId="0" fillId="0" borderId="66" xfId="155" applyFont="1" applyBorder="1"/>
    <xf numFmtId="9" fontId="0" fillId="0" borderId="39" xfId="155" applyFont="1" applyBorder="1"/>
    <xf numFmtId="170" fontId="0" fillId="33" borderId="39" xfId="154" applyNumberFormat="1" applyFont="1" applyFill="1" applyBorder="1"/>
    <xf numFmtId="168" fontId="0" fillId="0" borderId="39" xfId="0" applyNumberFormat="1" applyBorder="1"/>
    <xf numFmtId="3" fontId="0" fillId="0" borderId="67" xfId="0" applyNumberFormat="1" applyBorder="1" applyAlignment="1">
      <alignment horizontal="right"/>
    </xf>
    <xf numFmtId="170" fontId="0" fillId="33" borderId="68" xfId="154" applyNumberFormat="1" applyFont="1" applyFill="1" applyBorder="1"/>
    <xf numFmtId="9" fontId="0" fillId="0" borderId="69" xfId="0" applyNumberFormat="1" applyBorder="1"/>
    <xf numFmtId="168" fontId="0" fillId="33" borderId="69" xfId="155" applyNumberFormat="1" applyFont="1" applyFill="1" applyBorder="1"/>
    <xf numFmtId="3" fontId="0" fillId="33" borderId="68" xfId="0" applyNumberFormat="1" applyFill="1" applyBorder="1"/>
    <xf numFmtId="168" fontId="0" fillId="33" borderId="70" xfId="155" applyNumberFormat="1" applyFont="1" applyFill="1" applyBorder="1"/>
    <xf numFmtId="168" fontId="0" fillId="2" borderId="0" xfId="0" applyNumberFormat="1" applyFill="1" applyAlignment="1">
      <alignment vertical="center"/>
    </xf>
    <xf numFmtId="3" fontId="0" fillId="0" borderId="0" xfId="0" applyNumberFormat="1" applyAlignment="1">
      <alignment vertical="center"/>
    </xf>
    <xf numFmtId="168" fontId="0" fillId="34" borderId="0" xfId="0" applyNumberFormat="1" applyFill="1" applyAlignment="1">
      <alignment vertical="center"/>
    </xf>
    <xf numFmtId="0" fontId="0" fillId="0" borderId="52" xfId="0" applyBorder="1" applyAlignment="1">
      <alignment horizontal="right"/>
    </xf>
    <xf numFmtId="168" fontId="0" fillId="2" borderId="1" xfId="0" applyNumberFormat="1" applyFill="1" applyBorder="1" applyAlignment="1">
      <alignment vertical="center"/>
    </xf>
    <xf numFmtId="3" fontId="0" fillId="0" borderId="1" xfId="0" applyNumberFormat="1" applyBorder="1" applyAlignment="1">
      <alignment vertical="center"/>
    </xf>
    <xf numFmtId="3" fontId="0" fillId="34" borderId="71" xfId="0" applyNumberFormat="1" applyFill="1" applyBorder="1" applyAlignment="1">
      <alignment vertical="center"/>
    </xf>
    <xf numFmtId="0" fontId="0" fillId="0" borderId="48" xfId="0" applyBorder="1"/>
    <xf numFmtId="1" fontId="0" fillId="2" borderId="72" xfId="0" applyNumberFormat="1" applyFill="1" applyBorder="1"/>
    <xf numFmtId="0" fontId="0" fillId="33" borderId="36" xfId="0" applyFill="1" applyBorder="1"/>
    <xf numFmtId="1" fontId="0" fillId="34" borderId="72" xfId="0" applyNumberFormat="1" applyFill="1" applyBorder="1"/>
    <xf numFmtId="0" fontId="0" fillId="33" borderId="24" xfId="0" applyFill="1" applyBorder="1"/>
    <xf numFmtId="0" fontId="0" fillId="0" borderId="73" xfId="0" applyBorder="1" applyAlignment="1">
      <alignment wrapText="1"/>
    </xf>
    <xf numFmtId="3" fontId="0" fillId="36" borderId="39" xfId="0" applyNumberFormat="1" applyFill="1" applyBorder="1" applyAlignment="1">
      <alignment horizontal="right"/>
    </xf>
    <xf numFmtId="0" fontId="1" fillId="0" borderId="62" xfId="0" applyFont="1" applyBorder="1" applyAlignment="1">
      <alignment horizontal="left"/>
    </xf>
    <xf numFmtId="3" fontId="0" fillId="36" borderId="52" xfId="0" applyNumberFormat="1" applyFill="1" applyBorder="1"/>
    <xf numFmtId="3" fontId="0" fillId="36" borderId="0" xfId="0" applyNumberFormat="1" applyFill="1"/>
    <xf numFmtId="3" fontId="0" fillId="36" borderId="0" xfId="0" applyNumberFormat="1" applyFill="1" applyAlignment="1">
      <alignment horizontal="right"/>
    </xf>
    <xf numFmtId="0" fontId="0" fillId="33" borderId="62" xfId="0" applyFill="1" applyBorder="1" applyAlignment="1">
      <alignment horizontal="left"/>
    </xf>
    <xf numFmtId="168" fontId="6" fillId="0" borderId="23" xfId="155" applyNumberFormat="1" applyBorder="1"/>
    <xf numFmtId="3" fontId="0" fillId="36" borderId="47" xfId="0" applyNumberFormat="1" applyFill="1" applyBorder="1"/>
    <xf numFmtId="3" fontId="0" fillId="36" borderId="1" xfId="0" applyNumberFormat="1" applyFill="1" applyBorder="1"/>
    <xf numFmtId="3" fontId="0" fillId="36" borderId="1" xfId="0" applyNumberFormat="1" applyFill="1" applyBorder="1" applyAlignment="1">
      <alignment horizontal="right"/>
    </xf>
    <xf numFmtId="168" fontId="0" fillId="34" borderId="1" xfId="0" applyNumberFormat="1" applyFill="1" applyBorder="1"/>
    <xf numFmtId="3" fontId="0" fillId="34" borderId="71" xfId="0" applyNumberFormat="1" applyFill="1" applyBorder="1" applyAlignment="1">
      <alignment horizontal="right"/>
    </xf>
    <xf numFmtId="168" fontId="6" fillId="34" borderId="23" xfId="155" applyNumberFormat="1" applyFill="1" applyBorder="1"/>
    <xf numFmtId="0" fontId="0" fillId="33" borderId="27" xfId="0" applyFill="1" applyBorder="1" applyAlignment="1">
      <alignment wrapText="1"/>
    </xf>
    <xf numFmtId="3" fontId="0" fillId="33" borderId="69" xfId="0" applyNumberFormat="1" applyFill="1" applyBorder="1"/>
    <xf numFmtId="168" fontId="0" fillId="33" borderId="69" xfId="0" applyNumberFormat="1" applyFill="1" applyBorder="1"/>
    <xf numFmtId="3" fontId="0" fillId="0" borderId="69" xfId="0" applyNumberFormat="1" applyBorder="1" applyAlignment="1">
      <alignment horizontal="right"/>
    </xf>
    <xf numFmtId="3" fontId="0" fillId="33" borderId="74" xfId="0" applyNumberFormat="1" applyFill="1" applyBorder="1"/>
    <xf numFmtId="3" fontId="0" fillId="0" borderId="70" xfId="0" applyNumberFormat="1" applyBorder="1" applyAlignment="1">
      <alignment horizontal="right"/>
    </xf>
    <xf numFmtId="0" fontId="0" fillId="0" borderId="52" xfId="0" applyBorder="1" applyAlignment="1">
      <alignment wrapText="1"/>
    </xf>
    <xf numFmtId="170" fontId="0" fillId="0" borderId="0" xfId="154" applyNumberFormat="1" applyFont="1" applyAlignment="1">
      <alignment wrapText="1"/>
    </xf>
    <xf numFmtId="170" fontId="0" fillId="2" borderId="0" xfId="154" applyNumberFormat="1" applyFont="1" applyFill="1"/>
    <xf numFmtId="9" fontId="0" fillId="0" borderId="0" xfId="0" applyNumberFormat="1"/>
    <xf numFmtId="170" fontId="0" fillId="33" borderId="0" xfId="154" applyNumberFormat="1" applyFont="1" applyFill="1"/>
    <xf numFmtId="3" fontId="0" fillId="0" borderId="23" xfId="0" applyNumberFormat="1" applyBorder="1"/>
    <xf numFmtId="43" fontId="0" fillId="0" borderId="23" xfId="154" applyFont="1" applyBorder="1"/>
    <xf numFmtId="170" fontId="0" fillId="2" borderId="0" xfId="154" applyNumberFormat="1" applyFont="1" applyFill="1" applyAlignment="1">
      <alignment vertical="center"/>
    </xf>
    <xf numFmtId="170" fontId="0" fillId="0" borderId="0" xfId="154" applyNumberFormat="1" applyFont="1" applyAlignment="1">
      <alignment vertical="center"/>
    </xf>
    <xf numFmtId="0" fontId="1" fillId="0" borderId="75" xfId="0" applyFont="1" applyBorder="1"/>
    <xf numFmtId="0" fontId="1" fillId="0" borderId="1" xfId="0" applyFont="1" applyBorder="1"/>
    <xf numFmtId="168" fontId="1" fillId="34" borderId="71" xfId="155" applyNumberFormat="1" applyFont="1" applyFill="1" applyBorder="1"/>
    <xf numFmtId="0" fontId="0" fillId="0" borderId="47" xfId="0" applyBorder="1" applyAlignment="1">
      <alignment wrapText="1"/>
    </xf>
    <xf numFmtId="3" fontId="0" fillId="2" borderId="47" xfId="0" applyNumberFormat="1" applyFill="1" applyBorder="1"/>
    <xf numFmtId="167" fontId="0" fillId="0" borderId="0" xfId="154" applyNumberFormat="1" applyFont="1" applyAlignment="1">
      <alignment wrapText="1"/>
    </xf>
    <xf numFmtId="170" fontId="0" fillId="2" borderId="1" xfId="154" applyNumberFormat="1" applyFont="1" applyFill="1" applyBorder="1" applyAlignment="1">
      <alignment vertical="center"/>
    </xf>
    <xf numFmtId="9" fontId="0" fillId="0" borderId="1" xfId="0" applyNumberFormat="1" applyBorder="1"/>
    <xf numFmtId="3" fontId="0" fillId="0" borderId="1" xfId="0" applyNumberFormat="1" applyBorder="1"/>
    <xf numFmtId="170" fontId="0" fillId="0" borderId="1" xfId="154" applyNumberFormat="1" applyFont="1" applyBorder="1" applyAlignment="1">
      <alignment vertical="center"/>
    </xf>
    <xf numFmtId="3" fontId="0" fillId="0" borderId="71" xfId="0" applyNumberFormat="1" applyBorder="1"/>
    <xf numFmtId="3" fontId="0" fillId="33" borderId="76" xfId="0" applyNumberFormat="1" applyFill="1" applyBorder="1"/>
    <xf numFmtId="3" fontId="0" fillId="33" borderId="77" xfId="0" applyNumberFormat="1" applyFill="1" applyBorder="1"/>
    <xf numFmtId="170" fontId="0" fillId="33" borderId="77" xfId="154" applyNumberFormat="1" applyFont="1" applyFill="1" applyBorder="1"/>
    <xf numFmtId="9" fontId="0" fillId="0" borderId="77" xfId="0" applyNumberFormat="1" applyBorder="1"/>
    <xf numFmtId="3" fontId="0" fillId="0" borderId="77" xfId="0" applyNumberFormat="1" applyBorder="1"/>
    <xf numFmtId="3" fontId="0" fillId="0" borderId="73" xfId="0" applyNumberFormat="1" applyBorder="1"/>
    <xf numFmtId="3" fontId="0" fillId="0" borderId="78" xfId="0" applyNumberFormat="1" applyBorder="1"/>
    <xf numFmtId="9" fontId="0" fillId="35" borderId="0" xfId="0" applyNumberFormat="1" applyFill="1"/>
    <xf numFmtId="168" fontId="0" fillId="0" borderId="23" xfId="155" applyNumberFormat="1" applyFont="1" applyBorder="1"/>
    <xf numFmtId="0" fontId="0" fillId="37" borderId="74" xfId="0" applyFill="1" applyBorder="1" applyAlignment="1">
      <alignment wrapText="1"/>
    </xf>
    <xf numFmtId="170" fontId="0" fillId="33" borderId="69" xfId="154" applyNumberFormat="1" applyFont="1" applyFill="1" applyBorder="1"/>
    <xf numFmtId="9" fontId="0" fillId="33" borderId="69" xfId="0" applyNumberFormat="1" applyFill="1" applyBorder="1"/>
    <xf numFmtId="3" fontId="0" fillId="33" borderId="70" xfId="0" applyNumberFormat="1" applyFill="1" applyBorder="1"/>
    <xf numFmtId="171" fontId="0" fillId="2" borderId="0" xfId="154" applyNumberFormat="1" applyFont="1" applyFill="1"/>
    <xf numFmtId="0" fontId="1" fillId="0" borderId="0" xfId="0" applyFont="1" applyAlignment="1">
      <alignment horizontal="left" wrapText="1"/>
    </xf>
    <xf numFmtId="0" fontId="1" fillId="0" borderId="48" xfId="0" applyFont="1" applyBorder="1"/>
    <xf numFmtId="0" fontId="0" fillId="0" borderId="36" xfId="0" applyBorder="1"/>
    <xf numFmtId="168" fontId="1" fillId="0" borderId="24" xfId="155" applyNumberFormat="1" applyFont="1" applyBorder="1"/>
    <xf numFmtId="0" fontId="0" fillId="33" borderId="0" xfId="0" applyFill="1" applyAlignment="1">
      <alignment horizontal="center"/>
    </xf>
    <xf numFmtId="168" fontId="1" fillId="0" borderId="0" xfId="155" applyNumberFormat="1" applyFont="1"/>
    <xf numFmtId="0" fontId="0" fillId="0" borderId="1" xfId="0" applyBorder="1" applyAlignment="1">
      <alignment wrapText="1"/>
    </xf>
    <xf numFmtId="0" fontId="0" fillId="0" borderId="1" xfId="0" applyBorder="1" applyAlignment="1">
      <alignment vertical="top"/>
    </xf>
    <xf numFmtId="0" fontId="0" fillId="33" borderId="1" xfId="0" applyFill="1" applyBorder="1"/>
    <xf numFmtId="0" fontId="51" fillId="0" borderId="0" xfId="0" applyFont="1" applyAlignment="1">
      <alignment vertical="center"/>
    </xf>
    <xf numFmtId="0" fontId="54" fillId="0" borderId="0" xfId="0" applyFont="1" applyAlignment="1">
      <alignment horizontal="right"/>
    </xf>
    <xf numFmtId="169" fontId="55" fillId="0" borderId="0" xfId="0" applyNumberFormat="1" applyFont="1"/>
    <xf numFmtId="0" fontId="50" fillId="33" borderId="52" xfId="0" applyFont="1" applyFill="1" applyBorder="1" applyAlignment="1">
      <alignment horizontal="right"/>
    </xf>
    <xf numFmtId="0" fontId="0" fillId="0" borderId="25" xfId="0" applyBorder="1" applyAlignment="1">
      <alignment wrapText="1"/>
    </xf>
    <xf numFmtId="0" fontId="1" fillId="33" borderId="79" xfId="0" applyFont="1" applyFill="1" applyBorder="1" applyAlignment="1">
      <alignment horizontal="left" vertical="top" wrapText="1"/>
    </xf>
    <xf numFmtId="0" fontId="1" fillId="2" borderId="79" xfId="0" applyFont="1" applyFill="1" applyBorder="1" applyAlignment="1">
      <alignment vertical="top" wrapText="1"/>
    </xf>
    <xf numFmtId="0" fontId="0" fillId="32" borderId="79" xfId="0" applyFill="1" applyBorder="1" applyAlignment="1">
      <alignment vertical="top" wrapText="1"/>
    </xf>
    <xf numFmtId="0" fontId="1" fillId="34" borderId="79" xfId="0" applyFont="1" applyFill="1" applyBorder="1" applyAlignment="1">
      <alignment vertical="top" wrapText="1"/>
    </xf>
    <xf numFmtId="0" fontId="1" fillId="33" borderId="79" xfId="0" applyFont="1" applyFill="1" applyBorder="1" applyAlignment="1">
      <alignment vertical="top" wrapText="1"/>
    </xf>
    <xf numFmtId="0" fontId="56" fillId="0" borderId="0" xfId="0" applyFont="1"/>
    <xf numFmtId="0" fontId="51" fillId="33" borderId="0" xfId="0" applyFont="1" applyFill="1" applyAlignment="1">
      <alignment horizontal="right"/>
    </xf>
    <xf numFmtId="0" fontId="50" fillId="33" borderId="41" xfId="0" applyFont="1" applyFill="1" applyBorder="1" applyAlignment="1">
      <alignment horizontal="right"/>
    </xf>
    <xf numFmtId="169" fontId="0" fillId="0" borderId="42" xfId="0" applyNumberFormat="1" applyBorder="1"/>
    <xf numFmtId="0" fontId="0" fillId="0" borderId="42" xfId="0" applyBorder="1" applyAlignment="1">
      <alignment wrapText="1"/>
    </xf>
    <xf numFmtId="0" fontId="50" fillId="0" borderId="43" xfId="0" applyFont="1" applyBorder="1"/>
    <xf numFmtId="0" fontId="50" fillId="0" borderId="57" xfId="0" applyFont="1" applyBorder="1"/>
    <xf numFmtId="0" fontId="52" fillId="0" borderId="57" xfId="0" applyFont="1" applyBorder="1"/>
    <xf numFmtId="0" fontId="52" fillId="0" borderId="44" xfId="0" applyFont="1" applyBorder="1"/>
    <xf numFmtId="172" fontId="57" fillId="0" borderId="0" xfId="0" applyNumberFormat="1" applyFont="1"/>
    <xf numFmtId="167" fontId="57" fillId="0" borderId="0" xfId="0" applyNumberFormat="1" applyFont="1"/>
    <xf numFmtId="0" fontId="58" fillId="0" borderId="80" xfId="0" applyFont="1" applyBorder="1"/>
    <xf numFmtId="0" fontId="58" fillId="0" borderId="37" xfId="0" applyFont="1" applyBorder="1"/>
    <xf numFmtId="0" fontId="58" fillId="0" borderId="39" xfId="0" applyFont="1" applyBorder="1"/>
    <xf numFmtId="0" fontId="58" fillId="0" borderId="38" xfId="0" applyFont="1" applyBorder="1"/>
    <xf numFmtId="0" fontId="58" fillId="0" borderId="0" xfId="0" applyFont="1"/>
    <xf numFmtId="167" fontId="58" fillId="0" borderId="39" xfId="154" applyNumberFormat="1" applyFont="1" applyBorder="1"/>
    <xf numFmtId="0" fontId="58" fillId="0" borderId="67" xfId="0" applyFont="1" applyBorder="1"/>
    <xf numFmtId="0" fontId="0" fillId="0" borderId="75" xfId="0" applyBorder="1"/>
    <xf numFmtId="0" fontId="1" fillId="0" borderId="40" xfId="0" applyFont="1" applyBorder="1" applyAlignment="1">
      <alignment horizontal="center" wrapText="1"/>
    </xf>
    <xf numFmtId="0" fontId="1" fillId="0" borderId="34" xfId="0" applyFont="1" applyBorder="1" applyAlignment="1">
      <alignment horizontal="center" wrapText="1"/>
    </xf>
    <xf numFmtId="0" fontId="55" fillId="0" borderId="40" xfId="0" applyFont="1" applyBorder="1" applyAlignment="1">
      <alignment horizontal="center" wrapText="1"/>
    </xf>
    <xf numFmtId="0" fontId="55" fillId="0" borderId="38" xfId="0" applyFont="1" applyBorder="1" applyAlignment="1">
      <alignment horizontal="center" wrapText="1"/>
    </xf>
    <xf numFmtId="0" fontId="55" fillId="0" borderId="79" xfId="0" applyFont="1" applyBorder="1" applyAlignment="1">
      <alignment horizontal="center" wrapText="1"/>
    </xf>
    <xf numFmtId="0" fontId="55" fillId="0" borderId="37" xfId="0" applyFont="1" applyBorder="1" applyAlignment="1">
      <alignment horizontal="center" wrapText="1"/>
    </xf>
    <xf numFmtId="0" fontId="55" fillId="0" borderId="61" xfId="0" applyFont="1" applyBorder="1" applyAlignment="1">
      <alignment horizontal="center" wrapText="1"/>
    </xf>
    <xf numFmtId="0" fontId="57" fillId="0" borderId="62" xfId="0" applyFont="1" applyBorder="1" applyAlignment="1">
      <alignment wrapText="1"/>
    </xf>
    <xf numFmtId="3" fontId="57" fillId="0" borderId="28" xfId="0" applyNumberFormat="1" applyFont="1" applyBorder="1"/>
    <xf numFmtId="3" fontId="57" fillId="33" borderId="25" xfId="0" applyNumberFormat="1" applyFont="1" applyFill="1" applyBorder="1" applyAlignment="1">
      <alignment wrapText="1"/>
    </xf>
    <xf numFmtId="3" fontId="57" fillId="33" borderId="52" xfId="0" applyNumberFormat="1" applyFont="1" applyFill="1" applyBorder="1" applyAlignment="1">
      <alignment wrapText="1"/>
    </xf>
    <xf numFmtId="0" fontId="57" fillId="0" borderId="0" xfId="0" applyFont="1"/>
    <xf numFmtId="170" fontId="57" fillId="33" borderId="0" xfId="154" applyNumberFormat="1" applyFont="1" applyFill="1" applyAlignment="1">
      <alignment wrapText="1"/>
    </xf>
    <xf numFmtId="170" fontId="57" fillId="33" borderId="25" xfId="154" applyNumberFormat="1" applyFont="1" applyFill="1" applyBorder="1" applyAlignment="1">
      <alignment wrapText="1"/>
    </xf>
    <xf numFmtId="170" fontId="57" fillId="0" borderId="52" xfId="154" applyNumberFormat="1" applyFont="1" applyBorder="1"/>
    <xf numFmtId="170" fontId="57" fillId="0" borderId="0" xfId="154" applyNumberFormat="1" applyFont="1"/>
    <xf numFmtId="168" fontId="57" fillId="33" borderId="52" xfId="155" applyNumberFormat="1" applyFont="1" applyFill="1" applyBorder="1" applyAlignment="1">
      <alignment wrapText="1"/>
    </xf>
    <xf numFmtId="3" fontId="57" fillId="36" borderId="0" xfId="0" applyNumberFormat="1" applyFont="1" applyFill="1" applyAlignment="1">
      <alignment wrapText="1"/>
    </xf>
    <xf numFmtId="43" fontId="57" fillId="36" borderId="0" xfId="154" applyFont="1" applyFill="1" applyAlignment="1">
      <alignment horizontal="center" wrapText="1"/>
    </xf>
    <xf numFmtId="170" fontId="57" fillId="36" borderId="0" xfId="154" applyNumberFormat="1" applyFont="1" applyFill="1" applyAlignment="1">
      <alignment wrapText="1"/>
    </xf>
    <xf numFmtId="170" fontId="57" fillId="36" borderId="25" xfId="154" applyNumberFormat="1" applyFont="1" applyFill="1" applyBorder="1" applyAlignment="1">
      <alignment wrapText="1"/>
    </xf>
    <xf numFmtId="168" fontId="57" fillId="33" borderId="0" xfId="155" applyNumberFormat="1" applyFont="1" applyFill="1" applyAlignment="1">
      <alignment wrapText="1"/>
    </xf>
    <xf numFmtId="43" fontId="58" fillId="0" borderId="0" xfId="154" applyFont="1"/>
    <xf numFmtId="10" fontId="57" fillId="33" borderId="52" xfId="155" applyNumberFormat="1" applyFont="1" applyFill="1" applyBorder="1" applyAlignment="1">
      <alignment wrapText="1"/>
    </xf>
    <xf numFmtId="166" fontId="57" fillId="33" borderId="0" xfId="154" applyNumberFormat="1" applyFont="1" applyFill="1" applyAlignment="1">
      <alignment wrapText="1"/>
    </xf>
    <xf numFmtId="1" fontId="57" fillId="36" borderId="0" xfId="0" applyNumberFormat="1" applyFont="1" applyFill="1" applyAlignment="1">
      <alignment wrapText="1"/>
    </xf>
    <xf numFmtId="0" fontId="57" fillId="33" borderId="25" xfId="0" applyFont="1" applyFill="1" applyBorder="1" applyAlignment="1">
      <alignment wrapText="1"/>
    </xf>
    <xf numFmtId="10" fontId="57" fillId="33" borderId="0" xfId="155" applyNumberFormat="1" applyFont="1" applyFill="1" applyAlignment="1">
      <alignment wrapText="1"/>
    </xf>
    <xf numFmtId="0" fontId="57" fillId="33" borderId="0" xfId="0" applyFont="1" applyFill="1" applyAlignment="1">
      <alignment wrapText="1"/>
    </xf>
    <xf numFmtId="173" fontId="57" fillId="33" borderId="0" xfId="0" applyNumberFormat="1" applyFont="1" applyFill="1" applyAlignment="1">
      <alignment wrapText="1"/>
    </xf>
    <xf numFmtId="170" fontId="57" fillId="33" borderId="23" xfId="154" applyNumberFormat="1" applyFont="1" applyFill="1" applyBorder="1" applyAlignment="1">
      <alignment wrapText="1"/>
    </xf>
    <xf numFmtId="2" fontId="57" fillId="36" borderId="0" xfId="0" applyNumberFormat="1" applyFont="1" applyFill="1" applyAlignment="1">
      <alignment wrapText="1"/>
    </xf>
    <xf numFmtId="3" fontId="57" fillId="35" borderId="25" xfId="0" applyNumberFormat="1" applyFont="1" applyFill="1" applyBorder="1" applyAlignment="1">
      <alignment wrapText="1"/>
    </xf>
    <xf numFmtId="3" fontId="57" fillId="0" borderId="25" xfId="0" applyNumberFormat="1" applyFont="1" applyBorder="1" applyAlignment="1">
      <alignment wrapText="1"/>
    </xf>
    <xf numFmtId="170" fontId="57" fillId="0" borderId="25" xfId="154" applyNumberFormat="1" applyFont="1" applyBorder="1" applyAlignment="1">
      <alignment wrapText="1"/>
    </xf>
    <xf numFmtId="168" fontId="57" fillId="0" borderId="52" xfId="155" applyNumberFormat="1" applyFont="1" applyBorder="1" applyAlignment="1">
      <alignment wrapText="1"/>
    </xf>
    <xf numFmtId="3" fontId="57" fillId="0" borderId="0" xfId="0" applyNumberFormat="1" applyFont="1" applyAlignment="1">
      <alignment wrapText="1"/>
    </xf>
    <xf numFmtId="170" fontId="57" fillId="0" borderId="0" xfId="154" applyNumberFormat="1" applyFont="1" applyAlignment="1">
      <alignment wrapText="1"/>
    </xf>
    <xf numFmtId="168" fontId="57" fillId="0" borderId="0" xfId="155" applyNumberFormat="1" applyFont="1" applyAlignment="1">
      <alignment wrapText="1"/>
    </xf>
    <xf numFmtId="10" fontId="57" fillId="0" borderId="52" xfId="155" applyNumberFormat="1" applyFont="1" applyBorder="1" applyAlignment="1">
      <alignment wrapText="1"/>
    </xf>
    <xf numFmtId="43" fontId="57" fillId="0" borderId="0" xfId="154" applyFont="1" applyAlignment="1">
      <alignment horizontal="center" wrapText="1"/>
    </xf>
    <xf numFmtId="4" fontId="57" fillId="0" borderId="0" xfId="0" applyNumberFormat="1" applyFont="1" applyAlignment="1">
      <alignment wrapText="1"/>
    </xf>
    <xf numFmtId="0" fontId="57" fillId="0" borderId="25" xfId="0" applyFont="1" applyBorder="1" applyAlignment="1">
      <alignment wrapText="1"/>
    </xf>
    <xf numFmtId="10" fontId="57" fillId="0" borderId="0" xfId="155" applyNumberFormat="1" applyFont="1" applyAlignment="1">
      <alignment wrapText="1"/>
    </xf>
    <xf numFmtId="0" fontId="57" fillId="0" borderId="0" xfId="0" applyFont="1" applyAlignment="1">
      <alignment wrapText="1"/>
    </xf>
    <xf numFmtId="173" fontId="57" fillId="0" borderId="0" xfId="0" applyNumberFormat="1" applyFont="1" applyAlignment="1">
      <alignment wrapText="1"/>
    </xf>
    <xf numFmtId="170" fontId="57" fillId="0" borderId="23" xfId="154" applyNumberFormat="1" applyFont="1" applyBorder="1" applyAlignment="1">
      <alignment wrapText="1"/>
    </xf>
    <xf numFmtId="0" fontId="57" fillId="0" borderId="62" xfId="0" applyFont="1" applyBorder="1" applyAlignment="1">
      <alignment horizontal="left" wrapText="1" indent="1"/>
    </xf>
    <xf numFmtId="170" fontId="57" fillId="0" borderId="28" xfId="0" applyNumberFormat="1" applyFont="1" applyBorder="1"/>
    <xf numFmtId="43" fontId="57" fillId="33" borderId="0" xfId="154" applyFont="1" applyFill="1" applyAlignment="1">
      <alignment wrapText="1"/>
    </xf>
    <xf numFmtId="0" fontId="57" fillId="36" borderId="0" xfId="0" applyFont="1" applyFill="1" applyAlignment="1">
      <alignment wrapText="1"/>
    </xf>
    <xf numFmtId="43" fontId="57" fillId="36" borderId="0" xfId="154" applyFont="1" applyFill="1" applyAlignment="1">
      <alignment wrapText="1"/>
    </xf>
    <xf numFmtId="0" fontId="57" fillId="33" borderId="23" xfId="0" applyFont="1" applyFill="1" applyBorder="1" applyAlignment="1">
      <alignment wrapText="1"/>
    </xf>
    <xf numFmtId="170" fontId="57" fillId="0" borderId="28" xfId="0" applyNumberFormat="1" applyFont="1" applyBorder="1" applyAlignment="1">
      <alignment wrapText="1"/>
    </xf>
    <xf numFmtId="0" fontId="57" fillId="0" borderId="75" xfId="0" applyFont="1" applyBorder="1" applyAlignment="1">
      <alignment horizontal="left" wrapText="1" indent="1"/>
    </xf>
    <xf numFmtId="0" fontId="57" fillId="0" borderId="34" xfId="0" applyFont="1" applyBorder="1"/>
    <xf numFmtId="3" fontId="57" fillId="33" borderId="33" xfId="0" applyNumberFormat="1" applyFont="1" applyFill="1" applyBorder="1" applyAlignment="1">
      <alignment wrapText="1"/>
    </xf>
    <xf numFmtId="3" fontId="57" fillId="33" borderId="47" xfId="0" applyNumberFormat="1" applyFont="1" applyFill="1" applyBorder="1" applyAlignment="1">
      <alignment wrapText="1"/>
    </xf>
    <xf numFmtId="0" fontId="57" fillId="0" borderId="1" xfId="0" applyFont="1" applyBorder="1"/>
    <xf numFmtId="170" fontId="57" fillId="33" borderId="1" xfId="154" applyNumberFormat="1" applyFont="1" applyFill="1" applyBorder="1" applyAlignment="1">
      <alignment wrapText="1"/>
    </xf>
    <xf numFmtId="170" fontId="57" fillId="33" borderId="33" xfId="154" applyNumberFormat="1" applyFont="1" applyFill="1" applyBorder="1" applyAlignment="1">
      <alignment wrapText="1"/>
    </xf>
    <xf numFmtId="170" fontId="57" fillId="0" borderId="47" xfId="154" applyNumberFormat="1" applyFont="1" applyBorder="1"/>
    <xf numFmtId="170" fontId="57" fillId="0" borderId="1" xfId="154" applyNumberFormat="1" applyFont="1" applyBorder="1"/>
    <xf numFmtId="0" fontId="57" fillId="33" borderId="33" xfId="0" applyFont="1" applyFill="1" applyBorder="1" applyAlignment="1">
      <alignment wrapText="1"/>
    </xf>
    <xf numFmtId="168" fontId="57" fillId="33" borderId="47" xfId="155" applyNumberFormat="1" applyFont="1" applyFill="1" applyBorder="1" applyAlignment="1">
      <alignment wrapText="1"/>
    </xf>
    <xf numFmtId="3" fontId="57" fillId="36" borderId="1" xfId="0" applyNumberFormat="1" applyFont="1" applyFill="1" applyBorder="1" applyAlignment="1">
      <alignment wrapText="1"/>
    </xf>
    <xf numFmtId="43" fontId="57" fillId="33" borderId="1" xfId="154" applyFont="1" applyFill="1" applyBorder="1" applyAlignment="1">
      <alignment wrapText="1"/>
    </xf>
    <xf numFmtId="0" fontId="57" fillId="36" borderId="1" xfId="0" applyFont="1" applyFill="1" applyBorder="1" applyAlignment="1">
      <alignment wrapText="1"/>
    </xf>
    <xf numFmtId="168" fontId="57" fillId="33" borderId="1" xfId="155" applyNumberFormat="1" applyFont="1" applyFill="1" applyBorder="1" applyAlignment="1">
      <alignment wrapText="1"/>
    </xf>
    <xf numFmtId="10" fontId="57" fillId="33" borderId="47" xfId="155" applyNumberFormat="1" applyFont="1" applyFill="1" applyBorder="1" applyAlignment="1">
      <alignment wrapText="1"/>
    </xf>
    <xf numFmtId="43" fontId="57" fillId="36" borderId="1" xfId="154" applyFont="1" applyFill="1" applyBorder="1" applyAlignment="1">
      <alignment wrapText="1"/>
    </xf>
    <xf numFmtId="170" fontId="57" fillId="36" borderId="1" xfId="154" applyNumberFormat="1" applyFont="1" applyFill="1" applyBorder="1" applyAlignment="1">
      <alignment wrapText="1"/>
    </xf>
    <xf numFmtId="0" fontId="57" fillId="33" borderId="1" xfId="0" applyFont="1" applyFill="1" applyBorder="1" applyAlignment="1">
      <alignment wrapText="1"/>
    </xf>
    <xf numFmtId="43" fontId="57" fillId="36" borderId="1" xfId="154" applyFont="1" applyFill="1" applyBorder="1" applyAlignment="1">
      <alignment horizontal="center" wrapText="1"/>
    </xf>
    <xf numFmtId="10" fontId="57" fillId="33" borderId="1" xfId="155" applyNumberFormat="1" applyFont="1" applyFill="1" applyBorder="1" applyAlignment="1">
      <alignment wrapText="1"/>
    </xf>
    <xf numFmtId="0" fontId="57" fillId="33" borderId="71" xfId="0" applyFont="1" applyFill="1" applyBorder="1" applyAlignment="1">
      <alignment wrapText="1"/>
    </xf>
    <xf numFmtId="0" fontId="0" fillId="33" borderId="28" xfId="0" applyFill="1" applyBorder="1"/>
    <xf numFmtId="0" fontId="0" fillId="0" borderId="41" xfId="0" applyBorder="1" applyAlignment="1">
      <alignment wrapText="1"/>
    </xf>
    <xf numFmtId="0" fontId="0" fillId="0" borderId="51" xfId="0" applyBorder="1" applyAlignment="1">
      <alignment wrapText="1"/>
    </xf>
    <xf numFmtId="170" fontId="0" fillId="0" borderId="42" xfId="154" applyNumberFormat="1" applyFont="1" applyBorder="1"/>
    <xf numFmtId="0" fontId="0" fillId="0" borderId="79" xfId="0" applyBorder="1" applyAlignment="1">
      <alignment wrapText="1"/>
    </xf>
    <xf numFmtId="170" fontId="1" fillId="0" borderId="0" xfId="154" applyNumberFormat="1" applyFont="1"/>
    <xf numFmtId="43" fontId="0" fillId="0" borderId="0" xfId="154" applyFont="1"/>
    <xf numFmtId="170" fontId="0" fillId="0" borderId="23" xfId="154" applyNumberFormat="1" applyFont="1" applyBorder="1"/>
    <xf numFmtId="0" fontId="0" fillId="33" borderId="25" xfId="0" applyFill="1" applyBorder="1" applyAlignment="1">
      <alignment wrapText="1"/>
    </xf>
    <xf numFmtId="0" fontId="0" fillId="0" borderId="28" xfId="0" applyBorder="1" applyAlignment="1">
      <alignment wrapText="1"/>
    </xf>
    <xf numFmtId="170" fontId="1" fillId="2" borderId="0" xfId="154" applyNumberFormat="1" applyFont="1" applyFill="1"/>
    <xf numFmtId="0" fontId="0" fillId="33" borderId="52" xfId="0" applyFill="1" applyBorder="1"/>
    <xf numFmtId="0" fontId="0" fillId="0" borderId="75" xfId="0" applyBorder="1" applyAlignment="1">
      <alignment wrapText="1"/>
    </xf>
    <xf numFmtId="0" fontId="0" fillId="0" borderId="34" xfId="0" applyBorder="1"/>
    <xf numFmtId="0" fontId="0" fillId="0" borderId="33" xfId="0" applyBorder="1" applyAlignment="1">
      <alignment wrapText="1"/>
    </xf>
    <xf numFmtId="0" fontId="0" fillId="0" borderId="47" xfId="0" applyBorder="1"/>
    <xf numFmtId="0" fontId="0" fillId="0" borderId="34" xfId="0" applyBorder="1" applyAlignment="1">
      <alignment wrapText="1"/>
    </xf>
    <xf numFmtId="170" fontId="0" fillId="0" borderId="1" xfId="154" applyNumberFormat="1" applyFont="1" applyBorder="1"/>
    <xf numFmtId="0" fontId="0" fillId="0" borderId="71" xfId="0" applyBorder="1"/>
    <xf numFmtId="0" fontId="1" fillId="0" borderId="48" xfId="0" applyFont="1" applyBorder="1" applyAlignment="1">
      <alignment wrapText="1"/>
    </xf>
    <xf numFmtId="0" fontId="1" fillId="0" borderId="29" xfId="0" applyFont="1" applyBorder="1"/>
    <xf numFmtId="3" fontId="1" fillId="0" borderId="81" xfId="0" applyNumberFormat="1" applyFont="1" applyBorder="1" applyAlignment="1">
      <alignment wrapText="1"/>
    </xf>
    <xf numFmtId="3" fontId="1" fillId="0" borderId="72" xfId="0" applyNumberFormat="1" applyFont="1" applyBorder="1" applyAlignment="1">
      <alignment wrapText="1"/>
    </xf>
    <xf numFmtId="3" fontId="1" fillId="0" borderId="36" xfId="0" applyNumberFormat="1" applyFont="1" applyBorder="1" applyAlignment="1">
      <alignment wrapText="1"/>
    </xf>
    <xf numFmtId="0" fontId="1" fillId="0" borderId="68" xfId="0" applyFont="1" applyBorder="1" applyAlignment="1">
      <alignment wrapText="1"/>
    </xf>
    <xf numFmtId="0" fontId="1" fillId="0" borderId="69" xfId="0" applyFont="1" applyBorder="1" applyAlignment="1">
      <alignment wrapText="1"/>
    </xf>
    <xf numFmtId="0" fontId="1" fillId="0" borderId="69" xfId="0" applyFont="1" applyBorder="1"/>
    <xf numFmtId="3" fontId="1" fillId="0" borderId="69" xfId="0" applyNumberFormat="1" applyFont="1" applyBorder="1" applyAlignment="1">
      <alignment wrapText="1"/>
    </xf>
    <xf numFmtId="3" fontId="1" fillId="0" borderId="82" xfId="0" applyNumberFormat="1" applyFont="1" applyBorder="1" applyAlignment="1">
      <alignment wrapText="1"/>
    </xf>
    <xf numFmtId="0" fontId="1" fillId="0" borderId="74" xfId="0" applyFont="1" applyBorder="1" applyAlignment="1">
      <alignment wrapText="1"/>
    </xf>
    <xf numFmtId="0" fontId="1" fillId="0" borderId="68" xfId="0" applyFont="1" applyBorder="1"/>
    <xf numFmtId="3" fontId="1" fillId="0" borderId="70" xfId="0" applyNumberFormat="1" applyFont="1" applyBorder="1" applyAlignment="1">
      <alignment wrapText="1"/>
    </xf>
    <xf numFmtId="3" fontId="0" fillId="0" borderId="0" xfId="0" applyNumberFormat="1" applyAlignment="1">
      <alignment wrapText="1"/>
    </xf>
    <xf numFmtId="0" fontId="50" fillId="0" borderId="62" xfId="0" applyFont="1" applyBorder="1"/>
    <xf numFmtId="0" fontId="52" fillId="0" borderId="0" xfId="0" applyFont="1" applyAlignment="1">
      <alignment wrapText="1"/>
    </xf>
    <xf numFmtId="0" fontId="58" fillId="0" borderId="43" xfId="0" applyFont="1" applyBorder="1"/>
    <xf numFmtId="0" fontId="58" fillId="0" borderId="59" xfId="0" applyFont="1" applyBorder="1"/>
    <xf numFmtId="0" fontId="58" fillId="0" borderId="35" xfId="0" applyFont="1" applyBorder="1"/>
    <xf numFmtId="0" fontId="58" fillId="0" borderId="85" xfId="0" applyFont="1" applyBorder="1"/>
    <xf numFmtId="0" fontId="58" fillId="0" borderId="32" xfId="0" applyFont="1" applyBorder="1"/>
    <xf numFmtId="0" fontId="0" fillId="0" borderId="0" xfId="0" applyAlignment="1">
      <alignment horizontal="center" wrapText="1"/>
    </xf>
    <xf numFmtId="0" fontId="0" fillId="0" borderId="60" xfId="0" applyBorder="1"/>
    <xf numFmtId="168" fontId="57" fillId="34" borderId="52" xfId="155" applyNumberFormat="1" applyFont="1" applyFill="1" applyBorder="1" applyAlignment="1">
      <alignment wrapText="1"/>
    </xf>
    <xf numFmtId="3" fontId="57" fillId="33" borderId="0" xfId="0" applyNumberFormat="1" applyFont="1" applyFill="1" applyAlignment="1">
      <alignment wrapText="1"/>
    </xf>
    <xf numFmtId="173" fontId="57" fillId="34" borderId="0" xfId="0" applyNumberFormat="1" applyFont="1" applyFill="1" applyAlignment="1">
      <alignment horizontal="center" wrapText="1"/>
    </xf>
    <xf numFmtId="166" fontId="57" fillId="33" borderId="0" xfId="0" applyNumberFormat="1" applyFont="1" applyFill="1" applyAlignment="1">
      <alignment wrapText="1"/>
    </xf>
    <xf numFmtId="168" fontId="57" fillId="34" borderId="0" xfId="155" applyNumberFormat="1" applyFont="1" applyFill="1" applyAlignment="1">
      <alignment wrapText="1"/>
    </xf>
    <xf numFmtId="2" fontId="57" fillId="34" borderId="0" xfId="0" applyNumberFormat="1" applyFont="1" applyFill="1" applyAlignment="1">
      <alignment horizontal="right" wrapText="1"/>
    </xf>
    <xf numFmtId="171" fontId="57" fillId="34" borderId="0" xfId="154" applyNumberFormat="1" applyFont="1" applyFill="1" applyAlignment="1">
      <alignment horizontal="right" wrapText="1"/>
    </xf>
    <xf numFmtId="9" fontId="57" fillId="34" borderId="52" xfId="155" applyFont="1" applyFill="1" applyBorder="1" applyAlignment="1">
      <alignment wrapText="1"/>
    </xf>
    <xf numFmtId="171" fontId="57" fillId="34" borderId="0" xfId="154" applyNumberFormat="1" applyFont="1" applyFill="1" applyAlignment="1">
      <alignment horizontal="center" wrapText="1"/>
    </xf>
    <xf numFmtId="9" fontId="57" fillId="34" borderId="0" xfId="155" applyFont="1" applyFill="1" applyAlignment="1">
      <alignment wrapText="1"/>
    </xf>
    <xf numFmtId="0" fontId="57" fillId="34" borderId="0" xfId="0" applyFont="1" applyFill="1" applyAlignment="1">
      <alignment wrapText="1"/>
    </xf>
    <xf numFmtId="166" fontId="57" fillId="34" borderId="0" xfId="0" applyNumberFormat="1" applyFont="1" applyFill="1" applyAlignment="1">
      <alignment wrapText="1"/>
    </xf>
    <xf numFmtId="173" fontId="57" fillId="32" borderId="0" xfId="0" applyNumberFormat="1" applyFont="1" applyFill="1" applyAlignment="1">
      <alignment wrapText="1"/>
    </xf>
    <xf numFmtId="173" fontId="57" fillId="34" borderId="0" xfId="0" applyNumberFormat="1" applyFont="1" applyFill="1" applyAlignment="1">
      <alignment horizontal="right" wrapText="1"/>
    </xf>
    <xf numFmtId="174" fontId="57" fillId="34" borderId="0" xfId="154" applyNumberFormat="1" applyFont="1" applyFill="1" applyAlignment="1">
      <alignment wrapText="1"/>
    </xf>
    <xf numFmtId="3" fontId="57" fillId="0" borderId="34" xfId="0" applyNumberFormat="1" applyFont="1" applyBorder="1" applyAlignment="1">
      <alignment wrapText="1"/>
    </xf>
    <xf numFmtId="168" fontId="57" fillId="32" borderId="52" xfId="155" applyNumberFormat="1" applyFont="1" applyFill="1" applyBorder="1" applyAlignment="1">
      <alignment wrapText="1"/>
    </xf>
    <xf numFmtId="0" fontId="57" fillId="33" borderId="0" xfId="0" applyFont="1" applyFill="1" applyAlignment="1">
      <alignment horizontal="right" wrapText="1"/>
    </xf>
    <xf numFmtId="9" fontId="57" fillId="32" borderId="52" xfId="155" applyFont="1" applyFill="1" applyBorder="1" applyAlignment="1">
      <alignment wrapText="1"/>
    </xf>
    <xf numFmtId="43" fontId="57" fillId="33" borderId="0" xfId="154" applyFont="1" applyFill="1" applyAlignment="1">
      <alignment horizontal="center" wrapText="1"/>
    </xf>
    <xf numFmtId="9" fontId="57" fillId="33" borderId="52" xfId="155" applyFont="1" applyFill="1" applyBorder="1" applyAlignment="1">
      <alignment wrapText="1"/>
    </xf>
    <xf numFmtId="9" fontId="57" fillId="33" borderId="0" xfId="155" applyFont="1" applyFill="1" applyAlignment="1">
      <alignment wrapText="1"/>
    </xf>
    <xf numFmtId="10" fontId="0" fillId="0" borderId="0" xfId="0" applyNumberFormat="1"/>
    <xf numFmtId="0" fontId="57" fillId="33" borderId="0" xfId="0" applyFont="1" applyFill="1" applyAlignment="1">
      <alignment horizontal="center" wrapText="1"/>
    </xf>
    <xf numFmtId="167" fontId="57" fillId="33" borderId="0" xfId="0" applyNumberFormat="1" applyFont="1" applyFill="1" applyAlignment="1">
      <alignment wrapText="1"/>
    </xf>
    <xf numFmtId="3" fontId="57" fillId="33" borderId="37" xfId="0" applyNumberFormat="1" applyFont="1" applyFill="1" applyBorder="1" applyAlignment="1">
      <alignment wrapText="1"/>
    </xf>
    <xf numFmtId="0" fontId="0" fillId="33" borderId="39" xfId="0" applyFill="1" applyBorder="1"/>
    <xf numFmtId="170" fontId="57" fillId="33" borderId="39" xfId="154" applyNumberFormat="1" applyFont="1" applyFill="1" applyBorder="1" applyAlignment="1">
      <alignment wrapText="1"/>
    </xf>
    <xf numFmtId="3" fontId="57" fillId="33" borderId="38" xfId="0" applyNumberFormat="1" applyFont="1" applyFill="1" applyBorder="1" applyAlignment="1">
      <alignment wrapText="1"/>
    </xf>
    <xf numFmtId="170" fontId="0" fillId="33" borderId="37" xfId="154" applyNumberFormat="1" applyFont="1" applyFill="1" applyBorder="1"/>
    <xf numFmtId="170" fontId="57" fillId="33" borderId="38" xfId="154" applyNumberFormat="1" applyFont="1" applyFill="1" applyBorder="1" applyAlignment="1">
      <alignment wrapText="1"/>
    </xf>
    <xf numFmtId="3" fontId="57" fillId="33" borderId="39" xfId="0" applyNumberFormat="1" applyFont="1" applyFill="1" applyBorder="1" applyAlignment="1">
      <alignment wrapText="1"/>
    </xf>
    <xf numFmtId="0" fontId="57" fillId="33" borderId="66" xfId="0" applyFont="1" applyFill="1" applyBorder="1" applyAlignment="1">
      <alignment wrapText="1"/>
    </xf>
    <xf numFmtId="168" fontId="59" fillId="33" borderId="52" xfId="155" applyNumberFormat="1" applyFont="1" applyFill="1" applyBorder="1" applyAlignment="1">
      <alignment wrapText="1"/>
    </xf>
    <xf numFmtId="3" fontId="0" fillId="33" borderId="0" xfId="0" applyNumberFormat="1" applyFill="1" applyAlignment="1">
      <alignment wrapText="1"/>
    </xf>
    <xf numFmtId="168" fontId="59" fillId="33" borderId="0" xfId="155" applyNumberFormat="1" applyFont="1" applyFill="1" applyAlignment="1">
      <alignment wrapText="1"/>
    </xf>
    <xf numFmtId="170" fontId="0" fillId="33" borderId="0" xfId="154" applyNumberFormat="1" applyFont="1" applyFill="1" applyAlignment="1">
      <alignment wrapText="1"/>
    </xf>
    <xf numFmtId="0" fontId="0" fillId="33" borderId="62" xfId="0" applyFill="1" applyBorder="1" applyAlignment="1">
      <alignment wrapText="1"/>
    </xf>
    <xf numFmtId="175" fontId="59" fillId="33" borderId="52" xfId="155" applyNumberFormat="1" applyFont="1" applyFill="1" applyBorder="1" applyAlignment="1">
      <alignment wrapText="1"/>
    </xf>
    <xf numFmtId="175" fontId="59" fillId="33" borderId="0" xfId="155" applyNumberFormat="1" applyFont="1" applyFill="1" applyAlignment="1">
      <alignment wrapText="1"/>
    </xf>
    <xf numFmtId="176" fontId="0" fillId="33" borderId="0" xfId="0" applyNumberFormat="1" applyFill="1" applyAlignment="1">
      <alignment wrapText="1"/>
    </xf>
    <xf numFmtId="9" fontId="57" fillId="33" borderId="51" xfId="155" applyFont="1" applyFill="1" applyBorder="1" applyAlignment="1">
      <alignment wrapText="1"/>
    </xf>
    <xf numFmtId="3" fontId="0" fillId="33" borderId="51" xfId="0" applyNumberFormat="1" applyFill="1" applyBorder="1" applyAlignment="1">
      <alignment wrapText="1"/>
    </xf>
    <xf numFmtId="0" fontId="0" fillId="33" borderId="51" xfId="0" applyFill="1" applyBorder="1" applyAlignment="1">
      <alignment wrapText="1"/>
    </xf>
    <xf numFmtId="0" fontId="0" fillId="33" borderId="86" xfId="0" applyFill="1" applyBorder="1" applyAlignment="1">
      <alignment wrapText="1"/>
    </xf>
    <xf numFmtId="3" fontId="57" fillId="0" borderId="52" xfId="0" applyNumberFormat="1" applyFont="1" applyBorder="1" applyAlignment="1">
      <alignment wrapText="1"/>
    </xf>
    <xf numFmtId="168" fontId="59" fillId="0" borderId="52" xfId="155" applyNumberFormat="1" applyFont="1" applyBorder="1" applyAlignment="1">
      <alignment wrapText="1"/>
    </xf>
    <xf numFmtId="168" fontId="59" fillId="0" borderId="0" xfId="155" applyNumberFormat="1" applyFont="1" applyAlignment="1">
      <alignment wrapText="1"/>
    </xf>
    <xf numFmtId="175" fontId="59" fillId="0" borderId="52" xfId="155" applyNumberFormat="1" applyFont="1" applyBorder="1" applyAlignment="1">
      <alignment wrapText="1"/>
    </xf>
    <xf numFmtId="175" fontId="59" fillId="0" borderId="0" xfId="155" applyNumberFormat="1" applyFont="1" applyAlignment="1">
      <alignment wrapText="1"/>
    </xf>
    <xf numFmtId="9" fontId="57" fillId="0" borderId="0" xfId="155" applyFont="1" applyAlignment="1">
      <alignment wrapText="1"/>
    </xf>
    <xf numFmtId="0" fontId="0" fillId="0" borderId="23" xfId="0" applyBorder="1" applyAlignment="1">
      <alignment wrapText="1"/>
    </xf>
    <xf numFmtId="3" fontId="57" fillId="33" borderId="1" xfId="0" applyNumberFormat="1" applyFont="1" applyFill="1" applyBorder="1" applyAlignment="1">
      <alignment wrapText="1"/>
    </xf>
    <xf numFmtId="0" fontId="0" fillId="33" borderId="47" xfId="0" applyFill="1" applyBorder="1"/>
    <xf numFmtId="170" fontId="1" fillId="0" borderId="69" xfId="154" applyNumberFormat="1" applyFont="1" applyBorder="1" applyAlignment="1">
      <alignment wrapText="1"/>
    </xf>
    <xf numFmtId="170" fontId="1" fillId="0" borderId="70" xfId="154" applyNumberFormat="1" applyFont="1" applyBorder="1" applyAlignment="1">
      <alignment wrapText="1"/>
    </xf>
    <xf numFmtId="0" fontId="51" fillId="33" borderId="0" xfId="0" applyFont="1" applyFill="1" applyAlignment="1">
      <alignment vertical="center"/>
    </xf>
    <xf numFmtId="3" fontId="48" fillId="33" borderId="0" xfId="0" applyNumberFormat="1" applyFont="1" applyFill="1"/>
    <xf numFmtId="0" fontId="0" fillId="33" borderId="0" xfId="0" applyFill="1" applyAlignment="1">
      <alignment horizontal="center" vertical="center"/>
    </xf>
    <xf numFmtId="0" fontId="0" fillId="33" borderId="0" xfId="0" applyFill="1" applyAlignment="1">
      <alignment horizontal="left" vertical="top" wrapText="1" indent="8"/>
    </xf>
    <xf numFmtId="0" fontId="0" fillId="33" borderId="0" xfId="0" applyFill="1" applyAlignment="1">
      <alignment horizontal="left" wrapText="1"/>
    </xf>
    <xf numFmtId="0" fontId="0" fillId="33" borderId="41" xfId="0" applyFill="1" applyBorder="1" applyAlignment="1">
      <alignment horizontal="center" vertical="center" wrapText="1"/>
    </xf>
    <xf numFmtId="0" fontId="0" fillId="33" borderId="42" xfId="0" applyFill="1" applyBorder="1" applyAlignment="1">
      <alignment horizontal="center" vertical="center" wrapText="1"/>
    </xf>
    <xf numFmtId="0" fontId="0" fillId="33" borderId="47" xfId="0" applyFill="1" applyBorder="1" applyAlignment="1">
      <alignment horizontal="center" vertical="center" wrapText="1"/>
    </xf>
    <xf numFmtId="0" fontId="0" fillId="33" borderId="33" xfId="0" applyFill="1" applyBorder="1" applyAlignment="1">
      <alignment horizontal="center" vertical="center" wrapText="1"/>
    </xf>
    <xf numFmtId="0" fontId="0" fillId="33" borderId="45" xfId="0" applyFill="1" applyBorder="1" applyAlignment="1">
      <alignment horizontal="center" vertical="center" wrapText="1"/>
    </xf>
    <xf numFmtId="0" fontId="0" fillId="33" borderId="46" xfId="0" applyFill="1" applyBorder="1" applyAlignment="1">
      <alignment horizontal="center" vertical="center" wrapText="1"/>
    </xf>
    <xf numFmtId="0" fontId="0" fillId="33" borderId="49" xfId="0" applyFill="1" applyBorder="1" applyAlignment="1">
      <alignment horizontal="center" vertical="center" wrapText="1"/>
    </xf>
    <xf numFmtId="0" fontId="0" fillId="33" borderId="50" xfId="0" applyFill="1" applyBorder="1" applyAlignment="1">
      <alignment horizontal="center" vertical="center" wrapText="1"/>
    </xf>
    <xf numFmtId="0" fontId="0" fillId="33" borderId="43" xfId="0" applyFill="1" applyBorder="1" applyAlignment="1">
      <alignment horizontal="center" vertical="center" wrapText="1"/>
    </xf>
    <xf numFmtId="0" fontId="0" fillId="33" borderId="44" xfId="0" applyFill="1" applyBorder="1" applyAlignment="1">
      <alignment horizontal="center" vertical="center" wrapText="1"/>
    </xf>
    <xf numFmtId="0" fontId="0" fillId="33" borderId="48" xfId="0" applyFill="1" applyBorder="1" applyAlignment="1">
      <alignment horizontal="center" vertical="center" wrapText="1"/>
    </xf>
    <xf numFmtId="0" fontId="0" fillId="33" borderId="24" xfId="0" applyFill="1" applyBorder="1" applyAlignment="1">
      <alignment horizontal="center" vertical="center" wrapText="1"/>
    </xf>
    <xf numFmtId="0" fontId="0" fillId="33" borderId="0" xfId="0" applyFill="1" applyAlignment="1">
      <alignment horizontal="left" vertical="top" wrapText="1"/>
    </xf>
    <xf numFmtId="0" fontId="0" fillId="0" borderId="52" xfId="0" applyBorder="1" applyAlignment="1">
      <alignment horizontal="left" vertical="top" wrapText="1"/>
    </xf>
    <xf numFmtId="0" fontId="0" fillId="0" borderId="0" xfId="0" applyAlignment="1">
      <alignment horizontal="left" vertical="top" wrapText="1"/>
    </xf>
    <xf numFmtId="0" fontId="0" fillId="0" borderId="25" xfId="0" applyBorder="1" applyAlignment="1">
      <alignment horizontal="left" vertical="top" wrapText="1"/>
    </xf>
    <xf numFmtId="0" fontId="0" fillId="0" borderId="58" xfId="0" applyBorder="1" applyAlignment="1">
      <alignment horizontal="center" wrapText="1"/>
    </xf>
    <xf numFmtId="0" fontId="0" fillId="0" borderId="35" xfId="0" applyBorder="1" applyAlignment="1">
      <alignment horizontal="center" wrapText="1"/>
    </xf>
    <xf numFmtId="0" fontId="0" fillId="0" borderId="32" xfId="0" applyBorder="1" applyAlignment="1">
      <alignment horizontal="center" wrapText="1"/>
    </xf>
    <xf numFmtId="0" fontId="1" fillId="0" borderId="57" xfId="0" applyFont="1" applyBorder="1" applyAlignment="1">
      <alignment horizontal="left" wrapText="1"/>
    </xf>
    <xf numFmtId="0" fontId="1" fillId="0" borderId="0" xfId="0" applyFont="1" applyAlignment="1">
      <alignment horizontal="left" wrapText="1"/>
    </xf>
    <xf numFmtId="0" fontId="1" fillId="0" borderId="1" xfId="0" applyFont="1" applyBorder="1" applyAlignment="1">
      <alignment horizontal="left" wrapText="1"/>
    </xf>
    <xf numFmtId="0" fontId="0" fillId="0" borderId="79" xfId="0" applyBorder="1" applyAlignment="1">
      <alignment horizontal="center" wrapText="1"/>
    </xf>
    <xf numFmtId="0" fontId="0" fillId="0" borderId="34" xfId="0" applyBorder="1" applyAlignment="1">
      <alignment horizontal="center" wrapText="1"/>
    </xf>
    <xf numFmtId="0" fontId="0" fillId="0" borderId="42" xfId="0" applyBorder="1" applyAlignment="1">
      <alignment horizontal="center" wrapText="1"/>
    </xf>
    <xf numFmtId="0" fontId="0" fillId="0" borderId="33" xfId="0" applyBorder="1" applyAlignment="1">
      <alignment horizontal="center" wrapText="1"/>
    </xf>
    <xf numFmtId="0" fontId="58" fillId="0" borderId="37" xfId="0" applyFont="1" applyBorder="1" applyAlignment="1">
      <alignment horizontal="center"/>
    </xf>
    <xf numFmtId="0" fontId="58" fillId="0" borderId="39" xfId="0" applyFont="1" applyBorder="1" applyAlignment="1">
      <alignment horizontal="center"/>
    </xf>
    <xf numFmtId="0" fontId="58" fillId="0" borderId="38" xfId="0" applyFont="1" applyBorder="1" applyAlignment="1">
      <alignment horizontal="center"/>
    </xf>
    <xf numFmtId="0" fontId="0" fillId="0" borderId="83" xfId="0" applyBorder="1" applyAlignment="1">
      <alignment horizontal="center" wrapText="1"/>
    </xf>
    <xf numFmtId="0" fontId="0" fillId="0" borderId="84" xfId="0" applyBorder="1" applyAlignment="1">
      <alignment horizontal="center" wrapText="1"/>
    </xf>
    <xf numFmtId="0" fontId="58" fillId="0" borderId="59" xfId="0" applyFont="1" applyBorder="1" applyAlignment="1">
      <alignment horizontal="center"/>
    </xf>
    <xf numFmtId="0" fontId="58" fillId="0" borderId="35" xfId="0" applyFont="1" applyBorder="1" applyAlignment="1">
      <alignment horizontal="center"/>
    </xf>
    <xf numFmtId="0" fontId="58" fillId="0" borderId="85" xfId="0" applyFont="1" applyBorder="1" applyAlignment="1">
      <alignment horizontal="center"/>
    </xf>
    <xf numFmtId="0" fontId="0" fillId="0" borderId="52" xfId="0" applyBorder="1" applyAlignment="1">
      <alignment horizontal="center" vertical="top" wrapText="1"/>
    </xf>
    <xf numFmtId="0" fontId="0" fillId="0" borderId="0" xfId="0" applyAlignment="1">
      <alignment horizontal="center" vertical="top" wrapText="1"/>
    </xf>
    <xf numFmtId="0" fontId="0" fillId="0" borderId="25" xfId="0" applyBorder="1" applyAlignment="1">
      <alignment horizontal="center" vertical="top" wrapText="1"/>
    </xf>
    <xf numFmtId="177" fontId="62" fillId="0" borderId="0" xfId="156" applyFont="1"/>
    <xf numFmtId="177" fontId="62" fillId="0" borderId="0" xfId="156" applyFont="1" applyAlignment="1">
      <alignment horizontal="left"/>
    </xf>
    <xf numFmtId="177" fontId="62" fillId="0" borderId="0" xfId="156" applyFont="1" applyBorder="1"/>
    <xf numFmtId="177" fontId="62" fillId="0" borderId="0" xfId="156" applyFont="1" applyBorder="1" applyAlignment="1">
      <alignment horizontal="left"/>
    </xf>
    <xf numFmtId="177" fontId="62" fillId="0" borderId="0" xfId="156" applyFont="1" applyAlignment="1">
      <alignment horizontal="right"/>
    </xf>
    <xf numFmtId="177" fontId="62" fillId="0" borderId="0" xfId="156" applyFont="1" applyAlignment="1"/>
    <xf numFmtId="177" fontId="62" fillId="0" borderId="0" xfId="156" applyFont="1" applyBorder="1" applyAlignment="1">
      <alignment horizontal="right"/>
    </xf>
    <xf numFmtId="177" fontId="62" fillId="0" borderId="0" xfId="156" applyFont="1" applyAlignment="1">
      <alignment horizontal="justify" vertical="top" wrapText="1"/>
    </xf>
    <xf numFmtId="49" fontId="62" fillId="0" borderId="0" xfId="156" applyNumberFormat="1" applyFont="1" applyAlignment="1">
      <alignment horizontal="left" vertical="top" indent="2"/>
    </xf>
    <xf numFmtId="177" fontId="62" fillId="0" borderId="0" xfId="156" applyFont="1" applyBorder="1" applyAlignment="1">
      <alignment horizontal="left" vertical="top" wrapText="1"/>
    </xf>
    <xf numFmtId="177" fontId="63" fillId="0" borderId="0" xfId="156" applyFont="1" applyAlignment="1">
      <alignment horizontal="justify" vertical="top" wrapText="1"/>
    </xf>
    <xf numFmtId="49" fontId="62" fillId="0" borderId="0" xfId="156" applyNumberFormat="1" applyFont="1" applyAlignment="1">
      <alignment horizontal="left" vertical="top" indent="1"/>
    </xf>
    <xf numFmtId="177" fontId="62" fillId="0" borderId="0" xfId="156" applyAlignment="1">
      <alignment horizontal="justify" vertical="top" wrapText="1"/>
    </xf>
    <xf numFmtId="49" fontId="62" fillId="0" borderId="0" xfId="156" quotePrefix="1" applyNumberFormat="1" applyFont="1" applyAlignment="1">
      <alignment horizontal="left" vertical="top" indent="2"/>
    </xf>
    <xf numFmtId="49" fontId="62" fillId="0" borderId="0" xfId="156" quotePrefix="1" applyNumberFormat="1" applyFont="1" applyAlignment="1">
      <alignment horizontal="left" vertical="top" indent="1"/>
    </xf>
    <xf numFmtId="177" fontId="62" fillId="0" borderId="0" xfId="156" applyFont="1" applyAlignment="1">
      <alignment horizontal="justify" vertical="top"/>
    </xf>
    <xf numFmtId="177" fontId="63" fillId="0" borderId="0" xfId="156" quotePrefix="1" applyFont="1" applyAlignment="1">
      <alignment vertical="top"/>
    </xf>
    <xf numFmtId="177" fontId="63" fillId="0" borderId="0" xfId="156" quotePrefix="1" applyFont="1" applyAlignment="1">
      <alignment horizontal="justify" vertical="top"/>
    </xf>
    <xf numFmtId="177" fontId="62" fillId="0" borderId="0" xfId="156" applyAlignment="1">
      <alignment wrapText="1"/>
    </xf>
    <xf numFmtId="177" fontId="62" fillId="0" borderId="0" xfId="156" applyFont="1" applyAlignment="1">
      <alignment horizontal="left" vertical="center" wrapText="1"/>
    </xf>
    <xf numFmtId="49" fontId="62" fillId="0" borderId="0" xfId="156" applyNumberFormat="1" applyFont="1" applyAlignment="1">
      <alignment horizontal="left" vertical="center" indent="2"/>
    </xf>
    <xf numFmtId="177" fontId="63" fillId="0" borderId="0" xfId="156" applyFont="1" applyAlignment="1">
      <alignment horizontal="left" vertical="center" wrapText="1"/>
    </xf>
    <xf numFmtId="49" fontId="62" fillId="0" borderId="0" xfId="156" applyNumberFormat="1" applyFont="1" applyAlignment="1">
      <alignment horizontal="left" vertical="center" indent="1"/>
    </xf>
    <xf numFmtId="49" fontId="62" fillId="0" borderId="0" xfId="156" applyNumberFormat="1" applyFont="1" applyAlignment="1">
      <alignment horizontal="left" indent="2"/>
    </xf>
    <xf numFmtId="49" fontId="62" fillId="0" borderId="0" xfId="156" applyNumberFormat="1" applyFont="1" applyAlignment="1">
      <alignment horizontal="left" indent="1"/>
    </xf>
    <xf numFmtId="177" fontId="62" fillId="0" borderId="0" xfId="156" applyFont="1" applyAlignment="1">
      <alignment horizontal="justify" vertical="top" wrapText="1"/>
    </xf>
    <xf numFmtId="177" fontId="62" fillId="0" borderId="0" xfId="156" applyFont="1" applyBorder="1" applyAlignment="1"/>
    <xf numFmtId="177" fontId="62" fillId="0" borderId="0" xfId="156" applyFont="1" applyAlignment="1">
      <alignment horizontal="left" vertical="top"/>
    </xf>
    <xf numFmtId="177" fontId="62" fillId="0" borderId="0" xfId="156" applyFont="1" applyAlignment="1">
      <alignment horizontal="left" vertical="top"/>
    </xf>
    <xf numFmtId="177" fontId="63" fillId="0" borderId="0" xfId="156" applyFont="1" applyAlignment="1">
      <alignment horizontal="left" vertical="top"/>
    </xf>
    <xf numFmtId="177" fontId="62" fillId="0" borderId="0" xfId="156" applyFont="1" applyAlignment="1">
      <alignment horizontal="justify" vertical="top"/>
    </xf>
    <xf numFmtId="177" fontId="62" fillId="0" borderId="0" xfId="156" applyFont="1" applyBorder="1" applyAlignment="1">
      <alignment horizontal="justify" vertical="top"/>
    </xf>
    <xf numFmtId="177" fontId="62" fillId="0" borderId="0" xfId="156" quotePrefix="1" applyFont="1" applyAlignment="1">
      <alignment horizontal="left"/>
    </xf>
    <xf numFmtId="177" fontId="62" fillId="0" borderId="0" xfId="156" applyFont="1" applyAlignment="1">
      <alignment vertical="top"/>
    </xf>
    <xf numFmtId="177" fontId="62" fillId="0" borderId="0" xfId="156" applyFont="1" applyBorder="1" applyAlignment="1">
      <alignment horizontal="left" vertical="top"/>
    </xf>
    <xf numFmtId="177" fontId="62" fillId="0" borderId="0" xfId="156" applyFont="1" applyBorder="1" applyAlignment="1">
      <alignment horizontal="right" vertical="top"/>
    </xf>
    <xf numFmtId="177" fontId="63" fillId="0" borderId="0" xfId="156" applyFont="1" applyAlignment="1"/>
    <xf numFmtId="177" fontId="62" fillId="0" borderId="0" xfId="156" applyFont="1" applyAlignment="1">
      <alignment horizontal="left"/>
    </xf>
    <xf numFmtId="177" fontId="62" fillId="0" borderId="0" xfId="156" quotePrefix="1" applyFont="1" applyAlignment="1">
      <alignment horizontal="left" indent="4"/>
    </xf>
    <xf numFmtId="177" fontId="63" fillId="0" borderId="0" xfId="156" quotePrefix="1" applyFont="1" applyAlignment="1">
      <alignment horizontal="left"/>
    </xf>
    <xf numFmtId="177" fontId="62" fillId="0" borderId="0" xfId="156" applyFont="1" applyAlignment="1">
      <alignment vertical="center"/>
    </xf>
    <xf numFmtId="177" fontId="62" fillId="0" borderId="87" xfId="156" applyFont="1" applyBorder="1" applyAlignment="1">
      <alignment vertical="center"/>
    </xf>
    <xf numFmtId="178" fontId="62" fillId="0" borderId="88" xfId="156" applyNumberFormat="1" applyFont="1" applyBorder="1" applyAlignment="1" applyProtection="1">
      <alignment horizontal="right" vertical="center" indent="1"/>
    </xf>
    <xf numFmtId="178" fontId="62" fillId="0" borderId="87" xfId="156" applyNumberFormat="1" applyFont="1" applyBorder="1" applyAlignment="1" applyProtection="1">
      <alignment horizontal="right" vertical="center" indent="1"/>
    </xf>
    <xf numFmtId="179" fontId="62" fillId="0" borderId="87" xfId="156" applyNumberFormat="1" applyFont="1" applyBorder="1" applyAlignment="1">
      <alignment horizontal="left" vertical="center"/>
    </xf>
    <xf numFmtId="179" fontId="62" fillId="0" borderId="89" xfId="156" applyNumberFormat="1" applyFont="1" applyBorder="1" applyAlignment="1">
      <alignment horizontal="right" vertical="center"/>
    </xf>
    <xf numFmtId="180" fontId="62" fillId="0" borderId="87" xfId="156" applyNumberFormat="1" applyFont="1" applyBorder="1" applyAlignment="1" applyProtection="1">
      <alignment horizontal="right" vertical="center"/>
    </xf>
    <xf numFmtId="180" fontId="62" fillId="0" borderId="89" xfId="156" applyNumberFormat="1" applyFont="1" applyBorder="1" applyAlignment="1" applyProtection="1">
      <alignment horizontal="right" vertical="center"/>
    </xf>
    <xf numFmtId="177" fontId="62" fillId="0" borderId="89" xfId="156" applyFont="1" applyBorder="1" applyAlignment="1">
      <alignment horizontal="left" vertical="center"/>
    </xf>
    <xf numFmtId="177" fontId="62" fillId="0" borderId="89" xfId="156" applyFont="1" applyBorder="1" applyAlignment="1">
      <alignment vertical="center"/>
    </xf>
    <xf numFmtId="177" fontId="64" fillId="0" borderId="90" xfId="156" applyFont="1" applyBorder="1" applyAlignment="1">
      <alignment vertical="center"/>
    </xf>
    <xf numFmtId="181" fontId="62" fillId="0" borderId="91" xfId="156" applyNumberFormat="1" applyFont="1" applyBorder="1" applyAlignment="1">
      <alignment vertical="center"/>
    </xf>
    <xf numFmtId="181" fontId="62" fillId="0" borderId="89" xfId="156" applyNumberFormat="1" applyFont="1" applyBorder="1" applyAlignment="1">
      <alignment vertical="center"/>
    </xf>
    <xf numFmtId="178" fontId="62" fillId="0" borderId="89" xfId="156" applyNumberFormat="1" applyFont="1" applyBorder="1" applyAlignment="1" applyProtection="1">
      <alignment horizontal="right" vertical="center" indent="1"/>
    </xf>
    <xf numFmtId="182" fontId="62" fillId="0" borderId="87" xfId="156" applyNumberFormat="1" applyFont="1" applyBorder="1" applyAlignment="1" applyProtection="1">
      <alignment horizontal="left" vertical="center"/>
    </xf>
    <xf numFmtId="178" fontId="62" fillId="0" borderId="88" xfId="156" applyNumberFormat="1" applyFont="1" applyBorder="1" applyAlignment="1" applyProtection="1">
      <alignment vertical="center"/>
    </xf>
    <xf numFmtId="183" fontId="62" fillId="0" borderId="89" xfId="156" applyNumberFormat="1" applyFont="1" applyBorder="1" applyAlignment="1" applyProtection="1">
      <alignment horizontal="right" vertical="center"/>
    </xf>
    <xf numFmtId="177" fontId="63" fillId="0" borderId="88" xfId="156" applyFont="1" applyBorder="1" applyAlignment="1">
      <alignment vertical="center"/>
    </xf>
    <xf numFmtId="177" fontId="62" fillId="32" borderId="0" xfId="156" applyFont="1" applyFill="1" applyBorder="1" applyAlignment="1">
      <alignment vertical="center"/>
    </xf>
    <xf numFmtId="177" fontId="62" fillId="0" borderId="92" xfId="156" applyFont="1" applyBorder="1" applyAlignment="1">
      <alignment vertical="center"/>
    </xf>
    <xf numFmtId="178" fontId="62" fillId="0" borderId="93" xfId="156" applyNumberFormat="1" applyFont="1" applyBorder="1" applyAlignment="1" applyProtection="1">
      <alignment horizontal="right" vertical="center" indent="1"/>
    </xf>
    <xf numFmtId="178" fontId="62" fillId="0" borderId="94" xfId="156" applyNumberFormat="1" applyFont="1" applyBorder="1" applyAlignment="1" applyProtection="1">
      <alignment horizontal="right" vertical="center" indent="1"/>
    </xf>
    <xf numFmtId="182" fontId="62" fillId="0" borderId="95" xfId="156" applyNumberFormat="1" applyFont="1" applyBorder="1" applyAlignment="1">
      <alignment horizontal="left" vertical="center"/>
    </xf>
    <xf numFmtId="182" fontId="62" fillId="0" borderId="96" xfId="156" applyNumberFormat="1" applyFont="1" applyBorder="1" applyAlignment="1">
      <alignment horizontal="right" vertical="center"/>
    </xf>
    <xf numFmtId="178" fontId="62" fillId="0" borderId="92" xfId="156" applyNumberFormat="1" applyFont="1" applyBorder="1" applyAlignment="1" applyProtection="1">
      <alignment horizontal="right" vertical="center" indent="1"/>
    </xf>
    <xf numFmtId="178" fontId="62" fillId="0" borderId="97" xfId="156" applyNumberFormat="1" applyFont="1" applyBorder="1" applyAlignment="1" applyProtection="1">
      <alignment horizontal="right" vertical="center" indent="1"/>
    </xf>
    <xf numFmtId="178" fontId="62" fillId="0" borderId="98" xfId="156" applyNumberFormat="1" applyFont="1" applyBorder="1" applyAlignment="1" applyProtection="1">
      <alignment horizontal="right" vertical="center" indent="1"/>
    </xf>
    <xf numFmtId="177" fontId="62" fillId="0" borderId="96" xfId="156" applyFont="1" applyBorder="1" applyAlignment="1">
      <alignment vertical="center"/>
    </xf>
    <xf numFmtId="177" fontId="64" fillId="0" borderId="99" xfId="156" quotePrefix="1" applyFont="1" applyBorder="1" applyAlignment="1">
      <alignment horizontal="left" vertical="center"/>
    </xf>
    <xf numFmtId="184" fontId="62" fillId="0" borderId="100" xfId="156" applyNumberFormat="1" applyFont="1" applyBorder="1" applyAlignment="1" applyProtection="1">
      <alignment horizontal="right" vertical="center" indent="1"/>
    </xf>
    <xf numFmtId="184" fontId="62" fillId="0" borderId="101" xfId="156" applyNumberFormat="1" applyFont="1" applyBorder="1" applyAlignment="1" applyProtection="1">
      <alignment horizontal="right" vertical="center"/>
    </xf>
    <xf numFmtId="184" fontId="62" fillId="0" borderId="95" xfId="156" applyNumberFormat="1" applyFont="1" applyBorder="1" applyAlignment="1" applyProtection="1">
      <alignment horizontal="right" vertical="center" indent="1"/>
    </xf>
    <xf numFmtId="182" fontId="62" fillId="0" borderId="94" xfId="156" applyNumberFormat="1" applyFont="1" applyFill="1" applyBorder="1" applyAlignment="1">
      <alignment horizontal="left" vertical="center"/>
    </xf>
    <xf numFmtId="185" fontId="62" fillId="0" borderId="93" xfId="156" applyNumberFormat="1" applyFont="1" applyBorder="1" applyAlignment="1">
      <alignment horizontal="right" vertical="center"/>
    </xf>
    <xf numFmtId="182" fontId="62" fillId="0" borderId="94" xfId="156" applyNumberFormat="1" applyFont="1" applyBorder="1" applyAlignment="1" applyProtection="1">
      <alignment horizontal="left" vertical="center"/>
    </xf>
    <xf numFmtId="178" fontId="62" fillId="0" borderId="102" xfId="156" applyNumberFormat="1" applyFont="1" applyBorder="1" applyAlignment="1" applyProtection="1">
      <alignment vertical="center"/>
    </xf>
    <xf numFmtId="182" fontId="62" fillId="0" borderId="98" xfId="156" applyNumberFormat="1" applyFont="1" applyBorder="1" applyAlignment="1" applyProtection="1">
      <alignment horizontal="left" vertical="center"/>
    </xf>
    <xf numFmtId="183" fontId="62" fillId="0" borderId="103" xfId="156" applyNumberFormat="1" applyFont="1" applyBorder="1" applyAlignment="1" applyProtection="1">
      <alignment horizontal="right" vertical="center"/>
    </xf>
    <xf numFmtId="177" fontId="62" fillId="0" borderId="95" xfId="156" applyFont="1" applyBorder="1" applyAlignment="1">
      <alignment vertical="center"/>
    </xf>
    <xf numFmtId="177" fontId="62" fillId="0" borderId="102" xfId="156" applyFont="1" applyBorder="1" applyAlignment="1">
      <alignment vertical="center"/>
    </xf>
    <xf numFmtId="177" fontId="63" fillId="0" borderId="104" xfId="156" applyFont="1" applyBorder="1" applyAlignment="1">
      <alignment vertical="center"/>
    </xf>
    <xf numFmtId="182" fontId="62" fillId="0" borderId="105" xfId="156" applyNumberFormat="1" applyFont="1" applyBorder="1" applyAlignment="1">
      <alignment horizontal="left" vertical="center"/>
    </xf>
    <xf numFmtId="182" fontId="62" fillId="0" borderId="106" xfId="156" applyNumberFormat="1" applyFont="1" applyBorder="1" applyAlignment="1">
      <alignment horizontal="right" vertical="center"/>
    </xf>
    <xf numFmtId="178" fontId="62" fillId="0" borderId="107" xfId="156" applyNumberFormat="1" applyFont="1" applyBorder="1" applyAlignment="1" applyProtection="1">
      <alignment horizontal="right" vertical="center" indent="1"/>
    </xf>
    <xf numFmtId="178" fontId="62" fillId="0" borderId="101" xfId="156" applyNumberFormat="1" applyFont="1" applyBorder="1" applyAlignment="1" applyProtection="1">
      <alignment horizontal="right" vertical="center" indent="1"/>
    </xf>
    <xf numFmtId="177" fontId="62" fillId="0" borderId="106" xfId="156" applyFont="1" applyBorder="1" applyAlignment="1">
      <alignment vertical="center"/>
    </xf>
    <xf numFmtId="177" fontId="64" fillId="0" borderId="108" xfId="156" quotePrefix="1" applyFont="1" applyBorder="1" applyAlignment="1">
      <alignment horizontal="left" vertical="center"/>
    </xf>
    <xf numFmtId="182" fontId="62" fillId="0" borderId="109" xfId="156" applyNumberFormat="1" applyFont="1" applyFill="1" applyBorder="1" applyAlignment="1" applyProtection="1">
      <alignment horizontal="left" vertical="center"/>
    </xf>
    <xf numFmtId="178" fontId="62" fillId="0" borderId="97" xfId="156" applyNumberFormat="1" applyFont="1" applyBorder="1" applyAlignment="1" applyProtection="1">
      <alignment horizontal="right" vertical="center"/>
    </xf>
    <xf numFmtId="182" fontId="62" fillId="0" borderId="107" xfId="156" applyNumberFormat="1" applyFont="1" applyFill="1" applyBorder="1" applyAlignment="1" applyProtection="1">
      <alignment horizontal="left" vertical="center"/>
    </xf>
    <xf numFmtId="183" fontId="62" fillId="0" borderId="97" xfId="156" applyNumberFormat="1" applyFont="1" applyBorder="1" applyAlignment="1" applyProtection="1">
      <alignment horizontal="right" vertical="center"/>
    </xf>
    <xf numFmtId="182" fontId="62" fillId="0" borderId="107" xfId="156" applyNumberFormat="1" applyFont="1" applyBorder="1" applyAlignment="1" applyProtection="1">
      <alignment horizontal="left" vertical="center"/>
    </xf>
    <xf numFmtId="178" fontId="62" fillId="0" borderId="97" xfId="156" applyNumberFormat="1" applyFont="1" applyBorder="1" applyAlignment="1" applyProtection="1">
      <alignment vertical="center"/>
    </xf>
    <xf numFmtId="178" fontId="62" fillId="0" borderId="93" xfId="156" applyNumberFormat="1" applyFont="1" applyBorder="1" applyAlignment="1" applyProtection="1">
      <alignment vertical="center"/>
    </xf>
    <xf numFmtId="182" fontId="62" fillId="0" borderId="105" xfId="156" applyNumberFormat="1" applyFont="1" applyBorder="1" applyAlignment="1" applyProtection="1">
      <alignment horizontal="left" vertical="center"/>
    </xf>
    <xf numFmtId="183" fontId="62" fillId="0" borderId="106" xfId="156" applyNumberFormat="1" applyFont="1" applyBorder="1" applyAlignment="1" applyProtection="1">
      <alignment horizontal="right" vertical="center"/>
    </xf>
    <xf numFmtId="177" fontId="62" fillId="0" borderId="110" xfId="156" applyFont="1" applyBorder="1" applyAlignment="1">
      <alignment vertical="center"/>
    </xf>
    <xf numFmtId="177" fontId="63" fillId="0" borderId="110" xfId="156" applyFont="1" applyBorder="1" applyAlignment="1">
      <alignment vertical="center"/>
    </xf>
    <xf numFmtId="177" fontId="62" fillId="0" borderId="105" xfId="156" applyFont="1" applyBorder="1" applyAlignment="1">
      <alignment vertical="center"/>
    </xf>
    <xf numFmtId="180" fontId="62" fillId="0" borderId="111" xfId="156" applyNumberFormat="1" applyFont="1" applyBorder="1" applyAlignment="1" applyProtection="1">
      <alignment horizontal="right" vertical="center"/>
    </xf>
    <xf numFmtId="180" fontId="62" fillId="0" borderId="105" xfId="156" applyNumberFormat="1" applyFont="1" applyBorder="1" applyAlignment="1" applyProtection="1">
      <alignment horizontal="right" vertical="center"/>
    </xf>
    <xf numFmtId="180" fontId="62" fillId="0" borderId="12" xfId="156" applyNumberFormat="1" applyFont="1" applyBorder="1" applyAlignment="1" applyProtection="1">
      <alignment horizontal="right" vertical="center"/>
    </xf>
    <xf numFmtId="182" fontId="62" fillId="0" borderId="0" xfId="156" applyNumberFormat="1" applyFont="1" applyBorder="1" applyAlignment="1">
      <alignment horizontal="right" vertical="center"/>
    </xf>
    <xf numFmtId="182" fontId="62" fillId="0" borderId="12" xfId="156" applyNumberFormat="1" applyFont="1" applyBorder="1" applyAlignment="1">
      <alignment horizontal="right" vertical="center"/>
    </xf>
    <xf numFmtId="177" fontId="62" fillId="0" borderId="12" xfId="156" applyFont="1" applyBorder="1" applyAlignment="1">
      <alignment vertical="center"/>
    </xf>
    <xf numFmtId="177" fontId="64" fillId="0" borderId="112" xfId="156" applyFont="1" applyBorder="1" applyAlignment="1">
      <alignment vertical="center"/>
    </xf>
    <xf numFmtId="181" fontId="62" fillId="0" borderId="113" xfId="156" applyNumberFormat="1" applyFont="1" applyBorder="1" applyAlignment="1">
      <alignment vertical="center"/>
    </xf>
    <xf numFmtId="181" fontId="62" fillId="0" borderId="111" xfId="156" applyNumberFormat="1" applyFont="1" applyBorder="1" applyAlignment="1">
      <alignment horizontal="right" vertical="center"/>
    </xf>
    <xf numFmtId="181" fontId="62" fillId="0" borderId="105" xfId="156" applyNumberFormat="1" applyFont="1" applyBorder="1" applyAlignment="1">
      <alignment vertical="center"/>
    </xf>
    <xf numFmtId="177" fontId="62" fillId="0" borderId="105" xfId="156" applyFont="1" applyFill="1" applyBorder="1" applyAlignment="1">
      <alignment horizontal="left" vertical="center"/>
    </xf>
    <xf numFmtId="177" fontId="62" fillId="0" borderId="111" xfId="156" applyFont="1" applyBorder="1" applyAlignment="1">
      <alignment horizontal="right" vertical="center"/>
    </xf>
    <xf numFmtId="180" fontId="62" fillId="0" borderId="111" xfId="156" applyNumberFormat="1" applyFont="1" applyBorder="1" applyAlignment="1" applyProtection="1">
      <alignment vertical="center"/>
    </xf>
    <xf numFmtId="180" fontId="62" fillId="0" borderId="92" xfId="156" applyNumberFormat="1" applyFont="1" applyBorder="1" applyAlignment="1" applyProtection="1">
      <alignment horizontal="right" vertical="center"/>
    </xf>
    <xf numFmtId="180" fontId="62" fillId="0" borderId="97" xfId="156" applyNumberFormat="1" applyFont="1" applyBorder="1" applyAlignment="1" applyProtection="1">
      <alignment vertical="center"/>
    </xf>
    <xf numFmtId="177" fontId="62" fillId="0" borderId="105" xfId="156" applyFont="1" applyBorder="1" applyAlignment="1">
      <alignment horizontal="left" vertical="center"/>
    </xf>
    <xf numFmtId="177" fontId="62" fillId="0" borderId="12" xfId="156" applyFont="1" applyBorder="1" applyAlignment="1">
      <alignment horizontal="right" vertical="center"/>
    </xf>
    <xf numFmtId="177" fontId="62" fillId="0" borderId="111" xfId="156" applyFont="1" applyBorder="1" applyAlignment="1">
      <alignment vertical="center"/>
    </xf>
    <xf numFmtId="180" fontId="62" fillId="0" borderId="97" xfId="156" applyNumberFormat="1" applyFont="1" applyBorder="1" applyAlignment="1" applyProtection="1">
      <alignment horizontal="right" vertical="center"/>
    </xf>
    <xf numFmtId="180" fontId="62" fillId="0" borderId="0" xfId="156" applyNumberFormat="1" applyFont="1" applyBorder="1" applyAlignment="1" applyProtection="1">
      <alignment horizontal="right" vertical="center"/>
    </xf>
    <xf numFmtId="182" fontId="62" fillId="0" borderId="92" xfId="156" applyNumberFormat="1" applyFont="1" applyBorder="1" applyAlignment="1">
      <alignment horizontal="left" vertical="center"/>
    </xf>
    <xf numFmtId="177" fontId="62" fillId="0" borderId="0" xfId="156" applyFont="1" applyBorder="1" applyAlignment="1">
      <alignment vertical="center"/>
    </xf>
    <xf numFmtId="177" fontId="64" fillId="0" borderId="99" xfId="156" applyFont="1" applyBorder="1" applyAlignment="1">
      <alignment vertical="center"/>
    </xf>
    <xf numFmtId="180" fontId="62" fillId="0" borderId="114" xfId="156" applyNumberFormat="1" applyFont="1" applyBorder="1" applyAlignment="1" applyProtection="1">
      <alignment horizontal="right" vertical="center"/>
    </xf>
    <xf numFmtId="182" fontId="62" fillId="0" borderId="92" xfId="156" applyNumberFormat="1" applyFont="1" applyFill="1" applyBorder="1" applyAlignment="1" applyProtection="1">
      <alignment horizontal="left" vertical="center"/>
    </xf>
    <xf numFmtId="182" fontId="62" fillId="0" borderId="97" xfId="156" applyNumberFormat="1" applyFont="1" applyBorder="1" applyAlignment="1" applyProtection="1">
      <alignment horizontal="right" vertical="center"/>
    </xf>
    <xf numFmtId="182" fontId="62" fillId="0" borderId="92" xfId="156" applyNumberFormat="1" applyFont="1" applyBorder="1" applyAlignment="1" applyProtection="1">
      <alignment horizontal="left" vertical="center"/>
    </xf>
    <xf numFmtId="182" fontId="62" fillId="0" borderId="0" xfId="156" applyNumberFormat="1" applyFont="1" applyBorder="1" applyAlignment="1" applyProtection="1">
      <alignment horizontal="right" vertical="center"/>
    </xf>
    <xf numFmtId="177" fontId="62" fillId="0" borderId="92" xfId="156" applyFont="1" applyBorder="1" applyAlignment="1">
      <alignment horizontal="left" vertical="center"/>
    </xf>
    <xf numFmtId="177" fontId="62" fillId="0" borderId="0" xfId="156" applyFont="1" applyBorder="1" applyAlignment="1">
      <alignment horizontal="left" vertical="center"/>
    </xf>
    <xf numFmtId="177" fontId="62" fillId="0" borderId="97" xfId="156" applyFont="1" applyBorder="1" applyAlignment="1">
      <alignment horizontal="left" vertical="center"/>
    </xf>
    <xf numFmtId="177" fontId="62" fillId="0" borderId="115" xfId="156" applyFont="1" applyBorder="1" applyAlignment="1">
      <alignment vertical="center"/>
    </xf>
    <xf numFmtId="182" fontId="62" fillId="0" borderId="103" xfId="156" applyNumberFormat="1" applyFont="1" applyBorder="1" applyAlignment="1">
      <alignment horizontal="right" vertical="center"/>
    </xf>
    <xf numFmtId="177" fontId="62" fillId="0" borderId="103" xfId="156" applyFont="1" applyBorder="1" applyAlignment="1">
      <alignment vertical="center"/>
    </xf>
    <xf numFmtId="178" fontId="62" fillId="0" borderId="114" xfId="156" applyNumberFormat="1" applyFont="1" applyBorder="1" applyAlignment="1" applyProtection="1">
      <alignment horizontal="right" vertical="center" indent="1"/>
    </xf>
    <xf numFmtId="178" fontId="62" fillId="0" borderId="93" xfId="156" applyNumberFormat="1" applyFont="1" applyBorder="1" applyAlignment="1" applyProtection="1">
      <alignment horizontal="right" vertical="center"/>
    </xf>
    <xf numFmtId="178" fontId="62" fillId="0" borderId="115" xfId="156" applyNumberFormat="1" applyFont="1" applyBorder="1" applyAlignment="1" applyProtection="1">
      <alignment horizontal="right" vertical="center" indent="1"/>
    </xf>
    <xf numFmtId="183" fontId="62" fillId="0" borderId="0" xfId="156" applyNumberFormat="1" applyFont="1" applyBorder="1" applyAlignment="1" applyProtection="1">
      <alignment horizontal="right" vertical="center"/>
    </xf>
    <xf numFmtId="177" fontId="62" fillId="0" borderId="94" xfId="156" applyFont="1" applyBorder="1" applyAlignment="1">
      <alignment horizontal="left" vertical="center" wrapText="1"/>
    </xf>
    <xf numFmtId="177" fontId="62" fillId="0" borderId="103" xfId="156" applyFont="1" applyBorder="1" applyAlignment="1">
      <alignment horizontal="left" vertical="center" wrapText="1"/>
    </xf>
    <xf numFmtId="177" fontId="63" fillId="0" borderId="93" xfId="156" applyFont="1" applyBorder="1" applyAlignment="1">
      <alignment horizontal="left" vertical="center" wrapText="1"/>
    </xf>
    <xf numFmtId="177" fontId="64" fillId="0" borderId="116" xfId="156" quotePrefix="1" applyFont="1" applyFill="1" applyBorder="1" applyAlignment="1">
      <alignment horizontal="center"/>
    </xf>
    <xf numFmtId="177" fontId="64" fillId="0" borderId="117" xfId="156" quotePrefix="1" applyFont="1" applyFill="1" applyBorder="1" applyAlignment="1">
      <alignment horizontal="center"/>
    </xf>
    <xf numFmtId="177" fontId="66" fillId="0" borderId="116" xfId="156" applyFont="1" applyBorder="1" applyAlignment="1">
      <alignment horizontal="center" vertical="center" wrapText="1"/>
    </xf>
    <xf numFmtId="177" fontId="66" fillId="0" borderId="1" xfId="156" applyFont="1" applyBorder="1" applyAlignment="1">
      <alignment horizontal="center" vertical="center" wrapText="1"/>
    </xf>
    <xf numFmtId="177" fontId="64" fillId="0" borderId="116" xfId="156" applyFont="1" applyBorder="1" applyAlignment="1">
      <alignment horizontal="left"/>
    </xf>
    <xf numFmtId="177" fontId="64" fillId="0" borderId="1" xfId="156" applyFont="1" applyBorder="1" applyAlignment="1"/>
    <xf numFmtId="177" fontId="64" fillId="0" borderId="1" xfId="156" applyFont="1" applyBorder="1" applyAlignment="1">
      <alignment horizontal="center"/>
    </xf>
    <xf numFmtId="177" fontId="62" fillId="0" borderId="118" xfId="156" applyFont="1" applyBorder="1" applyAlignment="1"/>
    <xf numFmtId="177" fontId="64" fillId="0" borderId="119" xfId="156" quotePrefix="1" applyFont="1" applyFill="1" applyBorder="1" applyAlignment="1">
      <alignment horizontal="center"/>
    </xf>
    <xf numFmtId="177" fontId="62" fillId="0" borderId="116" xfId="156" applyFont="1" applyBorder="1" applyAlignment="1">
      <alignment horizontal="left" vertical="center"/>
    </xf>
    <xf numFmtId="177" fontId="62" fillId="0" borderId="117" xfId="156" applyFont="1" applyBorder="1" applyAlignment="1">
      <alignment horizontal="right" vertical="center"/>
    </xf>
    <xf numFmtId="177" fontId="64" fillId="0" borderId="116" xfId="156" applyFont="1" applyFill="1" applyBorder="1" applyAlignment="1">
      <alignment horizontal="left" vertical="center"/>
    </xf>
    <xf numFmtId="177" fontId="64" fillId="0" borderId="1" xfId="156" applyFont="1" applyFill="1" applyBorder="1" applyAlignment="1">
      <alignment horizontal="right" vertical="center"/>
    </xf>
    <xf numFmtId="177" fontId="62" fillId="0" borderId="120" xfId="156" applyFont="1" applyBorder="1" applyAlignment="1">
      <alignment horizontal="center" vertical="center" wrapText="1"/>
    </xf>
    <xf numFmtId="177" fontId="62" fillId="0" borderId="121" xfId="156" applyFont="1" applyBorder="1" applyAlignment="1">
      <alignment horizontal="center" vertical="center" wrapText="1"/>
    </xf>
    <xf numFmtId="177" fontId="64" fillId="0" borderId="94" xfId="156" quotePrefix="1" applyFont="1" applyFill="1" applyBorder="1" applyAlignment="1">
      <alignment horizontal="center"/>
    </xf>
    <xf numFmtId="177" fontId="64" fillId="0" borderId="93" xfId="156" quotePrefix="1" applyFont="1" applyFill="1" applyBorder="1" applyAlignment="1">
      <alignment horizontal="center"/>
    </xf>
    <xf numFmtId="177" fontId="66" fillId="0" borderId="92" xfId="156" applyFont="1" applyBorder="1" applyAlignment="1">
      <alignment horizontal="center" vertical="center" wrapText="1"/>
    </xf>
    <xf numFmtId="177" fontId="66" fillId="0" borderId="0" xfId="156" applyFont="1" applyBorder="1" applyAlignment="1">
      <alignment horizontal="center" vertical="center" wrapText="1"/>
    </xf>
    <xf numFmtId="177" fontId="64" fillId="0" borderId="92" xfId="156" applyFont="1" applyBorder="1" applyAlignment="1">
      <alignment horizontal="left"/>
    </xf>
    <xf numFmtId="177" fontId="64" fillId="0" borderId="0" xfId="156" applyFont="1" applyBorder="1" applyAlignment="1"/>
    <xf numFmtId="177" fontId="64" fillId="0" borderId="0" xfId="156" applyFont="1" applyBorder="1" applyAlignment="1">
      <alignment horizontal="center"/>
    </xf>
    <xf numFmtId="177" fontId="64" fillId="0" borderId="99" xfId="156" applyFont="1" applyBorder="1" applyAlignment="1">
      <alignment horizontal="center"/>
    </xf>
    <xf numFmtId="177" fontId="64" fillId="0" borderId="122" xfId="156" quotePrefix="1" applyFont="1" applyFill="1" applyBorder="1" applyAlignment="1">
      <alignment horizontal="center"/>
    </xf>
    <xf numFmtId="177" fontId="64" fillId="0" borderId="92" xfId="156" applyFont="1" applyFill="1" applyBorder="1" applyAlignment="1">
      <alignment horizontal="left" vertical="center"/>
    </xf>
    <xf numFmtId="177" fontId="64" fillId="0" borderId="93" xfId="156" applyFont="1" applyFill="1" applyBorder="1" applyAlignment="1">
      <alignment horizontal="right" vertical="center"/>
    </xf>
    <xf numFmtId="177" fontId="64" fillId="0" borderId="103" xfId="156" applyFont="1" applyFill="1" applyBorder="1" applyAlignment="1">
      <alignment horizontal="right" vertical="center"/>
    </xf>
    <xf numFmtId="177" fontId="62" fillId="0" borderId="110" xfId="156" applyFont="1" applyBorder="1" applyAlignment="1">
      <alignment horizontal="center" vertical="center" wrapText="1"/>
    </xf>
    <xf numFmtId="177" fontId="62" fillId="0" borderId="123" xfId="156" applyFont="1" applyBorder="1" applyAlignment="1">
      <alignment horizontal="center" vertical="center" wrapText="1"/>
    </xf>
    <xf numFmtId="177" fontId="64" fillId="0" borderId="105" xfId="156" applyFont="1" applyBorder="1" applyAlignment="1">
      <alignment horizontal="center" vertical="top"/>
    </xf>
    <xf numFmtId="177" fontId="64" fillId="0" borderId="12" xfId="156" applyFont="1" applyBorder="1" applyAlignment="1">
      <alignment horizontal="center" vertical="top"/>
    </xf>
    <xf numFmtId="177" fontId="64" fillId="0" borderId="111" xfId="156" applyFont="1" applyBorder="1" applyAlignment="1">
      <alignment horizontal="center" vertical="top"/>
    </xf>
    <xf numFmtId="177" fontId="66" fillId="0" borderId="0" xfId="156" applyFont="1" applyBorder="1" applyAlignment="1">
      <alignment horizontal="center"/>
    </xf>
    <xf numFmtId="177" fontId="62" fillId="0" borderId="99" xfId="156" applyFont="1" applyBorder="1" applyAlignment="1"/>
    <xf numFmtId="177" fontId="64" fillId="0" borderId="113" xfId="156" applyFont="1" applyBorder="1" applyAlignment="1">
      <alignment horizontal="center" vertical="top"/>
    </xf>
    <xf numFmtId="177" fontId="64" fillId="0" borderId="12" xfId="156" applyFont="1" applyBorder="1" applyAlignment="1">
      <alignment horizontal="centerContinuous" vertical="top" wrapText="1"/>
    </xf>
    <xf numFmtId="177" fontId="64" fillId="0" borderId="111" xfId="156" applyFont="1" applyBorder="1" applyAlignment="1">
      <alignment horizontal="centerContinuous" vertical="top" wrapText="1"/>
    </xf>
    <xf numFmtId="177" fontId="64" fillId="0" borderId="105" xfId="156" applyFont="1" applyBorder="1" applyAlignment="1">
      <alignment horizontal="center" vertical="top" wrapText="1"/>
    </xf>
    <xf numFmtId="177" fontId="64" fillId="0" borderId="111" xfId="156" applyFont="1" applyBorder="1" applyAlignment="1">
      <alignment horizontal="center" vertical="top" wrapText="1"/>
    </xf>
    <xf numFmtId="177" fontId="66" fillId="0" borderId="94" xfId="156" applyFont="1" applyBorder="1" applyAlignment="1">
      <alignment horizontal="center"/>
    </xf>
    <xf numFmtId="177" fontId="66" fillId="0" borderId="103" xfId="156" applyFont="1" applyBorder="1" applyAlignment="1">
      <alignment horizontal="center"/>
    </xf>
    <xf numFmtId="177" fontId="66" fillId="0" borderId="93" xfId="156" applyFont="1" applyBorder="1" applyAlignment="1">
      <alignment horizontal="center"/>
    </xf>
    <xf numFmtId="177" fontId="66" fillId="0" borderId="94" xfId="156" applyFont="1" applyBorder="1" applyAlignment="1">
      <alignment horizontal="center" vertical="center" wrapText="1"/>
    </xf>
    <xf numFmtId="177" fontId="66" fillId="0" borderId="103" xfId="156" applyFont="1" applyBorder="1" applyAlignment="1">
      <alignment horizontal="center" vertical="center" wrapText="1"/>
    </xf>
    <xf numFmtId="177" fontId="62" fillId="0" borderId="94" xfId="156" applyFont="1" applyBorder="1" applyAlignment="1">
      <alignment horizontal="left"/>
    </xf>
    <xf numFmtId="177" fontId="62" fillId="0" borderId="103" xfId="156" applyFont="1" applyBorder="1" applyAlignment="1"/>
    <xf numFmtId="177" fontId="64" fillId="0" borderId="124" xfId="156" applyFont="1" applyBorder="1" applyAlignment="1">
      <alignment horizontal="center" vertical="center" wrapText="1"/>
    </xf>
    <xf numFmtId="177" fontId="66" fillId="0" borderId="122" xfId="156" applyFont="1" applyBorder="1" applyAlignment="1">
      <alignment horizontal="center"/>
    </xf>
    <xf numFmtId="177" fontId="66" fillId="0" borderId="103" xfId="156" applyFont="1" applyBorder="1" applyAlignment="1">
      <alignment horizontal="centerContinuous"/>
    </xf>
    <xf numFmtId="177" fontId="66" fillId="0" borderId="93" xfId="156" applyFont="1" applyBorder="1" applyAlignment="1">
      <alignment horizontal="centerContinuous"/>
    </xf>
    <xf numFmtId="177" fontId="63" fillId="0" borderId="110" xfId="156" applyFont="1" applyBorder="1" applyAlignment="1">
      <alignment horizontal="center" vertical="center" wrapText="1"/>
    </xf>
    <xf numFmtId="177" fontId="63" fillId="0" borderId="125" xfId="156" applyFont="1" applyBorder="1" applyAlignment="1">
      <alignment horizontal="center" vertical="center" wrapText="1"/>
    </xf>
    <xf numFmtId="177" fontId="63" fillId="0" borderId="105" xfId="156" applyFont="1" applyBorder="1" applyAlignment="1">
      <alignment horizontal="center" vertical="center" wrapText="1"/>
    </xf>
    <xf numFmtId="177" fontId="63" fillId="0" borderId="12" xfId="156" applyFont="1" applyBorder="1" applyAlignment="1">
      <alignment horizontal="center" vertical="center" wrapText="1"/>
    </xf>
    <xf numFmtId="177" fontId="63" fillId="0" borderId="111" xfId="156" applyFont="1" applyBorder="1" applyAlignment="1">
      <alignment horizontal="center" vertical="center" wrapText="1"/>
    </xf>
    <xf numFmtId="177" fontId="63" fillId="0" borderId="112" xfId="156" applyFont="1" applyBorder="1" applyAlignment="1">
      <alignment horizontal="center" vertical="center" wrapText="1"/>
    </xf>
    <xf numFmtId="177" fontId="63" fillId="0" borderId="113" xfId="156" applyFont="1" applyBorder="1" applyAlignment="1">
      <alignment horizontal="center" vertical="center" wrapText="1"/>
    </xf>
    <xf numFmtId="177" fontId="62" fillId="0" borderId="126" xfId="156" applyFont="1" applyBorder="1" applyAlignment="1">
      <alignment horizontal="center" vertical="center" wrapText="1"/>
    </xf>
    <xf numFmtId="177" fontId="63" fillId="0" borderId="94" xfId="156" applyFont="1" applyBorder="1" applyAlignment="1">
      <alignment horizontal="center" vertical="center" wrapText="1"/>
    </xf>
    <xf numFmtId="177" fontId="63" fillId="0" borderId="103" xfId="156" applyFont="1" applyBorder="1" applyAlignment="1">
      <alignment horizontal="center" vertical="center" wrapText="1"/>
    </xf>
    <xf numFmtId="177" fontId="63" fillId="0" borderId="93" xfId="156" applyFont="1" applyBorder="1" applyAlignment="1">
      <alignment horizontal="center" vertical="center" wrapText="1"/>
    </xf>
    <xf numFmtId="177" fontId="63" fillId="0" borderId="124" xfId="156" applyFont="1" applyBorder="1" applyAlignment="1">
      <alignment horizontal="center" vertical="center" wrapText="1"/>
    </xf>
    <xf numFmtId="177" fontId="63" fillId="0" borderId="122" xfId="156" applyFont="1" applyBorder="1" applyAlignment="1">
      <alignment horizontal="center" vertical="center" wrapText="1"/>
    </xf>
    <xf numFmtId="177" fontId="62" fillId="0" borderId="125" xfId="156" applyFont="1" applyBorder="1" applyAlignment="1">
      <alignment horizontal="center" vertical="center" wrapText="1"/>
    </xf>
    <xf numFmtId="186" fontId="68" fillId="0" borderId="0" xfId="156" quotePrefix="1" applyNumberFormat="1" applyFont="1" applyAlignment="1">
      <alignment horizontal="right"/>
    </xf>
    <xf numFmtId="0" fontId="69" fillId="0" borderId="0" xfId="157" applyFont="1"/>
    <xf numFmtId="177" fontId="69" fillId="0" borderId="0" xfId="156" applyFont="1"/>
    <xf numFmtId="0" fontId="69" fillId="0" borderId="0" xfId="157" applyFont="1" applyAlignment="1">
      <alignment horizontal="left"/>
    </xf>
    <xf numFmtId="177" fontId="70" fillId="0" borderId="0" xfId="156" applyFont="1"/>
  </cellXfs>
  <cellStyles count="158">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xfId="154" builtinId="3"/>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2000000}"/>
    <cellStyle name="Hed Top - SECTION" xfId="70" xr:uid="{00000000-0005-0000-0000-000043000000}"/>
    <cellStyle name="Hed Top_3-new4" xfId="71" xr:uid="{00000000-0005-0000-0000-000044000000}"/>
    <cellStyle name="Hyperlink" xfId="1"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12" xfId="156" xr:uid="{72F4B5F9-AC01-4070-B613-4DF3F636AF69}"/>
    <cellStyle name="Normal 2" xfId="2" xr:uid="{00000000-0005-0000-0000-00004D000000}"/>
    <cellStyle name="Normal 2 2" xfId="78" xr:uid="{00000000-0005-0000-0000-00004E000000}"/>
    <cellStyle name="Normal 2 3" xfId="79" xr:uid="{00000000-0005-0000-0000-00004F000000}"/>
    <cellStyle name="Normal 3" xfId="3" xr:uid="{00000000-0005-0000-0000-000050000000}"/>
    <cellStyle name="Normal 3 2" xfId="80" xr:uid="{00000000-0005-0000-0000-000051000000}"/>
    <cellStyle name="Normal 3 2 2" xfId="81" xr:uid="{00000000-0005-0000-0000-000052000000}"/>
    <cellStyle name="Normal 3 2 2 2" xfId="82" xr:uid="{00000000-0005-0000-0000-000053000000}"/>
    <cellStyle name="Normal 3 2 3" xfId="83" xr:uid="{00000000-0005-0000-0000-000054000000}"/>
    <cellStyle name="Normal 3 3" xfId="84" xr:uid="{00000000-0005-0000-0000-000055000000}"/>
    <cellStyle name="Normal 3 3 2" xfId="85" xr:uid="{00000000-0005-0000-0000-000056000000}"/>
    <cellStyle name="Normal 3 3 2 2" xfId="86" xr:uid="{00000000-0005-0000-0000-000057000000}"/>
    <cellStyle name="Normal 3 3 3" xfId="87" xr:uid="{00000000-0005-0000-0000-000058000000}"/>
    <cellStyle name="Normal 3 4" xfId="88" xr:uid="{00000000-0005-0000-0000-000059000000}"/>
    <cellStyle name="Normal 3 4 2" xfId="89" xr:uid="{00000000-0005-0000-0000-00005A000000}"/>
    <cellStyle name="Normal 3 5" xfId="90" xr:uid="{00000000-0005-0000-0000-00005B000000}"/>
    <cellStyle name="Normal 3 6" xfId="91" xr:uid="{00000000-0005-0000-0000-00005C000000}"/>
    <cellStyle name="Normal 3 7" xfId="92" xr:uid="{00000000-0005-0000-0000-00005D000000}"/>
    <cellStyle name="Normal 4" xfId="93" xr:uid="{00000000-0005-0000-0000-00005E000000}"/>
    <cellStyle name="Normal 4 2" xfId="94" xr:uid="{00000000-0005-0000-0000-00005F000000}"/>
    <cellStyle name="Normal 4 2 2" xfId="95" xr:uid="{00000000-0005-0000-0000-000060000000}"/>
    <cellStyle name="Normal 4 2 2 2" xfId="96" xr:uid="{00000000-0005-0000-0000-000061000000}"/>
    <cellStyle name="Normal 4 2 3" xfId="97" xr:uid="{00000000-0005-0000-0000-000062000000}"/>
    <cellStyle name="Normal 4 3" xfId="98" xr:uid="{00000000-0005-0000-0000-000063000000}"/>
    <cellStyle name="Normal 4 3 2" xfId="99" xr:uid="{00000000-0005-0000-0000-000064000000}"/>
    <cellStyle name="Normal 4 3 2 2" xfId="100" xr:uid="{00000000-0005-0000-0000-000065000000}"/>
    <cellStyle name="Normal 4 3 3" xfId="101" xr:uid="{00000000-0005-0000-0000-000066000000}"/>
    <cellStyle name="Normal 4 4" xfId="102" xr:uid="{00000000-0005-0000-0000-000067000000}"/>
    <cellStyle name="Normal 4 4 2" xfId="103" xr:uid="{00000000-0005-0000-0000-000068000000}"/>
    <cellStyle name="Normal 4 5" xfId="104" xr:uid="{00000000-0005-0000-0000-000069000000}"/>
    <cellStyle name="Normal 4 6" xfId="105" xr:uid="{00000000-0005-0000-0000-00006A000000}"/>
    <cellStyle name="Normal 4 7" xfId="106" xr:uid="{00000000-0005-0000-0000-00006B000000}"/>
    <cellStyle name="Normal 5" xfId="107" xr:uid="{00000000-0005-0000-0000-00006C000000}"/>
    <cellStyle name="Normal 5 2" xfId="108" xr:uid="{00000000-0005-0000-0000-00006D000000}"/>
    <cellStyle name="Normal 5 3" xfId="109" xr:uid="{00000000-0005-0000-0000-00006E000000}"/>
    <cellStyle name="Normal 6" xfId="110" xr:uid="{00000000-0005-0000-0000-00006F000000}"/>
    <cellStyle name="Normal 6 2" xfId="111" xr:uid="{00000000-0005-0000-0000-000070000000}"/>
    <cellStyle name="Normal 7" xfId="112" xr:uid="{00000000-0005-0000-0000-000071000000}"/>
    <cellStyle name="Normal 7 2" xfId="113" xr:uid="{00000000-0005-0000-0000-000072000000}"/>
    <cellStyle name="Normal 8" xfId="114" xr:uid="{00000000-0005-0000-0000-000073000000}"/>
    <cellStyle name="Normal 9" xfId="115" xr:uid="{00000000-0005-0000-0000-000074000000}"/>
    <cellStyle name="Note 2" xfId="116" xr:uid="{00000000-0005-0000-0000-000075000000}"/>
    <cellStyle name="Note 2 2" xfId="117" xr:uid="{00000000-0005-0000-0000-000076000000}"/>
    <cellStyle name="Output 2" xfId="118" xr:uid="{00000000-0005-0000-0000-000077000000}"/>
    <cellStyle name="Parent row" xfId="119" xr:uid="{00000000-0005-0000-0000-000078000000}"/>
    <cellStyle name="Parent row 2" xfId="120" xr:uid="{00000000-0005-0000-0000-000079000000}"/>
    <cellStyle name="Percent" xfId="155" builtinId="5"/>
    <cellStyle name="Percent 2" xfId="121" xr:uid="{00000000-0005-0000-0000-00007A000000}"/>
    <cellStyle name="Percent 2 2" xfId="122" xr:uid="{00000000-0005-0000-0000-00007B000000}"/>
    <cellStyle name="Percent 3" xfId="123" xr:uid="{00000000-0005-0000-0000-00007C000000}"/>
    <cellStyle name="Percent 3 2" xfId="124" xr:uid="{00000000-0005-0000-0000-00007D000000}"/>
    <cellStyle name="Percent 4" xfId="125" xr:uid="{00000000-0005-0000-0000-00007E000000}"/>
    <cellStyle name="Reference" xfId="126" xr:uid="{00000000-0005-0000-0000-00007F000000}"/>
    <cellStyle name="Row heading" xfId="127" xr:uid="{00000000-0005-0000-0000-000080000000}"/>
    <cellStyle name="Source Hed" xfId="128" xr:uid="{00000000-0005-0000-0000-000081000000}"/>
    <cellStyle name="Source Letter" xfId="129" xr:uid="{00000000-0005-0000-0000-000082000000}"/>
    <cellStyle name="Source Superscript" xfId="130" xr:uid="{00000000-0005-0000-0000-000083000000}"/>
    <cellStyle name="Source Superscript 2" xfId="131" xr:uid="{00000000-0005-0000-0000-000084000000}"/>
    <cellStyle name="Source Text" xfId="132" xr:uid="{00000000-0005-0000-0000-000085000000}"/>
    <cellStyle name="Source Text 2" xfId="133" xr:uid="{00000000-0005-0000-0000-000086000000}"/>
    <cellStyle name="State" xfId="134" xr:uid="{00000000-0005-0000-0000-000087000000}"/>
    <cellStyle name="Superscript" xfId="135" xr:uid="{00000000-0005-0000-0000-000088000000}"/>
    <cellStyle name="Table Data" xfId="136" xr:uid="{00000000-0005-0000-0000-000089000000}"/>
    <cellStyle name="Table Head Top" xfId="137" xr:uid="{00000000-0005-0000-0000-00008A000000}"/>
    <cellStyle name="Table Hed Side" xfId="138" xr:uid="{00000000-0005-0000-0000-00008B000000}"/>
    <cellStyle name="Table title" xfId="139" xr:uid="{00000000-0005-0000-0000-00008C000000}"/>
    <cellStyle name="Table title 2" xfId="140" xr:uid="{00000000-0005-0000-0000-00008D000000}"/>
    <cellStyle name="Title 2" xfId="141" xr:uid="{00000000-0005-0000-0000-00008E000000}"/>
    <cellStyle name="Title Text" xfId="142" xr:uid="{00000000-0005-0000-0000-00008F000000}"/>
    <cellStyle name="Title Text 1" xfId="143" xr:uid="{00000000-0005-0000-0000-000090000000}"/>
    <cellStyle name="Title Text 2" xfId="144" xr:uid="{00000000-0005-0000-0000-000091000000}"/>
    <cellStyle name="Title-1" xfId="145" xr:uid="{00000000-0005-0000-0000-000092000000}"/>
    <cellStyle name="Title-2" xfId="146" xr:uid="{00000000-0005-0000-0000-000093000000}"/>
    <cellStyle name="Title-3" xfId="147" xr:uid="{00000000-0005-0000-0000-000094000000}"/>
    <cellStyle name="Total 2" xfId="148" xr:uid="{00000000-0005-0000-0000-000095000000}"/>
    <cellStyle name="Warning Text 2" xfId="149" xr:uid="{00000000-0005-0000-0000-000096000000}"/>
    <cellStyle name="Wrap" xfId="150" xr:uid="{00000000-0005-0000-0000-000097000000}"/>
    <cellStyle name="Wrap Bold" xfId="151" xr:uid="{00000000-0005-0000-0000-000098000000}"/>
    <cellStyle name="Wrap Title" xfId="152" xr:uid="{00000000-0005-0000-0000-000099000000}"/>
    <cellStyle name="Wrap_NTS99-~11" xfId="153" xr:uid="{00000000-0005-0000-0000-00009A000000}"/>
    <cellStyle name="一般_T1.2" xfId="157" xr:uid="{6296ED87-A23C-4E2E-B0D4-15F01B81CC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Fleet projection (PV)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2549956255468068"/>
                  <c:y val="-4.1666666666666669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[2]PV!$J$6:$J$11</c:f>
              <c:numCache>
                <c:formatCode>General</c:formatCode>
                <c:ptCount val="6"/>
                <c:pt idx="0">
                  <c:v>1</c:v>
                </c:pt>
                <c:pt idx="1">
                  <c:v>6</c:v>
                </c:pt>
                <c:pt idx="2">
                  <c:v>11</c:v>
                </c:pt>
                <c:pt idx="3">
                  <c:v>16</c:v>
                </c:pt>
                <c:pt idx="4">
                  <c:v>21</c:v>
                </c:pt>
                <c:pt idx="5">
                  <c:v>25</c:v>
                </c:pt>
              </c:numCache>
            </c:numRef>
          </c:xVal>
          <c:yVal>
            <c:numRef>
              <c:f>[2]PV!$L$6:$L$11</c:f>
              <c:numCache>
                <c:formatCode>General</c:formatCode>
                <c:ptCount val="6"/>
                <c:pt idx="0">
                  <c:v>530909</c:v>
                </c:pt>
                <c:pt idx="1">
                  <c:v>608435.10100000002</c:v>
                </c:pt>
                <c:pt idx="2">
                  <c:v>671016.90100000007</c:v>
                </c:pt>
                <c:pt idx="3">
                  <c:v>732926.40100000007</c:v>
                </c:pt>
                <c:pt idx="4">
                  <c:v>769948.30200000003</c:v>
                </c:pt>
                <c:pt idx="5">
                  <c:v>800920.902</c:v>
                </c:pt>
              </c:numCache>
            </c:numRef>
          </c:yVal>
          <c:smooth val="0"/>
          <c:extLst>
            <c:ext xmlns:c16="http://schemas.microsoft.com/office/drawing/2014/chart" uri="{C3380CC4-5D6E-409C-BE32-E72D297353CC}">
              <c16:uniqueId val="{00000001-6DD3-497F-A5F2-F654FBAD161E}"/>
            </c:ext>
          </c:extLst>
        </c:ser>
        <c:dLbls>
          <c:showLegendKey val="0"/>
          <c:showVal val="0"/>
          <c:showCatName val="0"/>
          <c:showSerName val="0"/>
          <c:showPercent val="0"/>
          <c:showBubbleSize val="0"/>
        </c:dLbls>
        <c:axId val="549656544"/>
        <c:axId val="691703056"/>
      </c:scatterChart>
      <c:valAx>
        <c:axId val="54965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3056"/>
        <c:crosses val="autoZero"/>
        <c:crossBetween val="midCat"/>
      </c:valAx>
      <c:valAx>
        <c:axId val="69170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56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sz="1400" b="0" i="0" u="none" strike="noStrike" baseline="0">
                <a:effectLst/>
              </a:rPr>
              <a:t> Fleet Size </a:t>
            </a:r>
            <a:r>
              <a:rPr lang="en-HK" sz="1400" b="0" i="0" u="none" strike="noStrike" baseline="0"/>
              <a:t> </a:t>
            </a:r>
            <a:endParaRPr lang="en-H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9"/>
            <c:dispRSqr val="1"/>
            <c:dispEq val="1"/>
            <c:trendlineLbl>
              <c:layout>
                <c:manualLayout>
                  <c:x val="-0.22671041119860016"/>
                  <c:y val="-2.650371828521434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'[2]Goods Vehicles'!$A$16:$A$40</c:f>
              <c:numCache>
                <c:formatCode>General</c:formatCode>
                <c:ptCount val="25"/>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numCache>
            </c:numRef>
          </c:xVal>
          <c:yVal>
            <c:numRef>
              <c:f>'[2]Goods Vehicles'!$E$16:$E$40</c:f>
              <c:numCache>
                <c:formatCode>General</c:formatCode>
                <c:ptCount val="25"/>
                <c:pt idx="0">
                  <c:v>112352</c:v>
                </c:pt>
                <c:pt idx="1">
                  <c:v>113200</c:v>
                </c:pt>
                <c:pt idx="2">
                  <c:v>114525.98</c:v>
                </c:pt>
                <c:pt idx="3">
                  <c:v>115193.4</c:v>
                </c:pt>
                <c:pt idx="4">
                  <c:v>115860.82</c:v>
                </c:pt>
                <c:pt idx="5">
                  <c:v>117290.7862</c:v>
                </c:pt>
                <c:pt idx="6">
                  <c:v>117195.66</c:v>
                </c:pt>
                <c:pt idx="7">
                  <c:v>117863.08</c:v>
                </c:pt>
                <c:pt idx="8">
                  <c:v>118530.5</c:v>
                </c:pt>
                <c:pt idx="9">
                  <c:v>119197.92</c:v>
                </c:pt>
                <c:pt idx="10">
                  <c:v>120252.54514</c:v>
                </c:pt>
                <c:pt idx="11">
                  <c:v>120532.76</c:v>
                </c:pt>
                <c:pt idx="12">
                  <c:v>121200.18</c:v>
                </c:pt>
                <c:pt idx="13">
                  <c:v>121867.6</c:v>
                </c:pt>
                <c:pt idx="14">
                  <c:v>122535.02</c:v>
                </c:pt>
                <c:pt idx="15">
                  <c:v>123289.06348</c:v>
                </c:pt>
                <c:pt idx="16">
                  <c:v>123869.86</c:v>
                </c:pt>
                <c:pt idx="17">
                  <c:v>124537.28</c:v>
                </c:pt>
                <c:pt idx="18">
                  <c:v>125204.7</c:v>
                </c:pt>
                <c:pt idx="19">
                  <c:v>125872.12</c:v>
                </c:pt>
                <c:pt idx="20">
                  <c:v>126402.25665000001</c:v>
                </c:pt>
                <c:pt idx="21">
                  <c:v>127206.95999999999</c:v>
                </c:pt>
                <c:pt idx="22">
                  <c:v>127874.38</c:v>
                </c:pt>
                <c:pt idx="23">
                  <c:v>128541.8</c:v>
                </c:pt>
                <c:pt idx="24">
                  <c:v>128949.31996000001</c:v>
                </c:pt>
              </c:numCache>
            </c:numRef>
          </c:yVal>
          <c:smooth val="0"/>
          <c:extLst>
            <c:ext xmlns:c16="http://schemas.microsoft.com/office/drawing/2014/chart" uri="{C3380CC4-5D6E-409C-BE32-E72D297353CC}">
              <c16:uniqueId val="{00000001-0C91-402E-9B12-9B6A5DDC2FBA}"/>
            </c:ext>
          </c:extLst>
        </c:ser>
        <c:dLbls>
          <c:showLegendKey val="0"/>
          <c:showVal val="0"/>
          <c:showCatName val="0"/>
          <c:showSerName val="0"/>
          <c:showPercent val="0"/>
          <c:showBubbleSize val="0"/>
        </c:dLbls>
        <c:axId val="797124304"/>
        <c:axId val="797126272"/>
      </c:scatterChart>
      <c:valAx>
        <c:axId val="79712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26272"/>
        <c:crosses val="autoZero"/>
        <c:crossBetween val="midCat"/>
      </c:valAx>
      <c:valAx>
        <c:axId val="7971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2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557212</xdr:colOff>
      <xdr:row>29</xdr:row>
      <xdr:rowOff>176212</xdr:rowOff>
    </xdr:from>
    <xdr:to>
      <xdr:col>19</xdr:col>
      <xdr:colOff>90487</xdr:colOff>
      <xdr:row>44</xdr:row>
      <xdr:rowOff>61912</xdr:rowOff>
    </xdr:to>
    <xdr:graphicFrame macro="">
      <xdr:nvGraphicFramePr>
        <xdr:cNvPr id="3" name="Chart 2">
          <a:extLst>
            <a:ext uri="{FF2B5EF4-FFF2-40B4-BE49-F238E27FC236}">
              <a16:creationId xmlns:a16="http://schemas.microsoft.com/office/drawing/2014/main" id="{238EA967-4ED5-43AE-B9B2-57A0CCD6E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279021</xdr:colOff>
      <xdr:row>12</xdr:row>
      <xdr:rowOff>174970</xdr:rowOff>
    </xdr:from>
    <xdr:to>
      <xdr:col>30</xdr:col>
      <xdr:colOff>204478</xdr:colOff>
      <xdr:row>26</xdr:row>
      <xdr:rowOff>68332</xdr:rowOff>
    </xdr:to>
    <xdr:graphicFrame macro="">
      <xdr:nvGraphicFramePr>
        <xdr:cNvPr id="2" name="Chart 1">
          <a:extLst>
            <a:ext uri="{FF2B5EF4-FFF2-40B4-BE49-F238E27FC236}">
              <a16:creationId xmlns:a16="http://schemas.microsoft.com/office/drawing/2014/main" id="{3BD7F536-C926-4BA5-8259-7217F1BD2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136917</xdr:colOff>
      <xdr:row>52</xdr:row>
      <xdr:rowOff>26695</xdr:rowOff>
    </xdr:from>
    <xdr:to>
      <xdr:col>2</xdr:col>
      <xdr:colOff>523875</xdr:colOff>
      <xdr:row>55</xdr:row>
      <xdr:rowOff>9525</xdr:rowOff>
    </xdr:to>
    <xdr:sp macro="" textlink="">
      <xdr:nvSpPr>
        <xdr:cNvPr id="2" name="Arrow: Down 1">
          <a:extLst>
            <a:ext uri="{FF2B5EF4-FFF2-40B4-BE49-F238E27FC236}">
              <a16:creationId xmlns:a16="http://schemas.microsoft.com/office/drawing/2014/main" id="{9D60C680-B704-402D-BB04-5EBCE1E47760}"/>
            </a:ext>
          </a:extLst>
        </xdr:cNvPr>
        <xdr:cNvSpPr/>
      </xdr:nvSpPr>
      <xdr:spPr>
        <a:xfrm>
          <a:off x="2584842" y="12723520"/>
          <a:ext cx="386958" cy="54480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2</xdr:col>
      <xdr:colOff>11641</xdr:colOff>
      <xdr:row>4</xdr:row>
      <xdr:rowOff>155575</xdr:rowOff>
    </xdr:from>
    <xdr:to>
      <xdr:col>2</xdr:col>
      <xdr:colOff>838200</xdr:colOff>
      <xdr:row>5</xdr:row>
      <xdr:rowOff>54429</xdr:rowOff>
    </xdr:to>
    <xdr:sp macro="" textlink="">
      <xdr:nvSpPr>
        <xdr:cNvPr id="3" name="Arrow: Right 2">
          <a:extLst>
            <a:ext uri="{FF2B5EF4-FFF2-40B4-BE49-F238E27FC236}">
              <a16:creationId xmlns:a16="http://schemas.microsoft.com/office/drawing/2014/main" id="{EA95CB84-E689-4AC4-B04B-8A88C69729EF}"/>
            </a:ext>
          </a:extLst>
        </xdr:cNvPr>
        <xdr:cNvSpPr/>
      </xdr:nvSpPr>
      <xdr:spPr>
        <a:xfrm>
          <a:off x="2459566" y="1184275"/>
          <a:ext cx="721784" cy="31795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5</xdr:col>
      <xdr:colOff>8467</xdr:colOff>
      <xdr:row>4</xdr:row>
      <xdr:rowOff>169334</xdr:rowOff>
    </xdr:from>
    <xdr:to>
      <xdr:col>5</xdr:col>
      <xdr:colOff>751115</xdr:colOff>
      <xdr:row>5</xdr:row>
      <xdr:rowOff>108857</xdr:rowOff>
    </xdr:to>
    <xdr:sp macro="" textlink="">
      <xdr:nvSpPr>
        <xdr:cNvPr id="4" name="Arrow: Right 3">
          <a:extLst>
            <a:ext uri="{FF2B5EF4-FFF2-40B4-BE49-F238E27FC236}">
              <a16:creationId xmlns:a16="http://schemas.microsoft.com/office/drawing/2014/main" id="{56DFBAA5-91B4-4B4A-B8C2-322409D5ABE5}"/>
            </a:ext>
          </a:extLst>
        </xdr:cNvPr>
        <xdr:cNvSpPr/>
      </xdr:nvSpPr>
      <xdr:spPr>
        <a:xfrm>
          <a:off x="4504267" y="1198034"/>
          <a:ext cx="723598" cy="35862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8</xdr:col>
      <xdr:colOff>22225</xdr:colOff>
      <xdr:row>4</xdr:row>
      <xdr:rowOff>158751</xdr:rowOff>
    </xdr:from>
    <xdr:to>
      <xdr:col>10</xdr:col>
      <xdr:colOff>7408</xdr:colOff>
      <xdr:row>5</xdr:row>
      <xdr:rowOff>71968</xdr:rowOff>
    </xdr:to>
    <xdr:sp macro="" textlink="">
      <xdr:nvSpPr>
        <xdr:cNvPr id="5" name="Arrow: Right 4">
          <a:extLst>
            <a:ext uri="{FF2B5EF4-FFF2-40B4-BE49-F238E27FC236}">
              <a16:creationId xmlns:a16="http://schemas.microsoft.com/office/drawing/2014/main" id="{AE865760-EA92-46ED-89E0-52DE670C8C93}"/>
            </a:ext>
          </a:extLst>
        </xdr:cNvPr>
        <xdr:cNvSpPr/>
      </xdr:nvSpPr>
      <xdr:spPr>
        <a:xfrm>
          <a:off x="6718300" y="1187451"/>
          <a:ext cx="1585383" cy="3323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5</xdr:col>
      <xdr:colOff>40821</xdr:colOff>
      <xdr:row>6</xdr:row>
      <xdr:rowOff>37837</xdr:rowOff>
    </xdr:from>
    <xdr:to>
      <xdr:col>7</xdr:col>
      <xdr:colOff>211666</xdr:colOff>
      <xdr:row>9</xdr:row>
      <xdr:rowOff>27214</xdr:rowOff>
    </xdr:to>
    <xdr:sp macro="" textlink="">
      <xdr:nvSpPr>
        <xdr:cNvPr id="6" name="Arrow: Bent-Up 5">
          <a:extLst>
            <a:ext uri="{FF2B5EF4-FFF2-40B4-BE49-F238E27FC236}">
              <a16:creationId xmlns:a16="http://schemas.microsoft.com/office/drawing/2014/main" id="{BC469304-C13C-468A-B879-1DF71A1932FE}"/>
            </a:ext>
          </a:extLst>
        </xdr:cNvPr>
        <xdr:cNvSpPr/>
      </xdr:nvSpPr>
      <xdr:spPr>
        <a:xfrm>
          <a:off x="4536621" y="1904737"/>
          <a:ext cx="1637695" cy="1380027"/>
        </a:xfrm>
        <a:prstGeom prst="bentUpArrow">
          <a:avLst>
            <a:gd name="adj1" fmla="val 16497"/>
            <a:gd name="adj2" fmla="val 25000"/>
            <a:gd name="adj3" fmla="val 25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242209</xdr:colOff>
      <xdr:row>6</xdr:row>
      <xdr:rowOff>37350</xdr:rowOff>
    </xdr:from>
    <xdr:to>
      <xdr:col>0</xdr:col>
      <xdr:colOff>775609</xdr:colOff>
      <xdr:row>7</xdr:row>
      <xdr:rowOff>456448</xdr:rowOff>
    </xdr:to>
    <xdr:sp macro="" textlink="">
      <xdr:nvSpPr>
        <xdr:cNvPr id="7" name="Arrow: Right 6">
          <a:extLst>
            <a:ext uri="{FF2B5EF4-FFF2-40B4-BE49-F238E27FC236}">
              <a16:creationId xmlns:a16="http://schemas.microsoft.com/office/drawing/2014/main" id="{01739E17-59F0-4B8C-9833-AC78C1D13ACF}"/>
            </a:ext>
          </a:extLst>
        </xdr:cNvPr>
        <xdr:cNvSpPr/>
      </xdr:nvSpPr>
      <xdr:spPr>
        <a:xfrm rot="5400000">
          <a:off x="89810" y="2056649"/>
          <a:ext cx="838198"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10</xdr:col>
      <xdr:colOff>441629</xdr:colOff>
      <xdr:row>6</xdr:row>
      <xdr:rowOff>46569</xdr:rowOff>
    </xdr:from>
    <xdr:to>
      <xdr:col>11</xdr:col>
      <xdr:colOff>95255</xdr:colOff>
      <xdr:row>10</xdr:row>
      <xdr:rowOff>180975</xdr:rowOff>
    </xdr:to>
    <xdr:sp macro="" textlink="">
      <xdr:nvSpPr>
        <xdr:cNvPr id="8" name="Arrow: Right 7">
          <a:extLst>
            <a:ext uri="{FF2B5EF4-FFF2-40B4-BE49-F238E27FC236}">
              <a16:creationId xmlns:a16="http://schemas.microsoft.com/office/drawing/2014/main" id="{D7EAA8B2-6A50-465D-980E-EC098595556B}"/>
            </a:ext>
          </a:extLst>
        </xdr:cNvPr>
        <xdr:cNvSpPr/>
      </xdr:nvSpPr>
      <xdr:spPr>
        <a:xfrm rot="16200000">
          <a:off x="7959352" y="2692021"/>
          <a:ext cx="1944156" cy="38705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12</xdr:col>
      <xdr:colOff>31750</xdr:colOff>
      <xdr:row>4</xdr:row>
      <xdr:rowOff>196851</xdr:rowOff>
    </xdr:from>
    <xdr:to>
      <xdr:col>14</xdr:col>
      <xdr:colOff>16933</xdr:colOff>
      <xdr:row>5</xdr:row>
      <xdr:rowOff>110068</xdr:rowOff>
    </xdr:to>
    <xdr:sp macro="" textlink="">
      <xdr:nvSpPr>
        <xdr:cNvPr id="9" name="Arrow: Right 8">
          <a:extLst>
            <a:ext uri="{FF2B5EF4-FFF2-40B4-BE49-F238E27FC236}">
              <a16:creationId xmlns:a16="http://schemas.microsoft.com/office/drawing/2014/main" id="{0A4D1F6E-971D-4AA4-9225-51D7ADD03F1F}"/>
            </a:ext>
          </a:extLst>
        </xdr:cNvPr>
        <xdr:cNvSpPr/>
      </xdr:nvSpPr>
      <xdr:spPr>
        <a:xfrm>
          <a:off x="9861550" y="1225551"/>
          <a:ext cx="1452033" cy="33231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666750</xdr:colOff>
      <xdr:row>10</xdr:row>
      <xdr:rowOff>171450</xdr:rowOff>
    </xdr:from>
    <xdr:to>
      <xdr:col>10</xdr:col>
      <xdr:colOff>876300</xdr:colOff>
      <xdr:row>12</xdr:row>
      <xdr:rowOff>28575</xdr:rowOff>
    </xdr:to>
    <xdr:sp macro="" textlink="">
      <xdr:nvSpPr>
        <xdr:cNvPr id="10" name="Rectangle 9">
          <a:extLst>
            <a:ext uri="{FF2B5EF4-FFF2-40B4-BE49-F238E27FC236}">
              <a16:creationId xmlns:a16="http://schemas.microsoft.com/office/drawing/2014/main" id="{B9E3720A-621B-4466-8982-90FD2A16F145}"/>
            </a:ext>
          </a:extLst>
        </xdr:cNvPr>
        <xdr:cNvSpPr/>
      </xdr:nvSpPr>
      <xdr:spPr>
        <a:xfrm>
          <a:off x="666750" y="3848100"/>
          <a:ext cx="836295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590550</xdr:colOff>
      <xdr:row>10</xdr:row>
      <xdr:rowOff>9525</xdr:rowOff>
    </xdr:from>
    <xdr:to>
      <xdr:col>0</xdr:col>
      <xdr:colOff>809625</xdr:colOff>
      <xdr:row>12</xdr:row>
      <xdr:rowOff>28575</xdr:rowOff>
    </xdr:to>
    <xdr:sp macro="" textlink="">
      <xdr:nvSpPr>
        <xdr:cNvPr id="11" name="Rectangle 10">
          <a:extLst>
            <a:ext uri="{FF2B5EF4-FFF2-40B4-BE49-F238E27FC236}">
              <a16:creationId xmlns:a16="http://schemas.microsoft.com/office/drawing/2014/main" id="{579A4315-220D-4608-B297-6450A89766DB}"/>
            </a:ext>
          </a:extLst>
        </xdr:cNvPr>
        <xdr:cNvSpPr/>
      </xdr:nvSpPr>
      <xdr:spPr>
        <a:xfrm>
          <a:off x="590550" y="3686175"/>
          <a:ext cx="219075" cy="400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xdr:from>
      <xdr:col>14</xdr:col>
      <xdr:colOff>523874</xdr:colOff>
      <xdr:row>6</xdr:row>
      <xdr:rowOff>34019</xdr:rowOff>
    </xdr:from>
    <xdr:to>
      <xdr:col>15</xdr:col>
      <xdr:colOff>219074</xdr:colOff>
      <xdr:row>7</xdr:row>
      <xdr:rowOff>453117</xdr:rowOff>
    </xdr:to>
    <xdr:sp macro="" textlink="">
      <xdr:nvSpPr>
        <xdr:cNvPr id="12" name="Arrow: Right 7">
          <a:extLst>
            <a:ext uri="{FF2B5EF4-FFF2-40B4-BE49-F238E27FC236}">
              <a16:creationId xmlns:a16="http://schemas.microsoft.com/office/drawing/2014/main" id="{19C29B63-AF8B-4456-BC21-4D3D39DDBE78}"/>
            </a:ext>
          </a:extLst>
        </xdr:cNvPr>
        <xdr:cNvSpPr/>
      </xdr:nvSpPr>
      <xdr:spPr>
        <a:xfrm rot="5400000">
          <a:off x="11615738" y="2105705"/>
          <a:ext cx="838198" cy="428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sites/traccity/Shared%20Documents/HK%202050%20is%20now/InputData%20FOR%20HONG%20KONG/Data%20sources/Transport/Travel%20Dist%20Projec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2018~2019\&#39321;&#28207;&#39033;&#30446;\PCM%2020190611%20Li.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engpin.ge\Downloads\table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
      <sheetName val="Sheet4"/>
      <sheetName val="Goods Vehicles"/>
      <sheetName val="Sheet20"/>
      <sheetName val="Sheet3"/>
    </sheetNames>
    <sheetDataSet>
      <sheetData sheetId="0">
        <row r="6">
          <cell r="J6">
            <v>1</v>
          </cell>
          <cell r="L6">
            <v>530909</v>
          </cell>
        </row>
        <row r="7">
          <cell r="J7">
            <v>6</v>
          </cell>
          <cell r="L7">
            <v>608435.10100000002</v>
          </cell>
        </row>
        <row r="8">
          <cell r="J8">
            <v>11</v>
          </cell>
          <cell r="L8">
            <v>671016.90100000007</v>
          </cell>
        </row>
        <row r="9">
          <cell r="J9">
            <v>16</v>
          </cell>
          <cell r="L9">
            <v>732926.40100000007</v>
          </cell>
        </row>
        <row r="10">
          <cell r="J10">
            <v>21</v>
          </cell>
          <cell r="L10">
            <v>769948.30200000003</v>
          </cell>
        </row>
        <row r="11">
          <cell r="J11">
            <v>25</v>
          </cell>
          <cell r="L11">
            <v>800920.902</v>
          </cell>
        </row>
      </sheetData>
      <sheetData sheetId="1"/>
      <sheetData sheetId="2">
        <row r="16">
          <cell r="A16">
            <v>17</v>
          </cell>
          <cell r="E16">
            <v>112352</v>
          </cell>
        </row>
        <row r="17">
          <cell r="A17">
            <v>18</v>
          </cell>
          <cell r="E17">
            <v>113200</v>
          </cell>
        </row>
        <row r="18">
          <cell r="A18">
            <v>19</v>
          </cell>
          <cell r="E18">
            <v>114525.98</v>
          </cell>
        </row>
        <row r="19">
          <cell r="A19">
            <v>20</v>
          </cell>
          <cell r="E19">
            <v>115193.4</v>
          </cell>
        </row>
        <row r="20">
          <cell r="A20">
            <v>21</v>
          </cell>
          <cell r="E20">
            <v>115860.82</v>
          </cell>
        </row>
        <row r="21">
          <cell r="A21">
            <v>22</v>
          </cell>
          <cell r="E21">
            <v>117290.7862</v>
          </cell>
        </row>
        <row r="22">
          <cell r="A22">
            <v>23</v>
          </cell>
          <cell r="E22">
            <v>117195.66</v>
          </cell>
        </row>
        <row r="23">
          <cell r="A23">
            <v>24</v>
          </cell>
          <cell r="E23">
            <v>117863.08</v>
          </cell>
        </row>
        <row r="24">
          <cell r="A24">
            <v>25</v>
          </cell>
          <cell r="E24">
            <v>118530.5</v>
          </cell>
        </row>
        <row r="25">
          <cell r="A25">
            <v>26</v>
          </cell>
          <cell r="E25">
            <v>119197.92</v>
          </cell>
        </row>
        <row r="26">
          <cell r="A26">
            <v>27</v>
          </cell>
          <cell r="E26">
            <v>120252.54514</v>
          </cell>
        </row>
        <row r="27">
          <cell r="A27">
            <v>28</v>
          </cell>
          <cell r="E27">
            <v>120532.76</v>
          </cell>
        </row>
        <row r="28">
          <cell r="A28">
            <v>29</v>
          </cell>
          <cell r="E28">
            <v>121200.18</v>
          </cell>
        </row>
        <row r="29">
          <cell r="A29">
            <v>30</v>
          </cell>
          <cell r="E29">
            <v>121867.6</v>
          </cell>
        </row>
        <row r="30">
          <cell r="A30">
            <v>31</v>
          </cell>
          <cell r="E30">
            <v>122535.02</v>
          </cell>
        </row>
        <row r="31">
          <cell r="A31">
            <v>32</v>
          </cell>
          <cell r="E31">
            <v>123289.06348</v>
          </cell>
        </row>
        <row r="32">
          <cell r="A32">
            <v>33</v>
          </cell>
          <cell r="E32">
            <v>123869.86</v>
          </cell>
        </row>
        <row r="33">
          <cell r="A33">
            <v>34</v>
          </cell>
          <cell r="E33">
            <v>124537.28</v>
          </cell>
        </row>
        <row r="34">
          <cell r="A34">
            <v>35</v>
          </cell>
          <cell r="E34">
            <v>125204.7</v>
          </cell>
        </row>
        <row r="35">
          <cell r="A35">
            <v>36</v>
          </cell>
          <cell r="E35">
            <v>125872.12</v>
          </cell>
        </row>
        <row r="36">
          <cell r="A36">
            <v>37</v>
          </cell>
          <cell r="E36">
            <v>126402.25665000001</v>
          </cell>
        </row>
        <row r="37">
          <cell r="A37">
            <v>38</v>
          </cell>
          <cell r="E37">
            <v>127206.95999999999</v>
          </cell>
        </row>
        <row r="38">
          <cell r="A38">
            <v>39</v>
          </cell>
          <cell r="E38">
            <v>127874.38</v>
          </cell>
        </row>
        <row r="39">
          <cell r="A39">
            <v>40</v>
          </cell>
          <cell r="E39">
            <v>128541.8</v>
          </cell>
        </row>
        <row r="40">
          <cell r="A40">
            <v>41</v>
          </cell>
          <cell r="E40">
            <v>128949.31996000001</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EWORK"/>
      <sheetName val="GHG &amp; Energy rpt"/>
      <sheetName val="Results summary rpt"/>
      <sheetName val="Result Report"/>
      <sheetName val="Key parameters rpt"/>
      <sheetName val="Sheet4"/>
      <sheetName val="2016 Data Source"/>
      <sheetName val="Pivot_Table"/>
      <sheetName val="Population and GDP"/>
      <sheetName val="Population and GDP (1)"/>
      <sheetName val="Sheet3"/>
      <sheetName val="Building"/>
      <sheetName val="Transport"/>
      <sheetName val="Transport-1"/>
      <sheetName val="Transport-2"/>
      <sheetName val="Electricity"/>
      <sheetName val="Waste"/>
      <sheetName val="PMC ref file ---&gt;"/>
      <sheetName val="Trans rough work"/>
      <sheetName val="Trans analysis"/>
      <sheetName val="EF-1"/>
      <sheetName val="Elc"/>
      <sheetName val="Housing demand"/>
      <sheetName val="Commerical demand"/>
      <sheetName val="Elderly &amp; Children pax trips"/>
      <sheetName val="Marine VKM"/>
      <sheetName val="Sheet1"/>
      <sheetName val="Sheet2"/>
      <sheetName val="data demand"/>
    </sheetNames>
    <sheetDataSet>
      <sheetData sheetId="0">
        <row r="2">
          <cell r="B2">
            <v>43599</v>
          </cell>
          <cell r="D2" t="str">
            <v>Core higher population</v>
          </cell>
        </row>
      </sheetData>
      <sheetData sheetId="1"/>
      <sheetData sheetId="2"/>
      <sheetData sheetId="3"/>
      <sheetData sheetId="4">
        <row r="4">
          <cell r="D4">
            <v>7.1167999999999996</v>
          </cell>
          <cell r="I4">
            <v>9.0664999999999996</v>
          </cell>
          <cell r="O4">
            <v>9.0664999999999996</v>
          </cell>
        </row>
        <row r="5">
          <cell r="D5">
            <v>2490617</v>
          </cell>
          <cell r="O5">
            <v>6232620.9488792457</v>
          </cell>
        </row>
        <row r="51">
          <cell r="C51">
            <v>0.3</v>
          </cell>
        </row>
        <row r="52">
          <cell r="C52">
            <v>1</v>
          </cell>
        </row>
        <row r="53">
          <cell r="C53">
            <v>0.4</v>
          </cell>
        </row>
        <row r="56">
          <cell r="C56">
            <v>0.02</v>
          </cell>
        </row>
        <row r="58">
          <cell r="C58">
            <v>0</v>
          </cell>
        </row>
        <row r="59">
          <cell r="C59">
            <v>0</v>
          </cell>
        </row>
        <row r="60">
          <cell r="C60">
            <v>0</v>
          </cell>
        </row>
        <row r="63">
          <cell r="C63">
            <v>0.5</v>
          </cell>
        </row>
        <row r="64">
          <cell r="C64">
            <v>0</v>
          </cell>
        </row>
        <row r="65">
          <cell r="C65">
            <v>1</v>
          </cell>
        </row>
        <row r="67">
          <cell r="C67">
            <v>0</v>
          </cell>
        </row>
        <row r="69">
          <cell r="C69">
            <v>0</v>
          </cell>
          <cell r="D69">
            <v>0</v>
          </cell>
          <cell r="E69">
            <v>0</v>
          </cell>
          <cell r="F69">
            <v>0.21</v>
          </cell>
        </row>
        <row r="70">
          <cell r="C70">
            <v>0</v>
          </cell>
          <cell r="D70">
            <v>0</v>
          </cell>
          <cell r="E70">
            <v>0</v>
          </cell>
          <cell r="F70">
            <v>7.0000000000000007E-2</v>
          </cell>
        </row>
        <row r="71">
          <cell r="C71">
            <v>0</v>
          </cell>
          <cell r="D71">
            <v>0</v>
          </cell>
          <cell r="E71">
            <v>0</v>
          </cell>
          <cell r="F71">
            <v>0.14000000000000001</v>
          </cell>
        </row>
        <row r="72">
          <cell r="C72">
            <v>0</v>
          </cell>
          <cell r="D72">
            <v>0</v>
          </cell>
          <cell r="E72">
            <v>0</v>
          </cell>
          <cell r="F72">
            <v>8.5000000000000006E-2</v>
          </cell>
        </row>
        <row r="73">
          <cell r="F73">
            <v>0.505</v>
          </cell>
        </row>
        <row r="74">
          <cell r="C74">
            <v>0</v>
          </cell>
          <cell r="D74">
            <v>0</v>
          </cell>
          <cell r="E74">
            <v>0</v>
          </cell>
          <cell r="F74">
            <v>0.06</v>
          </cell>
        </row>
        <row r="75">
          <cell r="C75">
            <v>0</v>
          </cell>
          <cell r="D75">
            <v>0</v>
          </cell>
          <cell r="E75">
            <v>0</v>
          </cell>
          <cell r="F75">
            <v>0.01</v>
          </cell>
        </row>
        <row r="76">
          <cell r="F76">
            <v>6.9999999999999993E-2</v>
          </cell>
        </row>
        <row r="77">
          <cell r="C77">
            <v>0</v>
          </cell>
          <cell r="D77">
            <v>0</v>
          </cell>
          <cell r="E77">
            <v>0</v>
          </cell>
          <cell r="F77">
            <v>0.42</v>
          </cell>
        </row>
        <row r="78">
          <cell r="C78">
            <v>0</v>
          </cell>
          <cell r="D78">
            <v>0</v>
          </cell>
          <cell r="E78">
            <v>0</v>
          </cell>
          <cell r="F78">
            <v>5.0000000000000001E-3</v>
          </cell>
        </row>
        <row r="79">
          <cell r="F79">
            <v>0.99999999999999989</v>
          </cell>
        </row>
        <row r="81">
          <cell r="C81">
            <v>0</v>
          </cell>
          <cell r="D81">
            <v>0</v>
          </cell>
          <cell r="E81">
            <v>0</v>
          </cell>
        </row>
        <row r="82">
          <cell r="C82">
            <v>0</v>
          </cell>
          <cell r="D82">
            <v>0</v>
          </cell>
          <cell r="E82">
            <v>0</v>
          </cell>
        </row>
        <row r="83">
          <cell r="C83">
            <v>0</v>
          </cell>
          <cell r="D83">
            <v>0</v>
          </cell>
          <cell r="E83">
            <v>0</v>
          </cell>
        </row>
        <row r="84">
          <cell r="C84">
            <v>0</v>
          </cell>
          <cell r="D84">
            <v>0</v>
          </cell>
          <cell r="E84">
            <v>0</v>
          </cell>
        </row>
        <row r="88">
          <cell r="C88">
            <v>0.15</v>
          </cell>
          <cell r="D88">
            <v>0</v>
          </cell>
          <cell r="E88">
            <v>0.85</v>
          </cell>
          <cell r="F88">
            <v>0</v>
          </cell>
          <cell r="G88">
            <v>0</v>
          </cell>
          <cell r="H88">
            <v>0</v>
          </cell>
          <cell r="I88">
            <v>0</v>
          </cell>
        </row>
        <row r="89">
          <cell r="C89">
            <v>0.15</v>
          </cell>
          <cell r="D89">
            <v>0</v>
          </cell>
          <cell r="E89">
            <v>0.85</v>
          </cell>
          <cell r="F89">
            <v>0</v>
          </cell>
          <cell r="G89">
            <v>0</v>
          </cell>
          <cell r="H89">
            <v>0</v>
          </cell>
          <cell r="I89">
            <v>0</v>
          </cell>
        </row>
        <row r="90">
          <cell r="C90">
            <v>0</v>
          </cell>
          <cell r="D90">
            <v>0</v>
          </cell>
          <cell r="E90">
            <v>0.5</v>
          </cell>
          <cell r="F90">
            <v>0</v>
          </cell>
          <cell r="G90">
            <v>0</v>
          </cell>
          <cell r="H90">
            <v>0.5</v>
          </cell>
          <cell r="I90">
            <v>0</v>
          </cell>
        </row>
        <row r="91">
          <cell r="C91">
            <v>0</v>
          </cell>
          <cell r="D91">
            <v>0</v>
          </cell>
          <cell r="E91">
            <v>1</v>
          </cell>
          <cell r="F91">
            <v>0</v>
          </cell>
          <cell r="G91">
            <v>0</v>
          </cell>
          <cell r="H91">
            <v>0</v>
          </cell>
          <cell r="I91">
            <v>0</v>
          </cell>
        </row>
        <row r="92">
          <cell r="C92">
            <v>0</v>
          </cell>
          <cell r="D92">
            <v>0.2</v>
          </cell>
          <cell r="E92">
            <v>0.05</v>
          </cell>
          <cell r="F92">
            <v>0</v>
          </cell>
          <cell r="G92">
            <v>0</v>
          </cell>
          <cell r="H92">
            <v>0.75</v>
          </cell>
          <cell r="I92">
            <v>0</v>
          </cell>
        </row>
        <row r="94">
          <cell r="C94">
            <v>0.3</v>
          </cell>
          <cell r="D94">
            <v>0.3</v>
          </cell>
          <cell r="E94">
            <v>0.3</v>
          </cell>
          <cell r="F94">
            <v>0.3</v>
          </cell>
          <cell r="G94">
            <v>0.3</v>
          </cell>
          <cell r="H94">
            <v>0.3</v>
          </cell>
          <cell r="I94">
            <v>0.3</v>
          </cell>
        </row>
        <row r="95">
          <cell r="C95">
            <v>0.3</v>
          </cell>
          <cell r="D95">
            <v>0.3</v>
          </cell>
          <cell r="E95">
            <v>0.3</v>
          </cell>
          <cell r="F95">
            <v>0.3</v>
          </cell>
          <cell r="G95">
            <v>0.3</v>
          </cell>
          <cell r="H95">
            <v>0.3</v>
          </cell>
          <cell r="I95">
            <v>0.3</v>
          </cell>
        </row>
        <row r="96">
          <cell r="C96">
            <v>0.3</v>
          </cell>
          <cell r="D96">
            <v>0.3</v>
          </cell>
          <cell r="E96">
            <v>0.3</v>
          </cell>
          <cell r="F96">
            <v>0.3</v>
          </cell>
          <cell r="G96">
            <v>0.3</v>
          </cell>
          <cell r="H96">
            <v>0.3</v>
          </cell>
          <cell r="I96">
            <v>0.3</v>
          </cell>
        </row>
        <row r="97">
          <cell r="C97">
            <v>0.3</v>
          </cell>
          <cell r="D97">
            <v>0.3</v>
          </cell>
          <cell r="E97">
            <v>0.3</v>
          </cell>
          <cell r="F97">
            <v>0.3</v>
          </cell>
          <cell r="G97">
            <v>0.3</v>
          </cell>
          <cell r="H97">
            <v>0.3</v>
          </cell>
          <cell r="I97">
            <v>0.3</v>
          </cell>
        </row>
        <row r="98">
          <cell r="C98">
            <v>0.3</v>
          </cell>
          <cell r="D98">
            <v>0.3</v>
          </cell>
          <cell r="E98">
            <v>0.3</v>
          </cell>
          <cell r="F98">
            <v>0.3</v>
          </cell>
          <cell r="G98">
            <v>0.3</v>
          </cell>
          <cell r="H98">
            <v>0.3</v>
          </cell>
          <cell r="I98">
            <v>0.3</v>
          </cell>
        </row>
        <row r="99">
          <cell r="E99">
            <v>0.1</v>
          </cell>
        </row>
        <row r="113">
          <cell r="R113">
            <v>0.10375303197353915</v>
          </cell>
        </row>
        <row r="114">
          <cell r="R114">
            <v>0.61625578831312011</v>
          </cell>
        </row>
        <row r="115">
          <cell r="R115">
            <v>0.2799911797133407</v>
          </cell>
        </row>
      </sheetData>
      <sheetData sheetId="5"/>
      <sheetData sheetId="6"/>
      <sheetData sheetId="7"/>
      <sheetData sheetId="8">
        <row r="6">
          <cell r="E6">
            <v>7116800</v>
          </cell>
          <cell r="I6">
            <v>0.159</v>
          </cell>
          <cell r="J6">
            <v>0.72799999999999998</v>
          </cell>
          <cell r="K6">
            <v>0.113</v>
          </cell>
        </row>
        <row r="41">
          <cell r="E41">
            <v>9066500</v>
          </cell>
          <cell r="I41">
            <v>8.8999999999999996E-2</v>
          </cell>
          <cell r="J41">
            <v>0.59</v>
          </cell>
        </row>
      </sheetData>
      <sheetData sheetId="9"/>
      <sheetData sheetId="10"/>
      <sheetData sheetId="11"/>
      <sheetData sheetId="12">
        <row r="42">
          <cell r="F42">
            <v>5363.8</v>
          </cell>
          <cell r="N42">
            <v>7216.6808034134247</v>
          </cell>
        </row>
        <row r="43">
          <cell r="E43">
            <v>9.1452543261667553E-3</v>
          </cell>
          <cell r="M43">
            <v>5.0000000000000001E-3</v>
          </cell>
        </row>
        <row r="60">
          <cell r="Z60">
            <v>268.00074266298708</v>
          </cell>
          <cell r="AU60">
            <v>0</v>
          </cell>
          <cell r="AZ60">
            <v>0</v>
          </cell>
        </row>
        <row r="61">
          <cell r="Z61">
            <v>0.28804678427252117</v>
          </cell>
          <cell r="AU61">
            <v>0</v>
          </cell>
          <cell r="AZ61">
            <v>0</v>
          </cell>
        </row>
        <row r="62">
          <cell r="Z62">
            <v>27.845686339679975</v>
          </cell>
          <cell r="AU62">
            <v>17.534994425552124</v>
          </cell>
          <cell r="AZ62">
            <v>83.2</v>
          </cell>
        </row>
        <row r="63">
          <cell r="Z63">
            <v>0.67654021912679618</v>
          </cell>
          <cell r="AU63">
            <v>18.252049891419901</v>
          </cell>
          <cell r="AZ63">
            <v>18.252049891419901</v>
          </cell>
        </row>
        <row r="64">
          <cell r="Z64">
            <v>38.906602337521605</v>
          </cell>
          <cell r="AU64">
            <v>5.3845709398698628E-2</v>
          </cell>
          <cell r="AZ64">
            <v>56.433107618487192</v>
          </cell>
        </row>
        <row r="72">
          <cell r="T72">
            <v>2961</v>
          </cell>
        </row>
        <row r="78">
          <cell r="T78">
            <v>0</v>
          </cell>
          <cell r="W78">
            <v>0.85</v>
          </cell>
        </row>
        <row r="79">
          <cell r="T79">
            <v>0</v>
          </cell>
          <cell r="W79">
            <v>0.85</v>
          </cell>
        </row>
        <row r="80">
          <cell r="T80">
            <v>0</v>
          </cell>
          <cell r="W80">
            <v>0.5</v>
          </cell>
        </row>
        <row r="81">
          <cell r="T81">
            <v>0</v>
          </cell>
          <cell r="W81">
            <v>1</v>
          </cell>
        </row>
        <row r="82">
          <cell r="T82">
            <v>10711.366362777053</v>
          </cell>
          <cell r="W82">
            <v>0.05</v>
          </cell>
        </row>
        <row r="89">
          <cell r="T89">
            <v>4636</v>
          </cell>
        </row>
        <row r="90">
          <cell r="T90">
            <v>2961</v>
          </cell>
        </row>
      </sheetData>
      <sheetData sheetId="13"/>
      <sheetData sheetId="14"/>
      <sheetData sheetId="15">
        <row r="19">
          <cell r="R19">
            <v>8.765039029278613E-3</v>
          </cell>
          <cell r="S19">
            <v>2.4347330636885038E-3</v>
          </cell>
        </row>
        <row r="94">
          <cell r="I94">
            <v>0.59421285392666068</v>
          </cell>
        </row>
        <row r="96">
          <cell r="J96">
            <v>0.1695765977691425</v>
          </cell>
        </row>
      </sheetData>
      <sheetData sheetId="16">
        <row r="6">
          <cell r="N6">
            <v>26849.137275667843</v>
          </cell>
        </row>
      </sheetData>
      <sheetData sheetId="17"/>
      <sheetData sheetId="18"/>
      <sheetData sheetId="19"/>
      <sheetData sheetId="20">
        <row r="9">
          <cell r="R9">
            <v>32625000</v>
          </cell>
        </row>
        <row r="11">
          <cell r="U11">
            <v>0.85</v>
          </cell>
        </row>
        <row r="14">
          <cell r="K14">
            <v>67.599999999999994</v>
          </cell>
        </row>
        <row r="16">
          <cell r="B16">
            <v>43330</v>
          </cell>
          <cell r="K16">
            <v>72.511520737327174</v>
          </cell>
        </row>
        <row r="22">
          <cell r="R22">
            <v>22.854734139999998</v>
          </cell>
          <cell r="U22">
            <v>0.41819423023000002</v>
          </cell>
        </row>
        <row r="25">
          <cell r="R25">
            <v>37.258945704780558</v>
          </cell>
        </row>
        <row r="27">
          <cell r="K27">
            <v>60.849162639091837</v>
          </cell>
        </row>
        <row r="28">
          <cell r="K28">
            <v>22</v>
          </cell>
        </row>
        <row r="30">
          <cell r="I30">
            <v>1.9236749116607777E-3</v>
          </cell>
          <cell r="K30">
            <v>19.2</v>
          </cell>
        </row>
        <row r="31">
          <cell r="B31">
            <v>50000</v>
          </cell>
        </row>
      </sheetData>
      <sheetData sheetId="21"/>
      <sheetData sheetId="22"/>
      <sheetData sheetId="23"/>
      <sheetData sheetId="24">
        <row r="11">
          <cell r="G11">
            <v>0.27731467397662501</v>
          </cell>
        </row>
        <row r="12">
          <cell r="G12">
            <v>1</v>
          </cell>
        </row>
        <row r="13">
          <cell r="G13">
            <v>0.43604752178703804</v>
          </cell>
        </row>
      </sheetData>
      <sheetData sheetId="25">
        <row r="27">
          <cell r="H27">
            <v>3272115.5</v>
          </cell>
        </row>
      </sheetData>
      <sheetData sheetId="26"/>
      <sheetData sheetId="27"/>
      <sheetData sheetId="2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2.2 (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ardep.gov.hk/en/publication/pdf/portstat_2_y_e3.pdf" TargetMode="External"/><Relationship Id="rId3" Type="http://schemas.openxmlformats.org/officeDocument/2006/relationships/hyperlink" Target="https://www.mtr.com.hk/archive/corporate/en/publications/images/business_overview_e.pdf" TargetMode="External"/><Relationship Id="rId7" Type="http://schemas.openxmlformats.org/officeDocument/2006/relationships/hyperlink" Target="https://www.cathaypacific.com/content/dam/cx/about-us/investor-relations/interim-annual-reports/en/2017_annual_report_en.pdf" TargetMode="External"/><Relationship Id="rId2" Type="http://schemas.openxmlformats.org/officeDocument/2006/relationships/hyperlink" Target="https://www.gov.hk/en/about/abouthk/factsheets/docs/transport.pdf" TargetMode="External"/><Relationship Id="rId1" Type="http://schemas.openxmlformats.org/officeDocument/2006/relationships/hyperlink" Target="https://www.thb.gov.hk/eng/boards/transport/land/Full_Eng_C_cover.pdf" TargetMode="External"/><Relationship Id="rId6" Type="http://schemas.openxmlformats.org/officeDocument/2006/relationships/hyperlink" Target="http://www.starferry.com.hk/en/operationalInfo" TargetMode="External"/><Relationship Id="rId5" Type="http://schemas.openxmlformats.org/officeDocument/2006/relationships/hyperlink" Target="https://data.gov.hk/en-data/dataset/hk-td-tis_10-monthly-traffic-and-transport-digest/resource/dc327887-480e-48bc-b346-978c24657480" TargetMode="External"/><Relationship Id="rId10" Type="http://schemas.openxmlformats.org/officeDocument/2006/relationships/printerSettings" Target="../printerSettings/printerSettings1.bin"/><Relationship Id="rId4" Type="http://schemas.openxmlformats.org/officeDocument/2006/relationships/hyperlink" Target="https://www.mtr.com.hk/archive/corporate/en/publications/images/business_overview_e.pdf" TargetMode="External"/><Relationship Id="rId9" Type="http://schemas.openxmlformats.org/officeDocument/2006/relationships/hyperlink" Target="https://www.td.gov.hk/filemanager/en/content_4893/table22.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info.gov.hk/gia/general/201412/01/P201412010731.ht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citeseerx.ist.psu.edu/viewdoc/download?doi=10.1.1.201.5043&amp;rep=rep1&amp;type=pdf" TargetMode="External"/><Relationship Id="rId3" Type="http://schemas.openxmlformats.org/officeDocument/2006/relationships/hyperlink" Target="https://www.td.gov.hk/filemanager/en/content_4652/tcs2011_eng.pdf" TargetMode="External"/><Relationship Id="rId7" Type="http://schemas.openxmlformats.org/officeDocument/2006/relationships/hyperlink" Target="https://www.statistics.gov.hk/pub/B1120015072017XXXXB0100.pdf" TargetMode="External"/><Relationship Id="rId12" Type="http://schemas.openxmlformats.org/officeDocument/2006/relationships/comments" Target="../comments1.xml"/><Relationship Id="rId2" Type="http://schemas.openxmlformats.org/officeDocument/2006/relationships/hyperlink" Target="https://www.thb.gov.hk/eng/boards/transport/land/Full_Eng_C_cover.pdf" TargetMode="External"/><Relationship Id="rId1" Type="http://schemas.openxmlformats.org/officeDocument/2006/relationships/hyperlink" Target="https://www.td.gov.hk/filemanager/en/content_4854/table21s.pdf" TargetMode="External"/><Relationship Id="rId6" Type="http://schemas.openxmlformats.org/officeDocument/2006/relationships/hyperlink" Target="https://www.statistics.gov.hk/pub/B1120015072017XXXXB0100.pdf" TargetMode="External"/><Relationship Id="rId11" Type="http://schemas.openxmlformats.org/officeDocument/2006/relationships/vmlDrawing" Target="../drawings/vmlDrawing1.vml"/><Relationship Id="rId5" Type="http://schemas.openxmlformats.org/officeDocument/2006/relationships/hyperlink" Target="https://www.statistics.gov.hk/pub/B1120017042017XXXXB0100.pdf" TargetMode="External"/><Relationship Id="rId10" Type="http://schemas.openxmlformats.org/officeDocument/2006/relationships/drawing" Target="../drawings/drawing3.xml"/><Relationship Id="rId4" Type="http://schemas.openxmlformats.org/officeDocument/2006/relationships/hyperlink" Target="https://www.td.gov.hk/filemanager/en/content_4880/1801.pdf" TargetMode="External"/><Relationship Id="rId9" Type="http://schemas.openxmlformats.org/officeDocument/2006/relationships/hyperlink" Target="https://www.cryogas.pl/pliki_do_pobrania/artykuly/20171110_Raport_LNG_Unilever_Link_Iveco_.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workbookViewId="0">
      <selection activeCell="B85" sqref="B85"/>
    </sheetView>
  </sheetViews>
  <sheetFormatPr defaultRowHeight="15"/>
  <cols>
    <col min="1" max="1" width="12.28515625" customWidth="1"/>
    <col min="2" max="2" width="51.5703125" customWidth="1"/>
    <col min="10" max="10" width="48.5703125" customWidth="1"/>
  </cols>
  <sheetData>
    <row r="1" spans="1:11">
      <c r="A1" s="1" t="s">
        <v>0</v>
      </c>
      <c r="I1" s="6"/>
      <c r="J1" s="17"/>
      <c r="K1" s="17"/>
    </row>
    <row r="2" spans="1:11">
      <c r="I2" s="17"/>
      <c r="J2" s="17"/>
      <c r="K2" s="17"/>
    </row>
    <row r="3" spans="1:11">
      <c r="A3" s="1" t="s">
        <v>1</v>
      </c>
      <c r="B3" s="4" t="s">
        <v>2</v>
      </c>
      <c r="I3" s="6"/>
      <c r="J3" s="6"/>
      <c r="K3" s="17"/>
    </row>
    <row r="4" spans="1:11">
      <c r="B4" t="s">
        <v>3</v>
      </c>
      <c r="I4" s="17"/>
      <c r="J4" s="17"/>
      <c r="K4" s="17"/>
    </row>
    <row r="5" spans="1:11">
      <c r="B5" s="2">
        <v>2014</v>
      </c>
      <c r="I5" s="17"/>
      <c r="J5" s="18"/>
      <c r="K5" s="17"/>
    </row>
    <row r="6" spans="1:11">
      <c r="B6" t="s">
        <v>4</v>
      </c>
      <c r="I6" s="17"/>
      <c r="J6" s="17"/>
      <c r="K6" s="17"/>
    </row>
    <row r="7" spans="1:11">
      <c r="B7" s="3" t="s">
        <v>5</v>
      </c>
      <c r="I7" s="17"/>
      <c r="J7" s="19"/>
      <c r="K7" s="17"/>
    </row>
    <row r="8" spans="1:11">
      <c r="B8" t="s">
        <v>6</v>
      </c>
      <c r="I8" s="17"/>
      <c r="J8" s="17"/>
      <c r="K8" s="17"/>
    </row>
    <row r="9" spans="1:11">
      <c r="B9" s="7"/>
      <c r="I9" s="17"/>
      <c r="J9" s="17"/>
      <c r="K9" s="17"/>
    </row>
    <row r="10" spans="1:11">
      <c r="B10" s="9" t="s">
        <v>7</v>
      </c>
      <c r="I10" s="17"/>
      <c r="J10" s="6"/>
      <c r="K10" s="17"/>
    </row>
    <row r="11" spans="1:11">
      <c r="B11" t="s">
        <v>8</v>
      </c>
      <c r="I11" s="17"/>
      <c r="J11" s="17"/>
      <c r="K11" s="17"/>
    </row>
    <row r="12" spans="1:11">
      <c r="B12" s="2">
        <v>2018</v>
      </c>
      <c r="I12" s="17"/>
      <c r="J12" s="18"/>
      <c r="K12" s="17"/>
    </row>
    <row r="13" spans="1:11">
      <c r="B13" s="15" t="s">
        <v>9</v>
      </c>
      <c r="I13" s="17"/>
      <c r="J13" s="17"/>
      <c r="K13" s="17"/>
    </row>
    <row r="14" spans="1:11">
      <c r="B14" s="3" t="s">
        <v>10</v>
      </c>
      <c r="I14" s="17"/>
      <c r="J14" s="19"/>
      <c r="K14" s="17"/>
    </row>
    <row r="15" spans="1:11">
      <c r="B15" s="2"/>
      <c r="I15" s="17"/>
      <c r="J15" s="17"/>
      <c r="K15" s="17"/>
    </row>
    <row r="16" spans="1:11">
      <c r="B16" s="9" t="s">
        <v>11</v>
      </c>
      <c r="I16" s="17"/>
      <c r="J16" s="17"/>
      <c r="K16" s="17"/>
    </row>
    <row r="17" spans="2:11">
      <c r="B17" s="2" t="s">
        <v>12</v>
      </c>
      <c r="I17" s="17"/>
      <c r="J17" s="6"/>
      <c r="K17" s="17"/>
    </row>
    <row r="18" spans="2:11">
      <c r="B18" s="2">
        <v>2018</v>
      </c>
      <c r="I18" s="17"/>
      <c r="J18" s="17"/>
      <c r="K18" s="17"/>
    </row>
    <row r="19" spans="2:11">
      <c r="B19" s="2" t="s">
        <v>13</v>
      </c>
      <c r="I19" s="17"/>
      <c r="J19" s="18"/>
      <c r="K19" s="17"/>
    </row>
    <row r="20" spans="2:11">
      <c r="B20" s="23" t="s">
        <v>14</v>
      </c>
      <c r="I20" s="17"/>
      <c r="J20" s="17"/>
      <c r="K20" s="17"/>
    </row>
    <row r="21" spans="2:11">
      <c r="B21" s="7"/>
      <c r="I21" s="17"/>
      <c r="J21" s="19"/>
      <c r="K21" s="17"/>
    </row>
    <row r="22" spans="2:11">
      <c r="B22" s="9" t="s">
        <v>15</v>
      </c>
      <c r="I22" s="17"/>
      <c r="J22" s="19"/>
      <c r="K22" s="17"/>
    </row>
    <row r="23" spans="2:11">
      <c r="B23" s="2" t="s">
        <v>16</v>
      </c>
      <c r="I23" s="17"/>
      <c r="J23" s="19"/>
      <c r="K23" s="17"/>
    </row>
    <row r="24" spans="2:11">
      <c r="B24" s="2">
        <v>2017</v>
      </c>
      <c r="I24" s="17"/>
      <c r="J24" s="19"/>
      <c r="K24" s="17"/>
    </row>
    <row r="25" spans="2:11">
      <c r="B25" s="2" t="s">
        <v>17</v>
      </c>
      <c r="I25" s="17"/>
      <c r="J25" s="19"/>
      <c r="K25" s="17"/>
    </row>
    <row r="26" spans="2:11">
      <c r="B26" s="19" t="s">
        <v>18</v>
      </c>
      <c r="I26" s="17"/>
      <c r="J26" s="19"/>
      <c r="K26" s="17"/>
    </row>
    <row r="27" spans="2:11">
      <c r="B27" s="7"/>
      <c r="I27" s="17"/>
      <c r="J27" s="19"/>
      <c r="K27" s="17"/>
    </row>
    <row r="28" spans="2:11">
      <c r="B28" s="9" t="s">
        <v>19</v>
      </c>
      <c r="I28" s="17"/>
      <c r="J28" s="17"/>
      <c r="K28" s="17"/>
    </row>
    <row r="29" spans="2:11">
      <c r="B29" s="2" t="s">
        <v>20</v>
      </c>
      <c r="I29" s="17"/>
      <c r="J29" s="17"/>
      <c r="K29" s="17"/>
    </row>
    <row r="30" spans="2:11">
      <c r="B30" s="2">
        <v>2017</v>
      </c>
      <c r="I30" s="17"/>
      <c r="J30" s="6"/>
      <c r="K30" s="17"/>
    </row>
    <row r="31" spans="2:11">
      <c r="B31" s="2" t="s">
        <v>21</v>
      </c>
      <c r="I31" s="17"/>
      <c r="J31" s="17"/>
      <c r="K31" s="17"/>
    </row>
    <row r="32" spans="2:11">
      <c r="B32" s="23" t="s">
        <v>22</v>
      </c>
      <c r="I32" s="17"/>
      <c r="J32" s="18"/>
      <c r="K32" s="17"/>
    </row>
    <row r="33" spans="2:11">
      <c r="B33" s="7"/>
      <c r="I33" s="17"/>
      <c r="J33" s="17"/>
      <c r="K33" s="17"/>
    </row>
    <row r="34" spans="2:11">
      <c r="B34" s="9" t="s">
        <v>23</v>
      </c>
      <c r="I34" s="17"/>
      <c r="J34" s="17"/>
      <c r="K34" s="17"/>
    </row>
    <row r="35" spans="2:11">
      <c r="B35" t="s">
        <v>24</v>
      </c>
      <c r="I35" s="17"/>
      <c r="J35" s="17"/>
      <c r="K35" s="17"/>
    </row>
    <row r="36" spans="2:11">
      <c r="B36" s="2">
        <v>2018</v>
      </c>
      <c r="I36" s="17"/>
      <c r="J36" s="20"/>
      <c r="K36" s="17"/>
    </row>
    <row r="37" spans="2:11">
      <c r="B37" s="15" t="s">
        <v>13</v>
      </c>
      <c r="I37" s="17"/>
      <c r="J37" s="20"/>
      <c r="K37" s="17"/>
    </row>
    <row r="38" spans="2:11">
      <c r="B38" s="3" t="s">
        <v>25</v>
      </c>
      <c r="I38" s="17"/>
      <c r="J38" s="20"/>
      <c r="K38" s="17"/>
    </row>
    <row r="39" spans="2:11">
      <c r="I39" s="17"/>
      <c r="J39" s="20"/>
      <c r="K39" s="17"/>
    </row>
    <row r="40" spans="2:11">
      <c r="B40" s="9" t="s">
        <v>26</v>
      </c>
      <c r="I40" s="17"/>
      <c r="J40" s="20"/>
      <c r="K40" s="17"/>
    </row>
    <row r="41" spans="2:11">
      <c r="B41" s="2" t="s">
        <v>27</v>
      </c>
      <c r="I41" s="17"/>
      <c r="J41" s="20"/>
      <c r="K41" s="17"/>
    </row>
    <row r="42" spans="2:11">
      <c r="B42" s="2">
        <v>2019</v>
      </c>
      <c r="I42" s="17"/>
      <c r="J42" s="20"/>
      <c r="K42" s="17"/>
    </row>
    <row r="43" spans="2:11">
      <c r="B43" s="2" t="s">
        <v>28</v>
      </c>
      <c r="I43" s="17"/>
      <c r="J43" s="20"/>
      <c r="K43" s="17"/>
    </row>
    <row r="44" spans="2:11">
      <c r="B44" s="23" t="s">
        <v>29</v>
      </c>
      <c r="I44" s="17"/>
      <c r="J44" s="20"/>
      <c r="K44" s="17"/>
    </row>
    <row r="45" spans="2:11">
      <c r="I45" s="17"/>
      <c r="J45" s="20"/>
      <c r="K45" s="17"/>
    </row>
    <row r="46" spans="2:11">
      <c r="B46" s="9" t="s">
        <v>30</v>
      </c>
      <c r="I46" s="17"/>
      <c r="J46" s="20"/>
      <c r="K46" s="17"/>
    </row>
    <row r="47" spans="2:11">
      <c r="B47" s="2" t="s">
        <v>31</v>
      </c>
      <c r="I47" s="17"/>
      <c r="J47" s="20"/>
      <c r="K47" s="17"/>
    </row>
    <row r="48" spans="2:11">
      <c r="B48" s="2">
        <v>2019</v>
      </c>
      <c r="I48" s="17"/>
      <c r="J48" s="20"/>
      <c r="K48" s="17"/>
    </row>
    <row r="49" spans="2:11">
      <c r="B49" s="2" t="s">
        <v>32</v>
      </c>
      <c r="I49" s="17"/>
      <c r="J49" s="20"/>
      <c r="K49" s="17"/>
    </row>
    <row r="50" spans="2:11">
      <c r="B50" s="23" t="s">
        <v>33</v>
      </c>
      <c r="I50" s="17"/>
      <c r="J50" s="20"/>
      <c r="K50" s="17"/>
    </row>
    <row r="51" spans="2:11">
      <c r="B51" t="s">
        <v>34</v>
      </c>
      <c r="I51" s="17"/>
      <c r="J51" s="20"/>
      <c r="K51" s="17"/>
    </row>
    <row r="52" spans="2:11">
      <c r="I52" s="17"/>
      <c r="J52" s="20"/>
      <c r="K52" s="17"/>
    </row>
    <row r="53" spans="2:11">
      <c r="B53" s="9" t="s">
        <v>35</v>
      </c>
      <c r="I53" s="17"/>
      <c r="J53" s="20"/>
      <c r="K53" s="17"/>
    </row>
    <row r="54" spans="2:11">
      <c r="B54" s="2" t="s">
        <v>36</v>
      </c>
      <c r="I54" s="17"/>
      <c r="J54" s="20"/>
      <c r="K54" s="17"/>
    </row>
    <row r="55" spans="2:11">
      <c r="B55" s="2" t="s">
        <v>37</v>
      </c>
      <c r="I55" s="17"/>
      <c r="J55" s="20"/>
      <c r="K55" s="17"/>
    </row>
    <row r="56" spans="2:11">
      <c r="B56" s="2" t="s">
        <v>38</v>
      </c>
      <c r="I56" s="17"/>
      <c r="J56" s="20"/>
      <c r="K56" s="17"/>
    </row>
    <row r="57" spans="2:11">
      <c r="B57" s="23" t="s">
        <v>39</v>
      </c>
      <c r="I57" s="17"/>
      <c r="J57" s="20"/>
      <c r="K57" s="17"/>
    </row>
    <row r="58" spans="2:11">
      <c r="I58" s="17"/>
      <c r="J58" s="20"/>
      <c r="K58" s="17"/>
    </row>
    <row r="59" spans="2:11">
      <c r="B59" s="9" t="s">
        <v>40</v>
      </c>
      <c r="I59" s="17"/>
      <c r="J59" s="20"/>
      <c r="K59" s="17"/>
    </row>
    <row r="60" spans="2:11">
      <c r="B60" s="2" t="s">
        <v>41</v>
      </c>
      <c r="I60" s="17"/>
      <c r="J60" s="20"/>
      <c r="K60" s="17"/>
    </row>
    <row r="61" spans="2:11">
      <c r="B61" s="2">
        <v>2019</v>
      </c>
      <c r="I61" s="17"/>
      <c r="J61" s="20"/>
      <c r="K61" s="17"/>
    </row>
    <row r="62" spans="2:11">
      <c r="B62" s="2" t="s">
        <v>42</v>
      </c>
      <c r="I62" s="17"/>
      <c r="J62" s="20"/>
      <c r="K62" s="17"/>
    </row>
    <row r="63" spans="2:11">
      <c r="B63" s="23" t="s">
        <v>43</v>
      </c>
      <c r="I63" s="17"/>
      <c r="J63" s="20"/>
      <c r="K63" s="17"/>
    </row>
    <row r="64" spans="2:11">
      <c r="I64" s="17"/>
      <c r="J64" s="20"/>
      <c r="K64" s="17"/>
    </row>
    <row r="65" spans="1:11">
      <c r="B65" s="9" t="s">
        <v>205</v>
      </c>
      <c r="I65" s="17"/>
      <c r="J65" s="20"/>
      <c r="K65" s="17"/>
    </row>
    <row r="66" spans="1:11">
      <c r="B66" s="2" t="s">
        <v>206</v>
      </c>
      <c r="I66" s="17"/>
      <c r="J66" s="20"/>
      <c r="K66" s="17"/>
    </row>
    <row r="67" spans="1:11">
      <c r="B67" s="2">
        <v>2018</v>
      </c>
      <c r="I67" s="17"/>
      <c r="J67" s="20"/>
      <c r="K67" s="17"/>
    </row>
    <row r="68" spans="1:11">
      <c r="B68" s="2" t="s">
        <v>32</v>
      </c>
      <c r="I68" s="17"/>
      <c r="J68" s="20"/>
      <c r="K68" s="17"/>
    </row>
    <row r="69" spans="1:11">
      <c r="B69" s="3" t="s">
        <v>207</v>
      </c>
      <c r="I69" s="17"/>
      <c r="J69" s="20"/>
      <c r="K69" s="17"/>
    </row>
    <row r="70" spans="1:11">
      <c r="B70" s="65" t="s">
        <v>208</v>
      </c>
      <c r="I70" s="17"/>
      <c r="J70" s="20"/>
      <c r="K70" s="17"/>
    </row>
    <row r="71" spans="1:11">
      <c r="I71" s="17"/>
      <c r="J71" s="20"/>
      <c r="K71" s="17"/>
    </row>
    <row r="72" spans="1:11">
      <c r="I72" s="17"/>
      <c r="J72" s="20"/>
      <c r="K72" s="17"/>
    </row>
    <row r="73" spans="1:11">
      <c r="A73" s="1" t="s">
        <v>44</v>
      </c>
      <c r="I73" s="17"/>
      <c r="J73" s="20"/>
      <c r="K73" s="17"/>
    </row>
    <row r="74" spans="1:11">
      <c r="A74" s="49" t="s">
        <v>45</v>
      </c>
      <c r="B74" s="49"/>
      <c r="I74" s="17"/>
      <c r="J74" s="16"/>
      <c r="K74" s="17"/>
    </row>
    <row r="75" spans="1:11">
      <c r="A75" s="49" t="s">
        <v>46</v>
      </c>
      <c r="B75" s="49"/>
      <c r="I75" s="17"/>
      <c r="J75" s="17"/>
      <c r="K75" s="17"/>
    </row>
    <row r="76" spans="1:11">
      <c r="A76" s="49" t="s">
        <v>47</v>
      </c>
      <c r="B76" s="49"/>
      <c r="I76" s="17"/>
      <c r="J76" s="18"/>
      <c r="K76" s="17"/>
    </row>
    <row r="77" spans="1:11">
      <c r="A77" s="49" t="s">
        <v>48</v>
      </c>
      <c r="B77" s="49"/>
      <c r="I77" s="17"/>
      <c r="J77" s="17"/>
      <c r="K77" s="17"/>
    </row>
    <row r="78" spans="1:11">
      <c r="A78" s="49" t="s">
        <v>49</v>
      </c>
      <c r="B78" s="49"/>
      <c r="I78" s="17"/>
      <c r="J78" s="18"/>
      <c r="K78" s="17"/>
    </row>
    <row r="79" spans="1:11">
      <c r="A79" s="49" t="s">
        <v>50</v>
      </c>
      <c r="B79" s="49"/>
      <c r="I79" s="17"/>
      <c r="J79" s="18"/>
      <c r="K79" s="17"/>
    </row>
    <row r="80" spans="1:11">
      <c r="A80" s="49" t="s">
        <v>51</v>
      </c>
      <c r="B80" s="49"/>
      <c r="I80" s="17"/>
      <c r="J80" s="21"/>
      <c r="K80" s="17"/>
    </row>
    <row r="81" spans="1:11">
      <c r="A81" s="49" t="s">
        <v>52</v>
      </c>
      <c r="B81" s="49"/>
      <c r="I81" s="17"/>
      <c r="J81" s="20"/>
      <c r="K81" s="17"/>
    </row>
    <row r="82" spans="1:11">
      <c r="A82" s="49" t="s">
        <v>53</v>
      </c>
      <c r="B82" s="49"/>
      <c r="I82" s="17"/>
      <c r="J82" s="16"/>
      <c r="K82" s="17"/>
    </row>
    <row r="83" spans="1:11">
      <c r="A83" s="49" t="s">
        <v>54</v>
      </c>
      <c r="B83" s="49"/>
      <c r="I83" s="17"/>
      <c r="J83" s="17"/>
      <c r="K83" s="17"/>
    </row>
    <row r="84" spans="1:11">
      <c r="A84" s="49" t="s">
        <v>55</v>
      </c>
      <c r="B84" s="49"/>
      <c r="I84" s="17"/>
      <c r="J84" s="18"/>
      <c r="K84" s="17"/>
    </row>
    <row r="85" spans="1:11">
      <c r="A85" s="49" t="s">
        <v>56</v>
      </c>
      <c r="B85" s="49" t="s">
        <v>57</v>
      </c>
      <c r="I85" s="17"/>
      <c r="J85" s="17"/>
      <c r="K85" s="17"/>
    </row>
    <row r="86" spans="1:11">
      <c r="A86" s="49" t="s">
        <v>58</v>
      </c>
      <c r="B86" s="49"/>
      <c r="I86" s="17"/>
      <c r="J86" s="17"/>
      <c r="K86" s="17"/>
    </row>
    <row r="87" spans="1:11">
      <c r="I87" s="17"/>
      <c r="J87" s="17"/>
      <c r="K87" s="17"/>
    </row>
    <row r="88" spans="1:11">
      <c r="I88" s="17"/>
      <c r="J88" s="6"/>
      <c r="K88" s="17"/>
    </row>
    <row r="89" spans="1:11">
      <c r="I89" s="6"/>
      <c r="J89" s="5"/>
      <c r="K89" s="17"/>
    </row>
    <row r="90" spans="1:11">
      <c r="I90" s="22"/>
      <c r="J90" s="5"/>
      <c r="K90" s="17"/>
    </row>
    <row r="91" spans="1:11">
      <c r="I91" s="22"/>
      <c r="J91" s="5"/>
      <c r="K91" s="17"/>
    </row>
    <row r="92" spans="1:11">
      <c r="I92" s="22"/>
      <c r="J92" s="5"/>
      <c r="K92" s="17"/>
    </row>
    <row r="93" spans="1:11">
      <c r="I93" s="22"/>
      <c r="J93" s="5"/>
      <c r="K93" s="17"/>
    </row>
    <row r="94" spans="1:11">
      <c r="I94" s="22"/>
      <c r="J94" s="5"/>
      <c r="K94" s="17"/>
    </row>
    <row r="95" spans="1:11">
      <c r="I95" s="22"/>
      <c r="J95" s="17"/>
      <c r="K95" s="17"/>
    </row>
    <row r="96" spans="1:11">
      <c r="I96" s="17"/>
      <c r="J96" s="17"/>
      <c r="K96" s="17"/>
    </row>
    <row r="97" spans="9:11">
      <c r="I97" s="17"/>
      <c r="J97" s="17"/>
      <c r="K97" s="17"/>
    </row>
    <row r="98" spans="9:11">
      <c r="I98" s="17"/>
      <c r="J98" s="17"/>
      <c r="K98" s="17"/>
    </row>
    <row r="99" spans="9:11">
      <c r="I99" s="17"/>
      <c r="J99" s="17"/>
      <c r="K99" s="17"/>
    </row>
    <row r="100" spans="9:11">
      <c r="I100" s="17"/>
      <c r="J100" s="17"/>
      <c r="K100" s="17"/>
    </row>
    <row r="101" spans="9:11">
      <c r="I101" s="17"/>
      <c r="J101" s="17"/>
      <c r="K101" s="17"/>
    </row>
    <row r="102" spans="9:11">
      <c r="I102" s="17"/>
      <c r="J102" s="17"/>
      <c r="K102" s="17"/>
    </row>
  </sheetData>
  <hyperlinks>
    <hyperlink ref="B7" r:id="rId1" xr:uid="{3166AD11-CA0B-4FF1-BD33-3DA44A6EC395}"/>
    <hyperlink ref="B38" r:id="rId2" xr:uid="{57031A12-1635-4021-A0E3-57E5CFFB080F}"/>
    <hyperlink ref="B13" r:id="rId3" display="https://www.mtr.com.hk/archive/corporate/en/publications/images/business_overview_e.pdf" xr:uid="{0BD370F9-7BF0-4670-B015-E4D97657B75A}"/>
    <hyperlink ref="B14" r:id="rId4" xr:uid="{46246A56-1D96-49D5-A76F-E087527B1975}"/>
    <hyperlink ref="B20" r:id="rId5" xr:uid="{A410A50D-4781-48B9-B0E2-85BC1030B070}"/>
    <hyperlink ref="B26" r:id="rId6" xr:uid="{4E5FCA6B-8AA7-4A2B-A889-F38581C78AB3}"/>
    <hyperlink ref="B32" r:id="rId7" xr:uid="{76E03D1B-939D-4826-A2A3-52D211278FC6}"/>
    <hyperlink ref="B57" r:id="rId8" xr:uid="{2BD63BC8-4407-4F0D-BC56-6DA2835FF3EF}"/>
    <hyperlink ref="B69" r:id="rId9" xr:uid="{CB9002C7-B921-4AF6-B12F-7159C4E681E8}"/>
  </hyperlinks>
  <pageMargins left="0.7" right="0.7" top="0.75" bottom="0.75" header="0.3" footer="0.3"/>
  <pageSetup orientation="portrait" horizontalDpi="1200" verticalDpi="1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48FA-10CA-41DC-8755-D05E32AB8F75}">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K7"/>
  <sheetViews>
    <sheetView tabSelected="1" workbookViewId="0">
      <selection activeCell="B7" sqref="B7"/>
    </sheetView>
  </sheetViews>
  <sheetFormatPr defaultRowHeight="15"/>
  <cols>
    <col min="1" max="1" width="16.5703125" style="11" customWidth="1"/>
    <col min="2" max="2" width="11.140625" style="11" customWidth="1"/>
    <col min="3" max="3" width="13.85546875" style="11" customWidth="1"/>
    <col min="4" max="4" width="16.5703125" style="11" customWidth="1"/>
    <col min="5" max="5" width="9" style="11" customWidth="1"/>
    <col min="6" max="16384" width="9.140625" style="11"/>
  </cols>
  <sheetData>
    <row r="1" spans="1:37" s="10" customFormat="1">
      <c r="A1" s="47" t="s">
        <v>95</v>
      </c>
      <c r="B1" s="47">
        <v>2016</v>
      </c>
      <c r="C1" s="47">
        <v>2017</v>
      </c>
      <c r="D1" s="47">
        <v>2018</v>
      </c>
      <c r="E1" s="47">
        <v>2019</v>
      </c>
      <c r="F1" s="47">
        <v>2020</v>
      </c>
      <c r="G1" s="47">
        <v>2021</v>
      </c>
      <c r="H1" s="47">
        <v>2022</v>
      </c>
      <c r="I1" s="47">
        <v>2023</v>
      </c>
      <c r="J1" s="47">
        <v>2024</v>
      </c>
      <c r="K1" s="47">
        <v>2025</v>
      </c>
      <c r="L1" s="47">
        <v>2026</v>
      </c>
      <c r="M1" s="47">
        <v>2027</v>
      </c>
      <c r="N1" s="47">
        <v>2028</v>
      </c>
      <c r="O1" s="47">
        <v>2029</v>
      </c>
      <c r="P1" s="47">
        <v>2030</v>
      </c>
      <c r="Q1" s="47">
        <v>2031</v>
      </c>
      <c r="R1" s="47">
        <v>2032</v>
      </c>
      <c r="S1" s="47">
        <v>2033</v>
      </c>
      <c r="T1" s="47">
        <v>2034</v>
      </c>
      <c r="U1" s="47">
        <v>2035</v>
      </c>
      <c r="V1" s="47">
        <v>2036</v>
      </c>
      <c r="W1" s="47">
        <v>2037</v>
      </c>
      <c r="X1" s="47">
        <v>2038</v>
      </c>
      <c r="Y1" s="47">
        <v>2039</v>
      </c>
      <c r="Z1" s="47">
        <v>2040</v>
      </c>
      <c r="AA1" s="47">
        <v>2041</v>
      </c>
      <c r="AB1" s="47">
        <v>2042</v>
      </c>
      <c r="AC1" s="47">
        <v>2043</v>
      </c>
      <c r="AD1" s="47">
        <v>2044</v>
      </c>
      <c r="AE1" s="47">
        <v>2045</v>
      </c>
      <c r="AF1" s="47">
        <v>2046</v>
      </c>
      <c r="AG1" s="47">
        <v>2047</v>
      </c>
      <c r="AH1" s="47">
        <v>2048</v>
      </c>
      <c r="AI1" s="47">
        <v>2049</v>
      </c>
      <c r="AJ1" s="47">
        <v>2050</v>
      </c>
      <c r="AK1" s="47"/>
    </row>
    <row r="2" spans="1:37" s="32" customFormat="1">
      <c r="A2" s="36" t="s">
        <v>138</v>
      </c>
      <c r="B2" s="77">
        <f>'HK Freight'!P91</f>
        <v>25800.125631942468</v>
      </c>
      <c r="C2" s="77">
        <f>'HK Freight'!Q91</f>
        <v>25848.374902826854</v>
      </c>
      <c r="D2" s="77">
        <f>'HK Freight'!R91</f>
        <v>26199.918026691535</v>
      </c>
      <c r="E2" s="77">
        <f>'HK Freight'!S91</f>
        <v>26152.630070615545</v>
      </c>
      <c r="F2" s="77">
        <f>'HK Freight'!T91</f>
        <v>26103.107359877195</v>
      </c>
      <c r="G2" s="77">
        <f>'HK Freight'!U91</f>
        <v>25856.668617932977</v>
      </c>
      <c r="H2" s="77">
        <f>'HK Freight'!V91</f>
        <v>25997.937800421001</v>
      </c>
      <c r="I2" s="77">
        <f>'HK Freight'!W91</f>
        <v>25931.59788626706</v>
      </c>
      <c r="J2" s="77">
        <f>'HK Freight'!X91</f>
        <v>25864.380253844982</v>
      </c>
      <c r="K2" s="77">
        <f>'HK Freight'!Y91</f>
        <v>25796.360228465401</v>
      </c>
      <c r="L2" s="77">
        <f>'HK Freight'!Z91</f>
        <v>25632.159692417124</v>
      </c>
      <c r="M2" s="77">
        <f>'HK Freight'!AA91</f>
        <v>25648.577348007006</v>
      </c>
      <c r="N2" s="77">
        <f>'HK Freight'!AB91</f>
        <v>25569.567188376372</v>
      </c>
      <c r="O2" s="77">
        <f>'HK Freight'!AC91</f>
        <v>25490.611660669882</v>
      </c>
      <c r="P2" s="77">
        <f>'HK Freight'!AD91</f>
        <v>25411.741690982228</v>
      </c>
      <c r="Q2" s="77">
        <f>'HK Freight'!AE91</f>
        <v>25312.436471420388</v>
      </c>
      <c r="R2" s="77">
        <f>'HK Freight'!AF91</f>
        <v>25254.375576888742</v>
      </c>
      <c r="S2" s="77">
        <f>'HK Freight'!AG91</f>
        <v>25175.934887188436</v>
      </c>
      <c r="T2" s="77">
        <f>'HK Freight'!AH91</f>
        <v>25097.690763906037</v>
      </c>
      <c r="U2" s="77">
        <f>'HK Freight'!AI91</f>
        <v>25019.668032788137</v>
      </c>
      <c r="V2" s="77">
        <f>'HK Freight'!AJ91</f>
        <v>24973.232408575092</v>
      </c>
      <c r="W2" s="77">
        <f>'HK Freight'!AK91</f>
        <v>24864.38070166804</v>
      </c>
      <c r="X2" s="77">
        <f>'HK Freight'!AL91</f>
        <v>24787.160532016973</v>
      </c>
      <c r="Y2" s="77">
        <f>'HK Freight'!AM91</f>
        <v>24710.250696174568</v>
      </c>
      <c r="Z2" s="77">
        <f>'HK Freight'!AN91</f>
        <v>24691.213315009863</v>
      </c>
      <c r="AA2" s="77">
        <f>'HK Freight'!AO91</f>
        <v>24557.440536556333</v>
      </c>
      <c r="AB2" s="77">
        <f>'HK Freight'!AP91</f>
        <v>24481.577304222654</v>
      </c>
      <c r="AC2" s="77">
        <f>'HK Freight'!AQ91</f>
        <v>24406.0986575936</v>
      </c>
      <c r="AD2" s="77">
        <f>'HK Freight'!AR91</f>
        <v>24331.021131447113</v>
      </c>
      <c r="AE2" s="77">
        <f>'HK Freight'!AS91</f>
        <v>24256.360513698655</v>
      </c>
      <c r="AF2" s="77">
        <f>'HK Freight'!AT91</f>
        <v>24182.131875438376</v>
      </c>
      <c r="AG2" s="77">
        <f>'HK Freight'!AU91</f>
        <v>24108.349599807414</v>
      </c>
      <c r="AH2" s="77">
        <f>'HK Freight'!AV91</f>
        <v>24035.02740976074</v>
      </c>
      <c r="AI2" s="77">
        <f>'HK Freight'!AW91</f>
        <v>23962.178394760733</v>
      </c>
      <c r="AJ2" s="77">
        <f>'HK Freight'!AX91</f>
        <v>23889.815036444845</v>
      </c>
      <c r="AK2" s="36"/>
    </row>
    <row r="3" spans="1:37" s="32" customFormat="1">
      <c r="A3" s="36" t="s">
        <v>149</v>
      </c>
      <c r="B3" s="77">
        <f>'HK Freight'!P91</f>
        <v>25800.125631942468</v>
      </c>
      <c r="C3" s="77">
        <f>'HK Freight'!Q91</f>
        <v>25848.374902826854</v>
      </c>
      <c r="D3" s="77">
        <f>'HK Freight'!R91</f>
        <v>26199.918026691535</v>
      </c>
      <c r="E3" s="77">
        <f>'HK Freight'!S91</f>
        <v>26152.630070615545</v>
      </c>
      <c r="F3" s="77">
        <f>'HK Freight'!T91</f>
        <v>26103.107359877195</v>
      </c>
      <c r="G3" s="77">
        <f>'HK Freight'!U91</f>
        <v>25856.668617932977</v>
      </c>
      <c r="H3" s="77">
        <f>'HK Freight'!V91</f>
        <v>25997.937800421001</v>
      </c>
      <c r="I3" s="77">
        <f>'HK Freight'!W91</f>
        <v>25931.59788626706</v>
      </c>
      <c r="J3" s="77">
        <f>'HK Freight'!X91</f>
        <v>25864.380253844982</v>
      </c>
      <c r="K3" s="77">
        <f>'HK Freight'!Y91</f>
        <v>25796.360228465401</v>
      </c>
      <c r="L3" s="77">
        <f>'HK Freight'!Z91</f>
        <v>25632.159692417124</v>
      </c>
      <c r="M3" s="77">
        <f>'HK Freight'!AA91</f>
        <v>25648.577348007006</v>
      </c>
      <c r="N3" s="77">
        <f>'HK Freight'!AB91</f>
        <v>25569.567188376372</v>
      </c>
      <c r="O3" s="77">
        <f>'HK Freight'!AC91</f>
        <v>25490.611660669882</v>
      </c>
      <c r="P3" s="77">
        <f>'HK Freight'!AD91</f>
        <v>25411.741690982228</v>
      </c>
      <c r="Q3" s="77">
        <f>'HK Freight'!AE91</f>
        <v>25312.436471420388</v>
      </c>
      <c r="R3" s="77">
        <f>'HK Freight'!AF91</f>
        <v>25254.375576888742</v>
      </c>
      <c r="S3" s="77">
        <f>'HK Freight'!AG91</f>
        <v>25175.934887188436</v>
      </c>
      <c r="T3" s="77">
        <f>'HK Freight'!AH91</f>
        <v>25097.690763906037</v>
      </c>
      <c r="U3" s="77">
        <f>'HK Freight'!AI91</f>
        <v>25019.668032788137</v>
      </c>
      <c r="V3" s="77">
        <f>'HK Freight'!AJ91</f>
        <v>24973.232408575092</v>
      </c>
      <c r="W3" s="77">
        <f>'HK Freight'!AK91</f>
        <v>24864.38070166804</v>
      </c>
      <c r="X3" s="77">
        <f>'HK Freight'!AL91</f>
        <v>24787.160532016973</v>
      </c>
      <c r="Y3" s="77">
        <f>'HK Freight'!AM91</f>
        <v>24710.250696174568</v>
      </c>
      <c r="Z3" s="77">
        <f>'HK Freight'!AN91</f>
        <v>24691.213315009863</v>
      </c>
      <c r="AA3" s="77">
        <f>'HK Freight'!AO91</f>
        <v>24557.440536556333</v>
      </c>
      <c r="AB3" s="77">
        <f>'HK Freight'!AP91</f>
        <v>24481.577304222654</v>
      </c>
      <c r="AC3" s="77">
        <f>'HK Freight'!AQ91</f>
        <v>24406.0986575936</v>
      </c>
      <c r="AD3" s="77">
        <f>'HK Freight'!AR91</f>
        <v>24331.021131447113</v>
      </c>
      <c r="AE3" s="77">
        <f>'HK Freight'!AS91</f>
        <v>24256.360513698655</v>
      </c>
      <c r="AF3" s="77">
        <f>'HK Freight'!AT91</f>
        <v>24182.131875438376</v>
      </c>
      <c r="AG3" s="77">
        <f>'HK Freight'!AU91</f>
        <v>24108.349599807414</v>
      </c>
      <c r="AH3" s="77">
        <f>'HK Freight'!AV91</f>
        <v>24035.02740976074</v>
      </c>
      <c r="AI3" s="77">
        <f>'HK Freight'!AW91</f>
        <v>23962.178394760733</v>
      </c>
      <c r="AJ3" s="77">
        <f>'HK Freight'!AX91</f>
        <v>23889.815036444845</v>
      </c>
      <c r="AK3" s="36"/>
    </row>
    <row r="4" spans="1:37" s="32" customFormat="1">
      <c r="A4" s="36" t="s">
        <v>150</v>
      </c>
      <c r="B4" s="36">
        <v>0</v>
      </c>
      <c r="C4" s="36">
        <v>0</v>
      </c>
      <c r="D4" s="36">
        <v>0</v>
      </c>
      <c r="E4" s="36">
        <v>0</v>
      </c>
      <c r="F4" s="36">
        <v>0</v>
      </c>
      <c r="G4" s="36">
        <v>0</v>
      </c>
      <c r="H4" s="36">
        <v>0</v>
      </c>
      <c r="I4" s="36">
        <v>0</v>
      </c>
      <c r="J4" s="36">
        <v>0</v>
      </c>
      <c r="K4" s="36">
        <v>0</v>
      </c>
      <c r="L4" s="36">
        <v>0</v>
      </c>
      <c r="M4" s="36">
        <v>0</v>
      </c>
      <c r="N4" s="36">
        <v>0</v>
      </c>
      <c r="O4" s="36">
        <v>0</v>
      </c>
      <c r="P4" s="36">
        <v>0</v>
      </c>
      <c r="Q4" s="36">
        <v>0</v>
      </c>
      <c r="R4" s="36">
        <v>0</v>
      </c>
      <c r="S4" s="36">
        <v>0</v>
      </c>
      <c r="T4" s="36">
        <v>0</v>
      </c>
      <c r="U4" s="36">
        <v>0</v>
      </c>
      <c r="V4" s="36">
        <v>0</v>
      </c>
      <c r="W4" s="36">
        <v>0</v>
      </c>
      <c r="X4" s="36">
        <v>0</v>
      </c>
      <c r="Y4" s="36">
        <v>0</v>
      </c>
      <c r="Z4" s="36">
        <v>0</v>
      </c>
      <c r="AA4" s="36">
        <v>0</v>
      </c>
      <c r="AB4" s="36">
        <v>0</v>
      </c>
      <c r="AC4" s="36">
        <v>0</v>
      </c>
      <c r="AD4" s="36">
        <v>0</v>
      </c>
      <c r="AE4" s="36">
        <v>0</v>
      </c>
      <c r="AF4" s="36">
        <v>0</v>
      </c>
      <c r="AG4" s="36">
        <v>0</v>
      </c>
      <c r="AH4" s="36">
        <v>0</v>
      </c>
      <c r="AI4" s="36">
        <v>0</v>
      </c>
      <c r="AJ4" s="36">
        <v>0</v>
      </c>
      <c r="AK4" s="36"/>
    </row>
    <row r="5" spans="1:37" s="32" customFormat="1">
      <c r="A5" s="36" t="s">
        <v>151</v>
      </c>
      <c r="B5" s="36">
        <v>0</v>
      </c>
      <c r="C5" s="36">
        <v>0</v>
      </c>
      <c r="D5" s="36">
        <v>0</v>
      </c>
      <c r="E5" s="36">
        <v>0</v>
      </c>
      <c r="F5" s="36">
        <v>0</v>
      </c>
      <c r="G5" s="36">
        <v>0</v>
      </c>
      <c r="H5" s="36">
        <v>0</v>
      </c>
      <c r="I5" s="36">
        <v>0</v>
      </c>
      <c r="J5" s="36">
        <v>0</v>
      </c>
      <c r="K5" s="36">
        <v>0</v>
      </c>
      <c r="L5" s="36">
        <v>0</v>
      </c>
      <c r="M5" s="36">
        <v>0</v>
      </c>
      <c r="N5" s="36">
        <v>0</v>
      </c>
      <c r="O5" s="36">
        <v>0</v>
      </c>
      <c r="P5" s="36">
        <v>0</v>
      </c>
      <c r="Q5" s="36">
        <v>0</v>
      </c>
      <c r="R5" s="36">
        <v>0</v>
      </c>
      <c r="S5" s="36">
        <v>0</v>
      </c>
      <c r="T5" s="36">
        <v>0</v>
      </c>
      <c r="U5" s="36">
        <v>0</v>
      </c>
      <c r="V5" s="36">
        <v>0</v>
      </c>
      <c r="W5" s="36">
        <v>0</v>
      </c>
      <c r="X5" s="36">
        <v>0</v>
      </c>
      <c r="Y5" s="36">
        <v>0</v>
      </c>
      <c r="Z5" s="36">
        <v>0</v>
      </c>
      <c r="AA5" s="36">
        <v>0</v>
      </c>
      <c r="AB5" s="36">
        <v>0</v>
      </c>
      <c r="AC5" s="36">
        <v>0</v>
      </c>
      <c r="AD5" s="36">
        <v>0</v>
      </c>
      <c r="AE5" s="36">
        <v>0</v>
      </c>
      <c r="AF5" s="36">
        <v>0</v>
      </c>
      <c r="AG5" s="36">
        <v>0</v>
      </c>
      <c r="AH5" s="36">
        <v>0</v>
      </c>
      <c r="AI5" s="36">
        <v>0</v>
      </c>
      <c r="AJ5" s="36">
        <v>0</v>
      </c>
      <c r="AK5" s="36"/>
    </row>
    <row r="6" spans="1:37" s="32" customFormat="1">
      <c r="A6" s="36" t="s">
        <v>152</v>
      </c>
      <c r="B6" s="77">
        <f>'HK Freight'!$G$6</f>
        <v>48988.904777280004</v>
      </c>
      <c r="C6" s="77">
        <f>'HK Freight'!$G$6</f>
        <v>48988.904777280004</v>
      </c>
      <c r="D6" s="77">
        <f>'HK Freight'!$G$6</f>
        <v>48988.904777280004</v>
      </c>
      <c r="E6" s="77">
        <f>'HK Freight'!$G$6</f>
        <v>48988.904777280004</v>
      </c>
      <c r="F6" s="77">
        <f>'HK Freight'!$G$6</f>
        <v>48988.904777280004</v>
      </c>
      <c r="G6" s="77">
        <f>'HK Freight'!$G$6</f>
        <v>48988.904777280004</v>
      </c>
      <c r="H6" s="77">
        <f>'HK Freight'!$G$6</f>
        <v>48988.904777280004</v>
      </c>
      <c r="I6" s="77">
        <f>'HK Freight'!$G$6</f>
        <v>48988.904777280004</v>
      </c>
      <c r="J6" s="77">
        <f>'HK Freight'!$G$6</f>
        <v>48988.904777280004</v>
      </c>
      <c r="K6" s="77">
        <f>'HK Freight'!$G$6</f>
        <v>48988.904777280004</v>
      </c>
      <c r="L6" s="77">
        <f>'HK Freight'!$G$6</f>
        <v>48988.904777280004</v>
      </c>
      <c r="M6" s="77">
        <f>'HK Freight'!$G$6</f>
        <v>48988.904777280004</v>
      </c>
      <c r="N6" s="77">
        <f>'HK Freight'!$G$6</f>
        <v>48988.904777280004</v>
      </c>
      <c r="O6" s="77">
        <f>'HK Freight'!$G$6</f>
        <v>48988.904777280004</v>
      </c>
      <c r="P6" s="77">
        <f>'HK Freight'!$G$6</f>
        <v>48988.904777280004</v>
      </c>
      <c r="Q6" s="77">
        <f>'HK Freight'!$G$6</f>
        <v>48988.904777280004</v>
      </c>
      <c r="R6" s="77">
        <f>'HK Freight'!$G$6</f>
        <v>48988.904777280004</v>
      </c>
      <c r="S6" s="77">
        <f>'HK Freight'!$G$6</f>
        <v>48988.904777280004</v>
      </c>
      <c r="T6" s="77">
        <f>'HK Freight'!$G$6</f>
        <v>48988.904777280004</v>
      </c>
      <c r="U6" s="77">
        <f>'HK Freight'!$G$6</f>
        <v>48988.904777280004</v>
      </c>
      <c r="V6" s="77">
        <f>'HK Freight'!$G$6</f>
        <v>48988.904777280004</v>
      </c>
      <c r="W6" s="77">
        <f>'HK Freight'!$G$6</f>
        <v>48988.904777280004</v>
      </c>
      <c r="X6" s="77">
        <f>'HK Freight'!$G$6</f>
        <v>48988.904777280004</v>
      </c>
      <c r="Y6" s="77">
        <f>'HK Freight'!$G$6</f>
        <v>48988.904777280004</v>
      </c>
      <c r="Z6" s="77">
        <f>'HK Freight'!$G$6</f>
        <v>48988.904777280004</v>
      </c>
      <c r="AA6" s="77">
        <f>'HK Freight'!$G$6</f>
        <v>48988.904777280004</v>
      </c>
      <c r="AB6" s="77">
        <f>'HK Freight'!$G$6</f>
        <v>48988.904777280004</v>
      </c>
      <c r="AC6" s="77">
        <f>'HK Freight'!$G$6</f>
        <v>48988.904777280004</v>
      </c>
      <c r="AD6" s="77">
        <f>'HK Freight'!$G$6</f>
        <v>48988.904777280004</v>
      </c>
      <c r="AE6" s="77">
        <f>'HK Freight'!$G$6</f>
        <v>48988.904777280004</v>
      </c>
      <c r="AF6" s="77">
        <f>'HK Freight'!$G$6</f>
        <v>48988.904777280004</v>
      </c>
      <c r="AG6" s="77">
        <f>'HK Freight'!$G$6</f>
        <v>48988.904777280004</v>
      </c>
      <c r="AH6" s="77">
        <f>'HK Freight'!$G$6</f>
        <v>48988.904777280004</v>
      </c>
      <c r="AI6" s="77">
        <f>'HK Freight'!$G$6</f>
        <v>48988.904777280004</v>
      </c>
      <c r="AJ6" s="77">
        <f>'HK Freight'!$G$6</f>
        <v>48988.904777280004</v>
      </c>
      <c r="AK6" s="36"/>
    </row>
    <row r="7" spans="1:37" s="32" customFormat="1">
      <c r="A7" s="36" t="s">
        <v>153</v>
      </c>
      <c r="B7" s="77">
        <f>'HK Taxi'!C37*0.6213712</f>
        <v>92564.955847043937</v>
      </c>
      <c r="C7" s="77">
        <f>B7</f>
        <v>92564.955847043937</v>
      </c>
      <c r="D7" s="77">
        <f t="shared" ref="D7:AJ7" si="0">C7</f>
        <v>92564.955847043937</v>
      </c>
      <c r="E7" s="77">
        <f t="shared" si="0"/>
        <v>92564.955847043937</v>
      </c>
      <c r="F7" s="77">
        <f t="shared" si="0"/>
        <v>92564.955847043937</v>
      </c>
      <c r="G7" s="77">
        <f t="shared" si="0"/>
        <v>92564.955847043937</v>
      </c>
      <c r="H7" s="77">
        <f t="shared" si="0"/>
        <v>92564.955847043937</v>
      </c>
      <c r="I7" s="77">
        <f t="shared" si="0"/>
        <v>92564.955847043937</v>
      </c>
      <c r="J7" s="77">
        <f t="shared" si="0"/>
        <v>92564.955847043937</v>
      </c>
      <c r="K7" s="77">
        <f t="shared" si="0"/>
        <v>92564.955847043937</v>
      </c>
      <c r="L7" s="77">
        <f t="shared" si="0"/>
        <v>92564.955847043937</v>
      </c>
      <c r="M7" s="77">
        <f t="shared" si="0"/>
        <v>92564.955847043937</v>
      </c>
      <c r="N7" s="77">
        <f t="shared" si="0"/>
        <v>92564.955847043937</v>
      </c>
      <c r="O7" s="77">
        <f t="shared" si="0"/>
        <v>92564.955847043937</v>
      </c>
      <c r="P7" s="77">
        <f t="shared" si="0"/>
        <v>92564.955847043937</v>
      </c>
      <c r="Q7" s="77">
        <f t="shared" si="0"/>
        <v>92564.955847043937</v>
      </c>
      <c r="R7" s="77">
        <f t="shared" si="0"/>
        <v>92564.955847043937</v>
      </c>
      <c r="S7" s="77">
        <f t="shared" si="0"/>
        <v>92564.955847043937</v>
      </c>
      <c r="T7" s="77">
        <f t="shared" si="0"/>
        <v>92564.955847043937</v>
      </c>
      <c r="U7" s="77">
        <f t="shared" si="0"/>
        <v>92564.955847043937</v>
      </c>
      <c r="V7" s="77">
        <f t="shared" si="0"/>
        <v>92564.955847043937</v>
      </c>
      <c r="W7" s="77">
        <f t="shared" si="0"/>
        <v>92564.955847043937</v>
      </c>
      <c r="X7" s="77">
        <f t="shared" si="0"/>
        <v>92564.955847043937</v>
      </c>
      <c r="Y7" s="77">
        <f t="shared" si="0"/>
        <v>92564.955847043937</v>
      </c>
      <c r="Z7" s="77">
        <f t="shared" si="0"/>
        <v>92564.955847043937</v>
      </c>
      <c r="AA7" s="77">
        <f t="shared" si="0"/>
        <v>92564.955847043937</v>
      </c>
      <c r="AB7" s="77">
        <f t="shared" si="0"/>
        <v>92564.955847043937</v>
      </c>
      <c r="AC7" s="77">
        <f t="shared" si="0"/>
        <v>92564.955847043937</v>
      </c>
      <c r="AD7" s="77">
        <f t="shared" si="0"/>
        <v>92564.955847043937</v>
      </c>
      <c r="AE7" s="77">
        <f t="shared" si="0"/>
        <v>92564.955847043937</v>
      </c>
      <c r="AF7" s="77">
        <f t="shared" si="0"/>
        <v>92564.955847043937</v>
      </c>
      <c r="AG7" s="77">
        <f t="shared" si="0"/>
        <v>92564.955847043937</v>
      </c>
      <c r="AH7" s="77">
        <f t="shared" si="0"/>
        <v>92564.955847043937</v>
      </c>
      <c r="AI7" s="77">
        <f t="shared" si="0"/>
        <v>92564.955847043937</v>
      </c>
      <c r="AJ7" s="77">
        <f t="shared" si="0"/>
        <v>92564.955847043937</v>
      </c>
      <c r="AK7" s="36"/>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K7"/>
  <sheetViews>
    <sheetView workbookViewId="0">
      <selection activeCell="B3" sqref="B3"/>
    </sheetView>
  </sheetViews>
  <sheetFormatPr defaultRowHeight="15"/>
  <cols>
    <col min="1" max="4" width="16.5703125" style="11" customWidth="1"/>
    <col min="5" max="5" width="9" style="11" customWidth="1"/>
    <col min="6" max="6" width="8.7109375" style="11" customWidth="1"/>
    <col min="7" max="16384" width="9.140625" style="11"/>
  </cols>
  <sheetData>
    <row r="1" spans="1:37" s="10" customFormat="1">
      <c r="A1" s="47" t="s">
        <v>95</v>
      </c>
      <c r="B1" s="47">
        <v>2016</v>
      </c>
      <c r="C1" s="47">
        <v>2017</v>
      </c>
      <c r="D1" s="47">
        <v>2018</v>
      </c>
      <c r="E1" s="47">
        <v>2019</v>
      </c>
      <c r="F1" s="47">
        <v>2020</v>
      </c>
      <c r="G1" s="47">
        <v>2021</v>
      </c>
      <c r="H1" s="47">
        <v>2022</v>
      </c>
      <c r="I1" s="47">
        <v>2023</v>
      </c>
      <c r="J1" s="47">
        <v>2024</v>
      </c>
      <c r="K1" s="47">
        <v>2025</v>
      </c>
      <c r="L1" s="47">
        <v>2026</v>
      </c>
      <c r="M1" s="47">
        <v>2027</v>
      </c>
      <c r="N1" s="47">
        <v>2028</v>
      </c>
      <c r="O1" s="47">
        <v>2029</v>
      </c>
      <c r="P1" s="47">
        <v>2030</v>
      </c>
      <c r="Q1" s="47">
        <v>2031</v>
      </c>
      <c r="R1" s="47">
        <v>2032</v>
      </c>
      <c r="S1" s="47">
        <v>2033</v>
      </c>
      <c r="T1" s="47">
        <v>2034</v>
      </c>
      <c r="U1" s="47">
        <v>2035</v>
      </c>
      <c r="V1" s="47">
        <v>2036</v>
      </c>
      <c r="W1" s="47">
        <v>2037</v>
      </c>
      <c r="X1" s="47">
        <v>2038</v>
      </c>
      <c r="Y1" s="47">
        <v>2039</v>
      </c>
      <c r="Z1" s="47">
        <v>2040</v>
      </c>
      <c r="AA1" s="47">
        <v>2041</v>
      </c>
      <c r="AB1" s="47">
        <v>2042</v>
      </c>
      <c r="AC1" s="47">
        <v>2043</v>
      </c>
      <c r="AD1" s="47">
        <v>2044</v>
      </c>
      <c r="AE1" s="47">
        <v>2045</v>
      </c>
      <c r="AF1" s="47">
        <v>2046</v>
      </c>
      <c r="AG1" s="47">
        <v>2047</v>
      </c>
      <c r="AH1" s="47">
        <v>2048</v>
      </c>
      <c r="AI1" s="47">
        <v>2049</v>
      </c>
      <c r="AJ1" s="47">
        <v>2050</v>
      </c>
      <c r="AK1" s="47"/>
    </row>
    <row r="2" spans="1:37" s="32" customFormat="1">
      <c r="A2" s="36" t="s">
        <v>138</v>
      </c>
      <c r="B2" s="77">
        <f>'HK Passenger'!$G$4*'HK Passenger'!A61</f>
        <v>9280.000566292958</v>
      </c>
      <c r="C2" s="77">
        <f>'HK Passenger'!$G$4*'HK Passenger'!B61</f>
        <v>9490.7064945074599</v>
      </c>
      <c r="D2" s="77">
        <f>'HK Passenger'!$G$4*'HK Passenger'!C61</f>
        <v>9699.7526864594111</v>
      </c>
      <c r="E2" s="77">
        <f>'HK Passenger'!$G$4*'HK Passenger'!D61</f>
        <v>9900.0680172346401</v>
      </c>
      <c r="F2" s="77">
        <f>'HK Passenger'!$G$4*'HK Passenger'!E61</f>
        <v>10098.352631481474</v>
      </c>
      <c r="G2" s="77">
        <f>'HK Passenger'!$G$4*'HK Passenger'!F61</f>
        <v>10285.914356687032</v>
      </c>
      <c r="H2" s="77">
        <f>'HK Passenger'!$G$4*'HK Passenger'!G61</f>
        <v>10468.047505764322</v>
      </c>
      <c r="I2" s="77">
        <f>'HK Passenger'!$G$4*'HK Passenger'!H61</f>
        <v>10644.048627119109</v>
      </c>
      <c r="J2" s="77">
        <f>'HK Passenger'!$G$4*'HK Passenger'!I61</f>
        <v>10810.196258189691</v>
      </c>
      <c r="K2" s="77">
        <f>'HK Passenger'!$G$4*'HK Passenger'!J61</f>
        <v>10969.00486223418</v>
      </c>
      <c r="L2" s="77">
        <f>'HK Passenger'!$G$4*'HK Passenger'!K61</f>
        <v>11119.205822539754</v>
      </c>
      <c r="M2" s="77">
        <f>'HK Passenger'!$G$4*'HK Passenger'!L61</f>
        <v>11262.900040906781</v>
      </c>
      <c r="N2" s="77">
        <f>'HK Passenger'!$G$4*'HK Passenger'!M61</f>
        <v>11404.054613626302</v>
      </c>
      <c r="O2" s="77">
        <f>'HK Passenger'!$G$4*'HK Passenger'!N61</f>
        <v>11540.872915369418</v>
      </c>
      <c r="P2" s="77">
        <f>'HK Passenger'!$G$4*'HK Passenger'!O61</f>
        <v>11671.353715345518</v>
      </c>
      <c r="Q2" s="77">
        <f>'HK Passenger'!$G$4*'HK Passenger'!P61</f>
        <v>11796.822209448817</v>
      </c>
      <c r="R2" s="77">
        <f>'HK Passenger'!$G$4*'HK Passenger'!Q61</f>
        <v>11917.644086504668</v>
      </c>
      <c r="S2" s="77">
        <f>'HK Passenger'!$G$4*'HK Passenger'!R61</f>
        <v>12034.762568173639</v>
      </c>
      <c r="T2" s="77">
        <f>'HK Passenger'!$G$4*'HK Passenger'!S61</f>
        <v>12145.851020459317</v>
      </c>
      <c r="U2" s="77">
        <f>'HK Passenger'!$G$4*'HK Passenger'!T61</f>
        <v>12249.311791541026</v>
      </c>
      <c r="V2" s="77">
        <f>'HK Passenger'!$G$4*'HK Passenger'!U61</f>
        <v>12345.991465772653</v>
      </c>
      <c r="W2" s="77">
        <f>'HK Passenger'!$G$4*'HK Passenger'!V61</f>
        <v>12435.686278604207</v>
      </c>
      <c r="X2" s="77">
        <f>'HK Passenger'!$G$4*'HK Passenger'!W61</f>
        <v>12517.731845787874</v>
      </c>
      <c r="Y2" s="77">
        <f>'HK Passenger'!$G$4*'HK Passenger'!X61</f>
        <v>12591.006637147773</v>
      </c>
      <c r="Z2" s="77">
        <f>'HK Passenger'!$G$4*'HK Passenger'!Y61</f>
        <v>12656.568013720987</v>
      </c>
      <c r="AA2" s="77">
        <f>'HK Passenger'!$G$4*'HK Passenger'!Z61</f>
        <v>12713.744357053414</v>
      </c>
      <c r="AB2" s="77">
        <f>'HK Passenger'!$G$4*'HK Passenger'!AA61</f>
        <v>12763.119437818719</v>
      </c>
      <c r="AC2" s="77">
        <f>'HK Passenger'!$G$4*'HK Passenger'!AB61</f>
        <v>12806.529477615843</v>
      </c>
      <c r="AD2" s="77">
        <f>'HK Passenger'!$G$4*'HK Passenger'!AC61</f>
        <v>12843.517746504702</v>
      </c>
      <c r="AE2" s="77">
        <f>'HK Passenger'!$G$4*'HK Passenger'!AD61</f>
        <v>12873.281790430819</v>
      </c>
      <c r="AF2" s="77">
        <f>'HK Passenger'!$G$4*'HK Passenger'!AE61</f>
        <v>12896.275158450302</v>
      </c>
      <c r="AG2" s="77">
        <f>'HK Passenger'!$G$4*'HK Passenger'!AF61</f>
        <v>12911.343339758108</v>
      </c>
      <c r="AH2" s="77">
        <f>'HK Passenger'!$G$4*'HK Passenger'!AG61</f>
        <v>12920.309927119051</v>
      </c>
      <c r="AI2" s="77">
        <f>'HK Passenger'!$G$4*'HK Passenger'!AH61</f>
        <v>12922.128565256369</v>
      </c>
      <c r="AJ2" s="77">
        <f>'HK Passenger'!$G$4*'HK Passenger'!AI61</f>
        <v>12917.011538305296</v>
      </c>
      <c r="AK2" s="36"/>
    </row>
    <row r="3" spans="1:37" s="32" customFormat="1">
      <c r="A3" s="36" t="s">
        <v>149</v>
      </c>
      <c r="B3" s="77">
        <f>'HK Passenger'!$G$5*'HK Passenger'!A61</f>
        <v>42801.359488451482</v>
      </c>
      <c r="C3" s="77">
        <f>'HK Passenger'!$G$5*'HK Passenger'!B61</f>
        <v>43773.180569218872</v>
      </c>
      <c r="D3" s="77">
        <f>'HK Passenger'!$G$5*'HK Passenger'!C61</f>
        <v>44737.346589200206</v>
      </c>
      <c r="E3" s="77">
        <f>'HK Passenger'!$G$5*'HK Passenger'!D61</f>
        <v>45661.243998721984</v>
      </c>
      <c r="F3" s="77">
        <f>'HK Passenger'!$G$5*'HK Passenger'!E61</f>
        <v>46575.77530664386</v>
      </c>
      <c r="G3" s="77">
        <f>'HK Passenger'!$G$5*'HK Passenger'!F61</f>
        <v>47440.850342948965</v>
      </c>
      <c r="H3" s="77">
        <f>'HK Passenger'!$G$5*'HK Passenger'!G61</f>
        <v>48280.887618025859</v>
      </c>
      <c r="I3" s="77">
        <f>'HK Passenger'!$G$5*'HK Passenger'!H61</f>
        <v>49092.642661752769</v>
      </c>
      <c r="J3" s="77">
        <f>'HK Passenger'!$G$5*'HK Passenger'!I61</f>
        <v>49858.951288008306</v>
      </c>
      <c r="K3" s="77">
        <f>'HK Passenger'!$G$5*'HK Passenger'!J61</f>
        <v>50591.410742402775</v>
      </c>
      <c r="L3" s="77">
        <f>'HK Passenger'!$G$5*'HK Passenger'!K61</f>
        <v>51284.16989167485</v>
      </c>
      <c r="M3" s="77">
        <f>'HK Passenger'!$G$5*'HK Passenger'!L61</f>
        <v>51946.918547001282</v>
      </c>
      <c r="N3" s="77">
        <f>'HK Passenger'!$G$5*'HK Passenger'!M61</f>
        <v>52597.953810118765</v>
      </c>
      <c r="O3" s="77">
        <f>'HK Passenger'!$G$5*'HK Passenger'!N61</f>
        <v>53228.989258411406</v>
      </c>
      <c r="P3" s="77">
        <f>'HK Passenger'!$G$5*'HK Passenger'!O61</f>
        <v>53830.794784846694</v>
      </c>
      <c r="Q3" s="77">
        <f>'HK Passenger'!$G$5*'HK Passenger'!P61</f>
        <v>54409.48247804532</v>
      </c>
      <c r="R3" s="77">
        <f>'HK Passenger'!$G$5*'HK Passenger'!Q61</f>
        <v>54966.738973558953</v>
      </c>
      <c r="S3" s="77">
        <f>'HK Passenger'!$G$5*'HK Passenger'!R61</f>
        <v>55506.914612649212</v>
      </c>
      <c r="T3" s="77">
        <f>'HK Passenger'!$G$5*'HK Passenger'!S61</f>
        <v>56019.278458677974</v>
      </c>
      <c r="U3" s="77">
        <f>'HK Passenger'!$G$5*'HK Passenger'!T61</f>
        <v>56496.461797664517</v>
      </c>
      <c r="V3" s="77">
        <f>'HK Passenger'!$G$5*'HK Passenger'!U61</f>
        <v>56942.369258817525</v>
      </c>
      <c r="W3" s="77">
        <f>'HK Passenger'!$G$5*'HK Passenger'!V61</f>
        <v>57356.061036186278</v>
      </c>
      <c r="X3" s="77">
        <f>'HK Passenger'!$G$5*'HK Passenger'!W61</f>
        <v>57734.472846657191</v>
      </c>
      <c r="Y3" s="77">
        <f>'HK Passenger'!$G$5*'HK Passenger'!X61</f>
        <v>58072.4319517275</v>
      </c>
      <c r="Z3" s="77">
        <f>'HK Passenger'!$G$5*'HK Passenger'!Y61</f>
        <v>58374.815128023882</v>
      </c>
      <c r="AA3" s="77">
        <f>'HK Passenger'!$G$5*'HK Passenger'!Z61</f>
        <v>58638.524726716707</v>
      </c>
      <c r="AB3" s="77">
        <f>'HK Passenger'!$G$5*'HK Passenger'!AA61</f>
        <v>58866.25322376909</v>
      </c>
      <c r="AC3" s="77">
        <f>'HK Passenger'!$G$5*'HK Passenger'!AB61</f>
        <v>59066.469668314727</v>
      </c>
      <c r="AD3" s="77">
        <f>'HK Passenger'!$G$5*'HK Passenger'!AC61</f>
        <v>59237.0675235905</v>
      </c>
      <c r="AE3" s="77">
        <f>'HK Passenger'!$G$5*'HK Passenger'!AD61</f>
        <v>59374.345698824567</v>
      </c>
      <c r="AF3" s="77">
        <f>'HK Passenger'!$G$5*'HK Passenger'!AE61</f>
        <v>59480.396059858678</v>
      </c>
      <c r="AG3" s="77">
        <f>'HK Passenger'!$G$5*'HK Passenger'!AF61</f>
        <v>59549.893754431585</v>
      </c>
      <c r="AH3" s="77">
        <f>'HK Passenger'!$G$5*'HK Passenger'!AG61</f>
        <v>59591.249584776495</v>
      </c>
      <c r="AI3" s="77">
        <f>'HK Passenger'!$G$5*'HK Passenger'!AH61</f>
        <v>59599.637535201575</v>
      </c>
      <c r="AJ3" s="77">
        <f>'HK Passenger'!$G$5*'HK Passenger'!AI61</f>
        <v>59576.036705817962</v>
      </c>
      <c r="AK3" s="36"/>
    </row>
    <row r="4" spans="1:37" s="32" customFormat="1">
      <c r="A4" s="36" t="s">
        <v>150</v>
      </c>
      <c r="B4" s="36">
        <v>0</v>
      </c>
      <c r="C4" s="36">
        <v>0</v>
      </c>
      <c r="D4" s="36">
        <v>0</v>
      </c>
      <c r="E4" s="36">
        <v>0</v>
      </c>
      <c r="F4" s="36">
        <v>0</v>
      </c>
      <c r="G4" s="36">
        <v>0</v>
      </c>
      <c r="H4" s="36">
        <v>0</v>
      </c>
      <c r="I4" s="36">
        <v>0</v>
      </c>
      <c r="J4" s="36">
        <v>0</v>
      </c>
      <c r="K4" s="36">
        <v>0</v>
      </c>
      <c r="L4" s="36">
        <v>0</v>
      </c>
      <c r="M4" s="36">
        <v>0</v>
      </c>
      <c r="N4" s="36">
        <v>0</v>
      </c>
      <c r="O4" s="36">
        <v>0</v>
      </c>
      <c r="P4" s="36">
        <v>0</v>
      </c>
      <c r="Q4" s="36">
        <v>0</v>
      </c>
      <c r="R4" s="36">
        <v>0</v>
      </c>
      <c r="S4" s="36">
        <v>0</v>
      </c>
      <c r="T4" s="36">
        <v>0</v>
      </c>
      <c r="U4" s="36">
        <v>0</v>
      </c>
      <c r="V4" s="36">
        <v>0</v>
      </c>
      <c r="W4" s="36">
        <v>0</v>
      </c>
      <c r="X4" s="36">
        <v>0</v>
      </c>
      <c r="Y4" s="36">
        <v>0</v>
      </c>
      <c r="Z4" s="36">
        <v>0</v>
      </c>
      <c r="AA4" s="36">
        <v>0</v>
      </c>
      <c r="AB4" s="36">
        <v>0</v>
      </c>
      <c r="AC4" s="36">
        <v>0</v>
      </c>
      <c r="AD4" s="36">
        <v>0</v>
      </c>
      <c r="AE4" s="36">
        <v>0</v>
      </c>
      <c r="AF4" s="36">
        <v>0</v>
      </c>
      <c r="AG4" s="36">
        <v>0</v>
      </c>
      <c r="AH4" s="36">
        <v>0</v>
      </c>
      <c r="AI4" s="36">
        <v>0</v>
      </c>
      <c r="AJ4" s="36">
        <v>0</v>
      </c>
      <c r="AK4" s="36"/>
    </row>
    <row r="5" spans="1:37" s="32" customFormat="1">
      <c r="A5" s="36" t="s">
        <v>151</v>
      </c>
      <c r="B5" s="36">
        <f>'HK Passenger'!G7</f>
        <v>74446.087579138897</v>
      </c>
      <c r="C5" s="36">
        <f>B5</f>
        <v>74446.087579138897</v>
      </c>
      <c r="D5" s="36">
        <f>C5</f>
        <v>74446.087579138897</v>
      </c>
      <c r="E5" s="36">
        <f t="shared" ref="E5:AJ5" si="0">D5</f>
        <v>74446.087579138897</v>
      </c>
      <c r="F5" s="36">
        <f t="shared" si="0"/>
        <v>74446.087579138897</v>
      </c>
      <c r="G5" s="36">
        <f t="shared" si="0"/>
        <v>74446.087579138897</v>
      </c>
      <c r="H5" s="36">
        <f t="shared" si="0"/>
        <v>74446.087579138897</v>
      </c>
      <c r="I5" s="36">
        <f t="shared" si="0"/>
        <v>74446.087579138897</v>
      </c>
      <c r="J5" s="36">
        <f t="shared" si="0"/>
        <v>74446.087579138897</v>
      </c>
      <c r="K5" s="36">
        <f t="shared" si="0"/>
        <v>74446.087579138897</v>
      </c>
      <c r="L5" s="36">
        <f t="shared" si="0"/>
        <v>74446.087579138897</v>
      </c>
      <c r="M5" s="36">
        <f t="shared" si="0"/>
        <v>74446.087579138897</v>
      </c>
      <c r="N5" s="36">
        <f t="shared" si="0"/>
        <v>74446.087579138897</v>
      </c>
      <c r="O5" s="36">
        <f t="shared" si="0"/>
        <v>74446.087579138897</v>
      </c>
      <c r="P5" s="36">
        <f t="shared" si="0"/>
        <v>74446.087579138897</v>
      </c>
      <c r="Q5" s="36">
        <f t="shared" si="0"/>
        <v>74446.087579138897</v>
      </c>
      <c r="R5" s="36">
        <f t="shared" si="0"/>
        <v>74446.087579138897</v>
      </c>
      <c r="S5" s="36">
        <f t="shared" si="0"/>
        <v>74446.087579138897</v>
      </c>
      <c r="T5" s="36">
        <f t="shared" si="0"/>
        <v>74446.087579138897</v>
      </c>
      <c r="U5" s="36">
        <f t="shared" si="0"/>
        <v>74446.087579138897</v>
      </c>
      <c r="V5" s="36">
        <f t="shared" si="0"/>
        <v>74446.087579138897</v>
      </c>
      <c r="W5" s="36">
        <f t="shared" si="0"/>
        <v>74446.087579138897</v>
      </c>
      <c r="X5" s="36">
        <f t="shared" si="0"/>
        <v>74446.087579138897</v>
      </c>
      <c r="Y5" s="36">
        <f t="shared" si="0"/>
        <v>74446.087579138897</v>
      </c>
      <c r="Z5" s="36">
        <f t="shared" si="0"/>
        <v>74446.087579138897</v>
      </c>
      <c r="AA5" s="36">
        <f t="shared" si="0"/>
        <v>74446.087579138897</v>
      </c>
      <c r="AB5" s="36">
        <f t="shared" si="0"/>
        <v>74446.087579138897</v>
      </c>
      <c r="AC5" s="36">
        <f t="shared" si="0"/>
        <v>74446.087579138897</v>
      </c>
      <c r="AD5" s="36">
        <f t="shared" si="0"/>
        <v>74446.087579138897</v>
      </c>
      <c r="AE5" s="36">
        <f t="shared" si="0"/>
        <v>74446.087579138897</v>
      </c>
      <c r="AF5" s="36">
        <f t="shared" si="0"/>
        <v>74446.087579138897</v>
      </c>
      <c r="AG5" s="36">
        <f t="shared" si="0"/>
        <v>74446.087579138897</v>
      </c>
      <c r="AH5" s="36">
        <f t="shared" si="0"/>
        <v>74446.087579138897</v>
      </c>
      <c r="AI5" s="36">
        <f t="shared" si="0"/>
        <v>74446.087579138897</v>
      </c>
      <c r="AJ5" s="36">
        <f t="shared" si="0"/>
        <v>74446.087579138897</v>
      </c>
      <c r="AK5" s="36"/>
    </row>
    <row r="6" spans="1:37" s="32" customFormat="1">
      <c r="A6" s="36" t="s">
        <v>152</v>
      </c>
      <c r="B6" s="36">
        <f>C6</f>
        <v>1049.3508807562712</v>
      </c>
      <c r="C6" s="36">
        <f>'HK Passenger'!G11</f>
        <v>1049.3508807562712</v>
      </c>
      <c r="D6" s="36">
        <f>C6</f>
        <v>1049.3508807562712</v>
      </c>
      <c r="E6" s="36">
        <f t="shared" ref="E6:AJ6" si="1">D6</f>
        <v>1049.3508807562712</v>
      </c>
      <c r="F6" s="36">
        <f t="shared" si="1"/>
        <v>1049.3508807562712</v>
      </c>
      <c r="G6" s="36">
        <f t="shared" si="1"/>
        <v>1049.3508807562712</v>
      </c>
      <c r="H6" s="36">
        <f t="shared" si="1"/>
        <v>1049.3508807562712</v>
      </c>
      <c r="I6" s="36">
        <f t="shared" si="1"/>
        <v>1049.3508807562712</v>
      </c>
      <c r="J6" s="36">
        <f t="shared" si="1"/>
        <v>1049.3508807562712</v>
      </c>
      <c r="K6" s="36">
        <f t="shared" si="1"/>
        <v>1049.3508807562712</v>
      </c>
      <c r="L6" s="36">
        <f t="shared" si="1"/>
        <v>1049.3508807562712</v>
      </c>
      <c r="M6" s="36">
        <f t="shared" si="1"/>
        <v>1049.3508807562712</v>
      </c>
      <c r="N6" s="36">
        <f t="shared" si="1"/>
        <v>1049.3508807562712</v>
      </c>
      <c r="O6" s="36">
        <f t="shared" si="1"/>
        <v>1049.3508807562712</v>
      </c>
      <c r="P6" s="36">
        <f t="shared" si="1"/>
        <v>1049.3508807562712</v>
      </c>
      <c r="Q6" s="36">
        <f t="shared" si="1"/>
        <v>1049.3508807562712</v>
      </c>
      <c r="R6" s="36">
        <f t="shared" si="1"/>
        <v>1049.3508807562712</v>
      </c>
      <c r="S6" s="36">
        <f t="shared" si="1"/>
        <v>1049.3508807562712</v>
      </c>
      <c r="T6" s="36">
        <f t="shared" si="1"/>
        <v>1049.3508807562712</v>
      </c>
      <c r="U6" s="36">
        <f t="shared" si="1"/>
        <v>1049.3508807562712</v>
      </c>
      <c r="V6" s="36">
        <f t="shared" si="1"/>
        <v>1049.3508807562712</v>
      </c>
      <c r="W6" s="36">
        <f t="shared" si="1"/>
        <v>1049.3508807562712</v>
      </c>
      <c r="X6" s="36">
        <f t="shared" si="1"/>
        <v>1049.3508807562712</v>
      </c>
      <c r="Y6" s="36">
        <f t="shared" si="1"/>
        <v>1049.3508807562712</v>
      </c>
      <c r="Z6" s="36">
        <f t="shared" si="1"/>
        <v>1049.3508807562712</v>
      </c>
      <c r="AA6" s="36">
        <f t="shared" si="1"/>
        <v>1049.3508807562712</v>
      </c>
      <c r="AB6" s="36">
        <f t="shared" si="1"/>
        <v>1049.3508807562712</v>
      </c>
      <c r="AC6" s="36">
        <f t="shared" si="1"/>
        <v>1049.3508807562712</v>
      </c>
      <c r="AD6" s="36">
        <f t="shared" si="1"/>
        <v>1049.3508807562712</v>
      </c>
      <c r="AE6" s="36">
        <f t="shared" si="1"/>
        <v>1049.3508807562712</v>
      </c>
      <c r="AF6" s="36">
        <f t="shared" si="1"/>
        <v>1049.3508807562712</v>
      </c>
      <c r="AG6" s="36">
        <f t="shared" si="1"/>
        <v>1049.3508807562712</v>
      </c>
      <c r="AH6" s="36">
        <f t="shared" si="1"/>
        <v>1049.3508807562712</v>
      </c>
      <c r="AI6" s="36">
        <f t="shared" si="1"/>
        <v>1049.3508807562712</v>
      </c>
      <c r="AJ6" s="36">
        <f t="shared" si="1"/>
        <v>1049.3508807562712</v>
      </c>
      <c r="AK6" s="36"/>
    </row>
    <row r="7" spans="1:37" s="32" customFormat="1">
      <c r="A7" s="36" t="s">
        <v>153</v>
      </c>
      <c r="B7" s="36">
        <f>'HK Passenger'!$G$6*'HK Passenger'!A61</f>
        <v>3748.2085235320415</v>
      </c>
      <c r="C7" s="36">
        <f>'HK Passenger'!$G$6*'HK Passenger'!B61</f>
        <v>3833.3130179176296</v>
      </c>
      <c r="D7" s="36">
        <f>'HK Passenger'!$G$6*'HK Passenger'!C61</f>
        <v>3917.7471419124317</v>
      </c>
      <c r="E7" s="36">
        <f>'HK Passenger'!$G$6*'HK Passenger'!D61</f>
        <v>3998.6548557473875</v>
      </c>
      <c r="F7" s="36">
        <f>'HK Passenger'!$G$6*'HK Passenger'!E61</f>
        <v>4078.7423596107765</v>
      </c>
      <c r="G7" s="36">
        <f>'HK Passenger'!$G$6*'HK Passenger'!F61</f>
        <v>4154.4988697620129</v>
      </c>
      <c r="H7" s="36">
        <f>'HK Passenger'!$G$6*'HK Passenger'!G61</f>
        <v>4228.0627684829733</v>
      </c>
      <c r="I7" s="36">
        <f>'HK Passenger'!$G$6*'HK Passenger'!H61</f>
        <v>4299.149930439552</v>
      </c>
      <c r="J7" s="36">
        <f>'HK Passenger'!$G$6*'HK Passenger'!I61</f>
        <v>4366.2572503685396</v>
      </c>
      <c r="K7" s="36">
        <f>'HK Passenger'!$G$6*'HK Passenger'!J61</f>
        <v>4430.4003243950501</v>
      </c>
      <c r="L7" s="36">
        <f>'HK Passenger'!$G$6*'HK Passenger'!K61</f>
        <v>4491.0667560011998</v>
      </c>
      <c r="M7" s="36">
        <f>'HK Passenger'!$G$6*'HK Passenger'!L61</f>
        <v>4549.1051031131456</v>
      </c>
      <c r="N7" s="36">
        <f>'HK Passenger'!$G$6*'HK Passenger'!M61</f>
        <v>4606.1176828886855</v>
      </c>
      <c r="O7" s="36">
        <f>'HK Passenger'!$G$6*'HK Passenger'!N61</f>
        <v>4661.3788352027732</v>
      </c>
      <c r="P7" s="36">
        <f>'HK Passenger'!$G$6*'HK Passenger'!O61</f>
        <v>4714.0802594251054</v>
      </c>
      <c r="Q7" s="36">
        <f>'HK Passenger'!$G$6*'HK Passenger'!P61</f>
        <v>4764.757204504278</v>
      </c>
      <c r="R7" s="36">
        <f>'HK Passenger'!$G$6*'HK Passenger'!Q61</f>
        <v>4813.5573727989649</v>
      </c>
      <c r="S7" s="36">
        <f>'HK Passenger'!$G$6*'HK Passenger'!R61</f>
        <v>4860.8617331940768</v>
      </c>
      <c r="T7" s="36">
        <f>'HK Passenger'!$G$6*'HK Passenger'!S61</f>
        <v>4905.7305541331134</v>
      </c>
      <c r="U7" s="36">
        <f>'HK Passenger'!$G$6*'HK Passenger'!T61</f>
        <v>4947.5185412403789</v>
      </c>
      <c r="V7" s="36">
        <f>'HK Passenger'!$G$6*'HK Passenger'!U61</f>
        <v>4986.5676314229277</v>
      </c>
      <c r="W7" s="36">
        <f>'HK Passenger'!$G$6*'HK Passenger'!V61</f>
        <v>5022.7955238212298</v>
      </c>
      <c r="X7" s="36">
        <f>'HK Passenger'!$G$6*'HK Passenger'!W61</f>
        <v>5055.933872470996</v>
      </c>
      <c r="Y7" s="36">
        <f>'HK Passenger'!$G$6*'HK Passenger'!X61</f>
        <v>5085.5296893648865</v>
      </c>
      <c r="Z7" s="36">
        <f>'HK Passenger'!$G$6*'HK Passenger'!Y61</f>
        <v>5112.0100444824056</v>
      </c>
      <c r="AA7" s="36">
        <f>'HK Passenger'!$G$6*'HK Passenger'!Z61</f>
        <v>5135.1036699506421</v>
      </c>
      <c r="AB7" s="36">
        <f>'HK Passenger'!$G$6*'HK Passenger'!AA61</f>
        <v>5155.0463517697372</v>
      </c>
      <c r="AC7" s="36">
        <f>'HK Passenger'!$G$6*'HK Passenger'!AB61</f>
        <v>5172.579743067733</v>
      </c>
      <c r="AD7" s="36">
        <f>'HK Passenger'!$G$6*'HK Passenger'!AC61</f>
        <v>5187.5193698198573</v>
      </c>
      <c r="AE7" s="36">
        <f>'HK Passenger'!$G$6*'HK Passenger'!AD61</f>
        <v>5199.5411194244725</v>
      </c>
      <c r="AF7" s="36">
        <f>'HK Passenger'!$G$6*'HK Passenger'!AE61</f>
        <v>5208.8281811417282</v>
      </c>
      <c r="AG7" s="36">
        <f>'HK Passenger'!$G$6*'HK Passenger'!AF61</f>
        <v>5214.9142460302573</v>
      </c>
      <c r="AH7" s="36">
        <f>'HK Passenger'!$G$6*'HK Passenger'!AG61</f>
        <v>5218.5358664098239</v>
      </c>
      <c r="AI7" s="36">
        <f>'HK Passenger'!$G$6*'HK Passenger'!AH61</f>
        <v>5219.2704175468443</v>
      </c>
      <c r="AJ7" s="36">
        <f>'HK Passenger'!$G$6*'HK Passenger'!AI61</f>
        <v>5217.2036413762889</v>
      </c>
      <c r="AK7" s="3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BA865-81B9-4CF5-9909-B7F043C51851}">
  <dimension ref="A1:D32"/>
  <sheetViews>
    <sheetView topLeftCell="A19" workbookViewId="0">
      <selection activeCell="B6" sqref="B6"/>
    </sheetView>
  </sheetViews>
  <sheetFormatPr defaultRowHeight="15"/>
  <cols>
    <col min="1" max="1" width="21.5703125" customWidth="1"/>
    <col min="2" max="2" width="14.140625" customWidth="1"/>
  </cols>
  <sheetData>
    <row r="1" spans="1:4">
      <c r="A1" s="51" t="s">
        <v>59</v>
      </c>
      <c r="B1" s="51" t="s">
        <v>60</v>
      </c>
      <c r="C1" s="51" t="s">
        <v>61</v>
      </c>
    </row>
    <row r="2" spans="1:4">
      <c r="A2" t="s">
        <v>62</v>
      </c>
      <c r="B2">
        <v>75</v>
      </c>
      <c r="C2" t="s">
        <v>63</v>
      </c>
      <c r="D2" t="s">
        <v>214</v>
      </c>
    </row>
    <row r="3" spans="1:4">
      <c r="A3" t="s">
        <v>64</v>
      </c>
      <c r="B3">
        <v>132</v>
      </c>
      <c r="C3" t="s">
        <v>63</v>
      </c>
    </row>
    <row r="4" spans="1:4">
      <c r="A4" t="s">
        <v>65</v>
      </c>
      <c r="B4">
        <v>16</v>
      </c>
      <c r="C4" t="s">
        <v>66</v>
      </c>
    </row>
    <row r="5" spans="1:4">
      <c r="A5" t="s">
        <v>67</v>
      </c>
      <c r="B5">
        <v>190</v>
      </c>
      <c r="C5" t="s">
        <v>66</v>
      </c>
    </row>
    <row r="6" spans="1:4">
      <c r="A6" t="s">
        <v>68</v>
      </c>
      <c r="B6">
        <v>28</v>
      </c>
      <c r="C6" t="s">
        <v>66</v>
      </c>
    </row>
    <row r="7" spans="1:4">
      <c r="A7" t="s">
        <v>69</v>
      </c>
      <c r="B7">
        <v>3</v>
      </c>
      <c r="C7" t="s">
        <v>66</v>
      </c>
    </row>
    <row r="8" spans="1:4">
      <c r="A8" t="s">
        <v>70</v>
      </c>
      <c r="B8">
        <v>98</v>
      </c>
      <c r="C8" t="s">
        <v>66</v>
      </c>
    </row>
    <row r="9" spans="1:4">
      <c r="A9" t="s">
        <v>71</v>
      </c>
      <c r="B9">
        <v>13</v>
      </c>
      <c r="C9" t="s">
        <v>66</v>
      </c>
    </row>
    <row r="10" spans="1:4">
      <c r="A10" t="s">
        <v>72</v>
      </c>
      <c r="B10">
        <v>1</v>
      </c>
      <c r="C10" t="s">
        <v>66</v>
      </c>
    </row>
    <row r="11" spans="1:4">
      <c r="A11" t="s">
        <v>73</v>
      </c>
      <c r="B11">
        <v>161</v>
      </c>
      <c r="C11" t="s">
        <v>66</v>
      </c>
    </row>
    <row r="12" spans="1:4">
      <c r="A12" t="s">
        <v>74</v>
      </c>
      <c r="B12">
        <v>23</v>
      </c>
      <c r="C12" t="s">
        <v>66</v>
      </c>
    </row>
    <row r="13" spans="1:4">
      <c r="A13" t="s">
        <v>75</v>
      </c>
      <c r="B13">
        <v>80</v>
      </c>
      <c r="C13" t="s">
        <v>66</v>
      </c>
    </row>
    <row r="14" spans="1:4">
      <c r="A14" t="s">
        <v>76</v>
      </c>
      <c r="B14">
        <v>29</v>
      </c>
      <c r="C14" t="s">
        <v>63</v>
      </c>
    </row>
    <row r="15" spans="1:4">
      <c r="A15" t="s">
        <v>77</v>
      </c>
      <c r="B15">
        <v>73</v>
      </c>
      <c r="C15" t="s">
        <v>63</v>
      </c>
    </row>
    <row r="16" spans="1:4">
      <c r="A16" t="s">
        <v>78</v>
      </c>
      <c r="B16">
        <v>19</v>
      </c>
      <c r="C16" t="s">
        <v>63</v>
      </c>
    </row>
    <row r="17" spans="1:3">
      <c r="A17" t="s">
        <v>79</v>
      </c>
      <c r="B17">
        <v>299</v>
      </c>
      <c r="C17" t="s">
        <v>63</v>
      </c>
    </row>
    <row r="18" spans="1:3">
      <c r="A18" t="s">
        <v>80</v>
      </c>
      <c r="B18">
        <v>30</v>
      </c>
      <c r="C18" t="s">
        <v>66</v>
      </c>
    </row>
    <row r="19" spans="1:3">
      <c r="A19" t="s">
        <v>81</v>
      </c>
      <c r="B19">
        <v>1949</v>
      </c>
      <c r="C19" t="s">
        <v>66</v>
      </c>
    </row>
    <row r="20" spans="1:3">
      <c r="A20" t="s">
        <v>82</v>
      </c>
      <c r="B20">
        <v>780</v>
      </c>
      <c r="C20" t="s">
        <v>83</v>
      </c>
    </row>
    <row r="21" spans="1:3">
      <c r="A21" t="s">
        <v>84</v>
      </c>
      <c r="B21">
        <v>2709</v>
      </c>
      <c r="C21" t="s">
        <v>83</v>
      </c>
    </row>
    <row r="22" spans="1:3">
      <c r="A22" t="s">
        <v>85</v>
      </c>
      <c r="B22">
        <v>6459</v>
      </c>
      <c r="C22" t="s">
        <v>83</v>
      </c>
    </row>
    <row r="23" spans="1:3">
      <c r="A23" t="s">
        <v>86</v>
      </c>
      <c r="B23">
        <v>109</v>
      </c>
      <c r="C23" t="s">
        <v>87</v>
      </c>
    </row>
    <row r="24" spans="1:3">
      <c r="A24" t="s">
        <v>88</v>
      </c>
      <c r="B24">
        <f>SUM(B2:B23)</f>
        <v>13276</v>
      </c>
    </row>
    <row r="26" spans="1:3">
      <c r="A26" t="s">
        <v>89</v>
      </c>
    </row>
    <row r="28" spans="1:3">
      <c r="A28" t="s">
        <v>90</v>
      </c>
      <c r="B28">
        <f>B2+B3+B14+B15+B16+B17+B20+B21+B22+B23</f>
        <v>10684</v>
      </c>
    </row>
    <row r="29" spans="1:3">
      <c r="A29" t="s">
        <v>91</v>
      </c>
      <c r="B29">
        <f>B19+B18+B13+B12+B11+B10+B9+B8+B7+B6+B5+B4</f>
        <v>2592</v>
      </c>
    </row>
    <row r="30" spans="1:3">
      <c r="A30" t="s">
        <v>92</v>
      </c>
      <c r="B30">
        <f>B22+B21+B20</f>
        <v>9948</v>
      </c>
    </row>
    <row r="31" spans="1:3">
      <c r="A31" t="s">
        <v>93</v>
      </c>
      <c r="B31">
        <f>SUM(B14:B17,B2:B3)</f>
        <v>627</v>
      </c>
    </row>
    <row r="32" spans="1:3">
      <c r="A32" t="s">
        <v>94</v>
      </c>
      <c r="B32">
        <f>B23</f>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B62A3-A48C-45C6-B46B-D3829B982B5F}">
  <dimension ref="A1:E19"/>
  <sheetViews>
    <sheetView workbookViewId="0">
      <selection activeCell="D3" sqref="D3"/>
    </sheetView>
  </sheetViews>
  <sheetFormatPr defaultRowHeight="15"/>
  <cols>
    <col min="2" max="2" width="55.5703125" customWidth="1"/>
    <col min="3" max="3" width="11.85546875" customWidth="1"/>
    <col min="4" max="4" width="14.42578125" customWidth="1"/>
  </cols>
  <sheetData>
    <row r="1" spans="1:5" ht="15.75" thickBot="1">
      <c r="A1" s="36"/>
      <c r="B1" s="36"/>
      <c r="C1" s="36"/>
      <c r="D1" s="36"/>
      <c r="E1" s="36"/>
    </row>
    <row r="2" spans="1:5" ht="30">
      <c r="A2" s="36"/>
      <c r="B2" s="44" t="s">
        <v>95</v>
      </c>
      <c r="C2" s="45" t="s">
        <v>96</v>
      </c>
      <c r="D2" s="46" t="s">
        <v>215</v>
      </c>
      <c r="E2" s="36"/>
    </row>
    <row r="3" spans="1:5">
      <c r="A3" s="36"/>
      <c r="B3" s="40" t="s">
        <v>97</v>
      </c>
      <c r="C3" s="42">
        <v>552710</v>
      </c>
      <c r="D3" s="37">
        <v>5315</v>
      </c>
      <c r="E3" s="36"/>
    </row>
    <row r="4" spans="1:5">
      <c r="A4" s="36"/>
      <c r="B4" s="40" t="s">
        <v>98</v>
      </c>
      <c r="C4" s="42">
        <v>18148</v>
      </c>
      <c r="D4" s="37">
        <v>2399</v>
      </c>
      <c r="E4" s="36"/>
    </row>
    <row r="5" spans="1:5">
      <c r="A5" s="36"/>
      <c r="B5" s="40" t="s">
        <v>99</v>
      </c>
      <c r="C5" s="42">
        <v>12967</v>
      </c>
      <c r="D5" s="37">
        <v>1312</v>
      </c>
      <c r="E5" s="36"/>
    </row>
    <row r="6" spans="1:5">
      <c r="A6" s="36"/>
      <c r="B6" s="40" t="s">
        <v>100</v>
      </c>
      <c r="C6" s="42">
        <v>676</v>
      </c>
      <c r="D6" s="37"/>
      <c r="E6" s="36"/>
    </row>
    <row r="7" spans="1:5">
      <c r="A7" s="36"/>
      <c r="B7" s="40" t="s">
        <v>101</v>
      </c>
      <c r="C7" s="42">
        <v>4338</v>
      </c>
      <c r="D7" s="37"/>
      <c r="E7" s="36"/>
    </row>
    <row r="8" spans="1:5">
      <c r="A8" s="36"/>
      <c r="B8" s="40" t="s">
        <v>102</v>
      </c>
      <c r="C8" s="42">
        <v>3070</v>
      </c>
      <c r="D8" s="37"/>
      <c r="E8" s="36"/>
    </row>
    <row r="9" spans="1:5">
      <c r="A9" s="36"/>
      <c r="B9" s="40" t="s">
        <v>103</v>
      </c>
      <c r="C9" s="42">
        <v>53317</v>
      </c>
      <c r="D9" s="37">
        <v>291</v>
      </c>
      <c r="E9" s="36"/>
    </row>
    <row r="10" spans="1:5">
      <c r="A10" s="36"/>
      <c r="B10" s="40" t="s">
        <v>104</v>
      </c>
      <c r="C10" s="42">
        <v>72384</v>
      </c>
      <c r="D10" s="37"/>
      <c r="E10" s="36"/>
    </row>
    <row r="11" spans="1:5">
      <c r="A11" s="36"/>
      <c r="B11" s="40" t="s">
        <v>105</v>
      </c>
      <c r="C11" s="42">
        <v>40596</v>
      </c>
      <c r="D11" s="37">
        <v>3519</v>
      </c>
      <c r="E11" s="36"/>
    </row>
    <row r="12" spans="1:5">
      <c r="A12" s="36"/>
      <c r="B12" s="40" t="s">
        <v>106</v>
      </c>
      <c r="C12" s="42">
        <v>1683</v>
      </c>
      <c r="D12" s="37"/>
      <c r="E12" s="36"/>
    </row>
    <row r="13" spans="1:5" ht="15.75" thickBot="1">
      <c r="A13" s="36"/>
      <c r="B13" s="41" t="s">
        <v>107</v>
      </c>
      <c r="C13" s="43">
        <v>6311</v>
      </c>
      <c r="D13" s="38"/>
      <c r="E13" s="36"/>
    </row>
    <row r="14" spans="1:5" ht="31.5" customHeight="1">
      <c r="A14" s="47" t="s">
        <v>108</v>
      </c>
      <c r="B14" s="49" t="s">
        <v>33</v>
      </c>
      <c r="C14" s="36"/>
      <c r="D14" s="36"/>
      <c r="E14" s="36"/>
    </row>
    <row r="15" spans="1:5" ht="38.25" customHeight="1">
      <c r="A15" s="36"/>
      <c r="B15" s="49" t="s">
        <v>5</v>
      </c>
      <c r="C15" s="36"/>
      <c r="D15" s="36"/>
      <c r="E15" s="36"/>
    </row>
    <row r="16" spans="1:5">
      <c r="A16" s="36"/>
      <c r="B16" s="49"/>
      <c r="C16" s="36"/>
      <c r="D16" s="36"/>
      <c r="E16" s="36"/>
    </row>
    <row r="17" spans="1:5" ht="36.75" customHeight="1">
      <c r="A17" s="47" t="s">
        <v>109</v>
      </c>
      <c r="B17" s="49" t="s">
        <v>110</v>
      </c>
      <c r="C17" s="36"/>
      <c r="D17" s="36"/>
      <c r="E17" s="36"/>
    </row>
    <row r="18" spans="1:5" ht="22.5" customHeight="1">
      <c r="A18" s="36"/>
      <c r="B18" s="49" t="s">
        <v>111</v>
      </c>
      <c r="C18" s="36"/>
      <c r="D18" s="36"/>
      <c r="E18" s="36"/>
    </row>
    <row r="19" spans="1:5">
      <c r="A19" s="36"/>
      <c r="B19" s="36"/>
      <c r="C19" s="36"/>
      <c r="D19" s="36"/>
      <c r="E19" s="36"/>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1D9B0-0ADA-43A1-AA74-345EF02E04B1}">
  <dimension ref="A1:H11"/>
  <sheetViews>
    <sheetView workbookViewId="0">
      <selection activeCell="C4" sqref="C4"/>
    </sheetView>
  </sheetViews>
  <sheetFormatPr defaultRowHeight="15"/>
  <cols>
    <col min="2" max="2" width="29.85546875" customWidth="1"/>
    <col min="3" max="3" width="22.140625" customWidth="1"/>
    <col min="4" max="4" width="13.42578125" customWidth="1"/>
    <col min="5" max="5" width="17.7109375" customWidth="1"/>
    <col min="6" max="6" width="15" customWidth="1"/>
    <col min="8" max="8" width="12.140625" bestFit="1" customWidth="1"/>
  </cols>
  <sheetData>
    <row r="1" spans="1:8" ht="105">
      <c r="A1" s="14" t="s">
        <v>112</v>
      </c>
      <c r="B1" s="34"/>
      <c r="C1" s="24" t="s">
        <v>113</v>
      </c>
      <c r="D1" s="25" t="s">
        <v>114</v>
      </c>
      <c r="E1" s="25" t="s">
        <v>115</v>
      </c>
      <c r="F1" s="25" t="s">
        <v>116</v>
      </c>
    </row>
    <row r="2" spans="1:8">
      <c r="A2" s="1" t="s">
        <v>117</v>
      </c>
      <c r="B2" s="35"/>
      <c r="C2" s="8">
        <v>2018</v>
      </c>
      <c r="D2">
        <v>88</v>
      </c>
      <c r="E2">
        <v>141</v>
      </c>
      <c r="F2">
        <v>161</v>
      </c>
    </row>
    <row r="3" spans="1:8">
      <c r="A3" s="1" t="s">
        <v>118</v>
      </c>
      <c r="B3" s="35"/>
      <c r="C3">
        <v>3135.4290000000001</v>
      </c>
      <c r="D3">
        <v>239.321</v>
      </c>
      <c r="E3">
        <v>666.56100000000004</v>
      </c>
      <c r="F3">
        <v>370.41924</v>
      </c>
    </row>
    <row r="4" spans="1:8">
      <c r="A4" s="1" t="s">
        <v>119</v>
      </c>
      <c r="B4" s="35"/>
      <c r="C4">
        <v>1948.2652559000001</v>
      </c>
      <c r="D4">
        <v>148.7071751</v>
      </c>
      <c r="E4">
        <v>414.18180330000001</v>
      </c>
      <c r="F4">
        <v>230.16784478599999</v>
      </c>
    </row>
    <row r="5" spans="1:8">
      <c r="A5" s="1" t="s">
        <v>120</v>
      </c>
      <c r="B5" s="35"/>
      <c r="C5">
        <f>C4*1000*12</f>
        <v>23379183.070799999</v>
      </c>
      <c r="D5">
        <f>D4*12*1000</f>
        <v>1784486.1012000002</v>
      </c>
      <c r="E5">
        <f>E4*1000*12</f>
        <v>4970181.6396000003</v>
      </c>
      <c r="F5">
        <f>F4*12*1000</f>
        <v>2762014.1374320001</v>
      </c>
    </row>
    <row r="6" spans="1:8">
      <c r="A6" s="1" t="s">
        <v>121</v>
      </c>
      <c r="B6" s="35"/>
      <c r="C6">
        <f>C5/C2</f>
        <v>11585.323622794846</v>
      </c>
      <c r="D6">
        <f>D5/D2</f>
        <v>20278.25115</v>
      </c>
      <c r="E6">
        <f>E5/E2</f>
        <v>35249.515174468084</v>
      </c>
      <c r="F6">
        <f>F5/F2</f>
        <v>17155.367313242237</v>
      </c>
      <c r="H6" s="12"/>
    </row>
    <row r="8" spans="1:8">
      <c r="C8" t="s">
        <v>122</v>
      </c>
      <c r="D8">
        <f>(C2+D2+E2)/8</f>
        <v>280.875</v>
      </c>
    </row>
    <row r="9" spans="1:8">
      <c r="C9" t="s">
        <v>123</v>
      </c>
      <c r="D9">
        <f>SUM(C5:E5)</f>
        <v>30133850.8116</v>
      </c>
    </row>
    <row r="11" spans="1:8">
      <c r="C11" t="s">
        <v>124</v>
      </c>
      <c r="D11">
        <f>(D9+F5)/(D8+F2)</f>
        <v>74446.087579138897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5DD96-9C05-4FF8-A8EB-BF16293E6DE1}">
  <dimension ref="A1:AI61"/>
  <sheetViews>
    <sheetView workbookViewId="0">
      <selection activeCell="G6" sqref="G6"/>
    </sheetView>
  </sheetViews>
  <sheetFormatPr defaultRowHeight="15"/>
  <cols>
    <col min="1" max="1" width="27.28515625" customWidth="1"/>
    <col min="2" max="2" width="7" customWidth="1"/>
    <col min="3" max="3" width="10.85546875" customWidth="1"/>
    <col min="4" max="5" width="16.85546875" customWidth="1"/>
    <col min="6" max="6" width="13" customWidth="1"/>
    <col min="7" max="7" width="14.5703125" customWidth="1"/>
  </cols>
  <sheetData>
    <row r="1" spans="1:9" ht="105">
      <c r="A1" s="48" t="s">
        <v>125</v>
      </c>
      <c r="B1" s="70" t="s">
        <v>126</v>
      </c>
      <c r="C1" s="70" t="s">
        <v>211</v>
      </c>
      <c r="D1" s="70" t="s">
        <v>213</v>
      </c>
      <c r="E1" s="70" t="s">
        <v>119</v>
      </c>
      <c r="F1" s="70" t="s">
        <v>129</v>
      </c>
      <c r="G1" s="70" t="s">
        <v>130</v>
      </c>
    </row>
    <row r="2" spans="1:9">
      <c r="A2" s="39" t="s">
        <v>131</v>
      </c>
      <c r="B2" s="42">
        <v>2013</v>
      </c>
      <c r="C2" s="36">
        <v>552710</v>
      </c>
      <c r="D2" s="42">
        <v>5315000000</v>
      </c>
      <c r="E2" s="42">
        <f>D2*0.621371192</f>
        <v>3302587885.48</v>
      </c>
      <c r="F2" s="72">
        <f t="shared" ref="F2:F8" si="0">D2/C2</f>
        <v>9616.2544553201496</v>
      </c>
      <c r="G2" s="72">
        <f t="shared" ref="G2:G8" si="1">E2/C2</f>
        <v>5975.2634934775924</v>
      </c>
    </row>
    <row r="3" spans="1:9">
      <c r="A3" s="39" t="s">
        <v>132</v>
      </c>
      <c r="B3" s="42"/>
      <c r="C3" s="42">
        <v>18148</v>
      </c>
      <c r="D3" s="42">
        <f>2399*10^6</f>
        <v>2399000000</v>
      </c>
      <c r="E3" s="42">
        <f>D3*0.621371192</f>
        <v>1490669489.608</v>
      </c>
      <c r="F3" s="72">
        <f t="shared" si="0"/>
        <v>132190.87502755126</v>
      </c>
      <c r="G3" s="72">
        <f t="shared" si="1"/>
        <v>82139.60158739255</v>
      </c>
    </row>
    <row r="4" spans="1:9">
      <c r="A4" s="39" t="s">
        <v>166</v>
      </c>
      <c r="B4" s="42"/>
      <c r="C4" s="42">
        <f>C2+C3</f>
        <v>570858</v>
      </c>
      <c r="D4" s="42">
        <f>D2+D3</f>
        <v>7714000000</v>
      </c>
      <c r="E4" s="42">
        <f>E2+E3</f>
        <v>4793257375.0880003</v>
      </c>
      <c r="F4" s="72">
        <f t="shared" si="0"/>
        <v>13512.992723234149</v>
      </c>
      <c r="G4" s="72">
        <f t="shared" si="1"/>
        <v>8396.5843959233298</v>
      </c>
    </row>
    <row r="5" spans="1:9" ht="30">
      <c r="A5" s="39" t="s">
        <v>133</v>
      </c>
      <c r="B5" s="42">
        <v>2013</v>
      </c>
      <c r="C5" s="42">
        <v>21051</v>
      </c>
      <c r="D5" s="42">
        <f>1312*10^6</f>
        <v>1312000000</v>
      </c>
      <c r="E5" s="42">
        <f>D5*0.621371192</f>
        <v>815239003.90400004</v>
      </c>
      <c r="F5" s="72">
        <f t="shared" si="0"/>
        <v>62324.830174338509</v>
      </c>
      <c r="G5" s="72">
        <f t="shared" si="1"/>
        <v>38726.85401662629</v>
      </c>
    </row>
    <row r="6" spans="1:9" s="17" customFormat="1">
      <c r="A6" s="39" t="s">
        <v>134</v>
      </c>
      <c r="B6" s="42">
        <v>2013</v>
      </c>
      <c r="C6" s="42">
        <v>53317</v>
      </c>
      <c r="D6" s="42">
        <f>291*10^6</f>
        <v>291000000</v>
      </c>
      <c r="E6" s="42">
        <f>D6*0.621371192</f>
        <v>180819016.87200001</v>
      </c>
      <c r="F6" s="72">
        <f t="shared" si="0"/>
        <v>5457.9214884558396</v>
      </c>
      <c r="G6" s="72">
        <f t="shared" si="1"/>
        <v>3391.3951811242196</v>
      </c>
      <c r="H6"/>
      <c r="I6"/>
    </row>
    <row r="7" spans="1:9">
      <c r="A7" s="39" t="s">
        <v>135</v>
      </c>
      <c r="B7" s="42">
        <v>2016</v>
      </c>
      <c r="C7" s="74">
        <f>'Rail-MTR'!D8+'Rail-MTR'!F2</f>
        <v>441.875</v>
      </c>
      <c r="D7" s="42"/>
      <c r="E7" s="42">
        <f>SUM('Rail-MTR'!C5:F5)</f>
        <v>32895864.949032001</v>
      </c>
      <c r="F7" s="72">
        <f t="shared" si="0"/>
        <v>0</v>
      </c>
      <c r="G7" s="72">
        <f t="shared" si="1"/>
        <v>74446.087579138897</v>
      </c>
    </row>
    <row r="8" spans="1:9">
      <c r="A8" s="39" t="s">
        <v>19</v>
      </c>
      <c r="B8" s="42">
        <v>2017</v>
      </c>
      <c r="C8" s="42">
        <f>'HK Air'!D2</f>
        <v>194</v>
      </c>
      <c r="D8" s="75">
        <f>'HK Air'!C2</f>
        <v>596000000</v>
      </c>
      <c r="E8" s="42">
        <v>370337116</v>
      </c>
      <c r="F8" s="72">
        <f t="shared" si="0"/>
        <v>3072164.9484536084</v>
      </c>
      <c r="G8" s="72">
        <f t="shared" si="1"/>
        <v>1908954.206185567</v>
      </c>
    </row>
    <row r="9" spans="1:9">
      <c r="A9" s="71" t="s">
        <v>212</v>
      </c>
      <c r="B9" s="72">
        <v>2017</v>
      </c>
      <c r="C9" s="72">
        <v>8</v>
      </c>
      <c r="D9" s="73">
        <v>250670</v>
      </c>
      <c r="E9" s="72">
        <v>155759</v>
      </c>
      <c r="F9" s="72">
        <f>D9/C9</f>
        <v>31333.75</v>
      </c>
      <c r="G9" s="72">
        <f>E9/C9</f>
        <v>19469.875</v>
      </c>
    </row>
    <row r="10" spans="1:9">
      <c r="A10" s="66" t="s">
        <v>136</v>
      </c>
      <c r="B10" s="67"/>
      <c r="C10" s="67">
        <f>Ships!B30</f>
        <v>9948</v>
      </c>
      <c r="D10" s="67"/>
      <c r="E10" s="67">
        <v>10296180</v>
      </c>
      <c r="F10" s="67"/>
      <c r="G10" s="67">
        <f>E10/C10</f>
        <v>1035</v>
      </c>
    </row>
    <row r="11" spans="1:9">
      <c r="A11" s="66" t="s">
        <v>90</v>
      </c>
      <c r="B11" s="67"/>
      <c r="C11" s="67">
        <f>Ships!B28</f>
        <v>10684</v>
      </c>
      <c r="D11" s="67"/>
      <c r="E11" s="67">
        <v>11211264.810000001</v>
      </c>
      <c r="F11" s="67"/>
      <c r="G11" s="67">
        <f>E11/C11</f>
        <v>1049.3508807562712</v>
      </c>
    </row>
    <row r="12" spans="1:9" ht="30">
      <c r="A12" s="66" t="s">
        <v>137</v>
      </c>
      <c r="B12" s="67">
        <v>2018</v>
      </c>
      <c r="C12" s="68" t="s">
        <v>209</v>
      </c>
      <c r="D12" s="67"/>
      <c r="E12" s="67"/>
      <c r="F12" s="67"/>
      <c r="G12" s="69">
        <v>1035</v>
      </c>
      <c r="H12" t="s">
        <v>210</v>
      </c>
    </row>
    <row r="15" spans="1:9">
      <c r="G15">
        <f>'HK Passenger'!G8*75</f>
        <v>143171565.46391752</v>
      </c>
    </row>
    <row r="17" spans="1:13">
      <c r="A17" t="s">
        <v>165</v>
      </c>
    </row>
    <row r="18" spans="1:13" ht="30">
      <c r="A18" t="s">
        <v>126</v>
      </c>
      <c r="C18" t="s">
        <v>154</v>
      </c>
      <c r="D18" t="s">
        <v>155</v>
      </c>
      <c r="E18" t="s">
        <v>156</v>
      </c>
      <c r="F18" t="s">
        <v>157</v>
      </c>
      <c r="G18" s="52" t="s">
        <v>158</v>
      </c>
      <c r="H18" t="s">
        <v>159</v>
      </c>
      <c r="I18" t="s">
        <v>167</v>
      </c>
      <c r="K18" t="s">
        <v>160</v>
      </c>
      <c r="L18" t="s">
        <v>126</v>
      </c>
      <c r="M18" t="s">
        <v>161</v>
      </c>
    </row>
    <row r="19" spans="1:13">
      <c r="C19" s="53"/>
      <c r="L19">
        <v>1997</v>
      </c>
      <c r="M19" s="54">
        <v>313639.00900000002</v>
      </c>
    </row>
    <row r="20" spans="1:13">
      <c r="A20">
        <v>2016</v>
      </c>
      <c r="B20">
        <v>1</v>
      </c>
      <c r="C20">
        <v>7336600</v>
      </c>
      <c r="D20">
        <f t="shared" ref="D20:D43" si="2">LN(C20/1000)</f>
        <v>8.9006307990323759</v>
      </c>
      <c r="E20" s="12">
        <f t="shared" ref="E20:E43" si="3" xml:space="preserve">  -219.68*(B20^2)+16930*B20+514143</f>
        <v>530853.31999999995</v>
      </c>
      <c r="F20">
        <f t="shared" ref="F20:F43" si="4">D20*5954.038+E20*0.0054592-50018.53</f>
        <v>5874.1984459531232</v>
      </c>
      <c r="G20">
        <f>F20*10^6/E20</f>
        <v>11065.577297233676</v>
      </c>
      <c r="H20">
        <f>G20*0.621371</f>
        <v>6875.8288307593866</v>
      </c>
      <c r="I20">
        <f>F20/($D$2/10^6)</f>
        <v>1.1052113727099009</v>
      </c>
      <c r="L20">
        <v>2002</v>
      </c>
      <c r="M20" s="54">
        <v>339282</v>
      </c>
    </row>
    <row r="21" spans="1:13">
      <c r="A21">
        <v>2017</v>
      </c>
      <c r="B21">
        <v>2</v>
      </c>
      <c r="C21">
        <v>7391700</v>
      </c>
      <c r="D21">
        <f t="shared" si="2"/>
        <v>8.9081130280823668</v>
      </c>
      <c r="E21" s="12">
        <f t="shared" si="3"/>
        <v>547124.28</v>
      </c>
      <c r="F21">
        <f t="shared" si="4"/>
        <v>6007.57434687348</v>
      </c>
      <c r="G21">
        <f t="shared" ref="G21:G54" si="5">F21*10^6/E21</f>
        <v>10980.273708330911</v>
      </c>
      <c r="H21">
        <f t="shared" ref="H21:H54" si="6">G21*0.621371</f>
        <v>6822.8236544192869</v>
      </c>
      <c r="I21">
        <f t="shared" ref="I21:I54" si="7">F21/($D$2/10^6)</f>
        <v>1.1303056155923763</v>
      </c>
      <c r="L21">
        <v>2007</v>
      </c>
      <c r="M21" s="54">
        <v>373373</v>
      </c>
    </row>
    <row r="22" spans="1:13">
      <c r="A22">
        <v>2018</v>
      </c>
      <c r="B22">
        <v>3</v>
      </c>
      <c r="C22">
        <v>7448900</v>
      </c>
      <c r="D22">
        <f t="shared" si="2"/>
        <v>8.9158216494654106</v>
      </c>
      <c r="E22" s="12">
        <f t="shared" si="3"/>
        <v>562955.88</v>
      </c>
      <c r="F22">
        <f t="shared" si="4"/>
        <v>6139.8996422357304</v>
      </c>
      <c r="G22">
        <f t="shared" si="5"/>
        <v>10906.537901754806</v>
      </c>
      <c r="H22">
        <f t="shared" si="6"/>
        <v>6777.0063625512857</v>
      </c>
      <c r="I22">
        <f t="shared" si="7"/>
        <v>1.1552021904488674</v>
      </c>
      <c r="L22">
        <v>2012</v>
      </c>
      <c r="M22" s="54">
        <v>455989</v>
      </c>
    </row>
    <row r="23" spans="1:13">
      <c r="A23">
        <v>2019</v>
      </c>
      <c r="B23">
        <v>4</v>
      </c>
      <c r="C23">
        <v>7502600</v>
      </c>
      <c r="D23">
        <f t="shared" si="2"/>
        <v>8.9230049061160628</v>
      </c>
      <c r="E23" s="12">
        <f t="shared" si="3"/>
        <v>578348.12</v>
      </c>
      <c r="F23">
        <f t="shared" si="4"/>
        <v>6266.6983419054741</v>
      </c>
      <c r="G23">
        <f t="shared" si="5"/>
        <v>10835.51260079392</v>
      </c>
      <c r="H23">
        <f t="shared" si="6"/>
        <v>6732.8733002679191</v>
      </c>
      <c r="I23">
        <f t="shared" si="7"/>
        <v>1.179058954262554</v>
      </c>
      <c r="K23">
        <v>1</v>
      </c>
      <c r="L23">
        <v>2016</v>
      </c>
      <c r="M23" s="54">
        <v>530909</v>
      </c>
    </row>
    <row r="24" spans="1:13">
      <c r="A24">
        <v>2020</v>
      </c>
      <c r="B24">
        <v>5</v>
      </c>
      <c r="C24">
        <v>7558100</v>
      </c>
      <c r="D24">
        <f t="shared" si="2"/>
        <v>8.9303751148354014</v>
      </c>
      <c r="E24" s="12">
        <f t="shared" si="3"/>
        <v>593301</v>
      </c>
      <c r="F24">
        <f t="shared" si="4"/>
        <v>6392.2116071843411</v>
      </c>
      <c r="G24">
        <f t="shared" si="5"/>
        <v>10773.977470431268</v>
      </c>
      <c r="H24">
        <f t="shared" si="6"/>
        <v>6694.6371547793469</v>
      </c>
      <c r="I24">
        <f t="shared" si="7"/>
        <v>1.2026738677675148</v>
      </c>
      <c r="K24">
        <v>6</v>
      </c>
      <c r="L24">
        <v>2021</v>
      </c>
      <c r="M24" s="54">
        <v>608435.10100000002</v>
      </c>
    </row>
    <row r="25" spans="1:13">
      <c r="A25">
        <v>2021</v>
      </c>
      <c r="B25">
        <v>6</v>
      </c>
      <c r="C25">
        <v>7608400</v>
      </c>
      <c r="D25">
        <f t="shared" si="2"/>
        <v>8.9370081790786866</v>
      </c>
      <c r="E25" s="12">
        <f t="shared" si="3"/>
        <v>607814.52</v>
      </c>
      <c r="F25">
        <f t="shared" si="4"/>
        <v>6510.9373321293024</v>
      </c>
      <c r="G25">
        <f t="shared" si="5"/>
        <v>10712.046385679141</v>
      </c>
      <c r="H25">
        <f t="shared" si="6"/>
        <v>6656.1549747158333</v>
      </c>
      <c r="I25">
        <f t="shared" si="7"/>
        <v>1.2250117275878274</v>
      </c>
      <c r="K25">
        <v>11</v>
      </c>
      <c r="L25">
        <v>2026</v>
      </c>
      <c r="M25" s="54">
        <v>671016.90100000007</v>
      </c>
    </row>
    <row r="26" spans="1:13">
      <c r="A26">
        <v>2022</v>
      </c>
      <c r="B26">
        <v>7</v>
      </c>
      <c r="C26">
        <v>7657700</v>
      </c>
      <c r="D26">
        <f t="shared" si="2"/>
        <v>8.9434669565506422</v>
      </c>
      <c r="E26" s="12">
        <f t="shared" si="3"/>
        <v>621888.67999999993</v>
      </c>
      <c r="F26">
        <f t="shared" si="4"/>
        <v>6626.2267929028749</v>
      </c>
      <c r="G26">
        <f t="shared" si="5"/>
        <v>10655.004675278662</v>
      </c>
      <c r="H26">
        <f t="shared" si="6"/>
        <v>6620.7109100825774</v>
      </c>
      <c r="I26">
        <f t="shared" si="7"/>
        <v>1.2467030654567968</v>
      </c>
      <c r="K26">
        <v>16</v>
      </c>
      <c r="L26">
        <v>2031</v>
      </c>
      <c r="M26" s="54">
        <v>732926.40100000007</v>
      </c>
    </row>
    <row r="27" spans="1:13">
      <c r="A27">
        <v>2023</v>
      </c>
      <c r="B27">
        <v>8</v>
      </c>
      <c r="C27">
        <v>7705400</v>
      </c>
      <c r="D27">
        <f t="shared" si="2"/>
        <v>8.9496766607480502</v>
      </c>
      <c r="E27" s="12">
        <f t="shared" si="3"/>
        <v>635523.48</v>
      </c>
      <c r="F27">
        <f t="shared" si="4"/>
        <v>6737.6347078230028</v>
      </c>
      <c r="G27">
        <f t="shared" si="5"/>
        <v>10601.708543991172</v>
      </c>
      <c r="H27">
        <f t="shared" si="6"/>
        <v>6587.5942396883383</v>
      </c>
      <c r="I27">
        <f t="shared" si="7"/>
        <v>1.26766410307112</v>
      </c>
      <c r="K27">
        <v>21</v>
      </c>
      <c r="L27">
        <v>2036</v>
      </c>
      <c r="M27" s="54">
        <v>769948.30200000003</v>
      </c>
    </row>
    <row r="28" spans="1:13">
      <c r="A28">
        <v>2024</v>
      </c>
      <c r="B28">
        <v>9</v>
      </c>
      <c r="C28">
        <v>7748400</v>
      </c>
      <c r="D28">
        <f t="shared" si="2"/>
        <v>8.9552416494204223</v>
      </c>
      <c r="E28" s="12">
        <f t="shared" si="3"/>
        <v>648718.91999999993</v>
      </c>
      <c r="F28">
        <f t="shared" si="4"/>
        <v>6842.8054078958667</v>
      </c>
      <c r="G28">
        <f t="shared" si="5"/>
        <v>10548.182266513619</v>
      </c>
      <c r="H28">
        <f t="shared" si="6"/>
        <v>6554.3345631258335</v>
      </c>
      <c r="I28">
        <f t="shared" si="7"/>
        <v>1.2874516289550078</v>
      </c>
      <c r="K28">
        <v>25</v>
      </c>
      <c r="L28">
        <v>2040</v>
      </c>
      <c r="M28" s="54">
        <v>800920.902</v>
      </c>
    </row>
    <row r="29" spans="1:13">
      <c r="A29">
        <v>2025</v>
      </c>
      <c r="B29">
        <v>10</v>
      </c>
      <c r="C29">
        <v>7788700</v>
      </c>
      <c r="D29">
        <f t="shared" si="2"/>
        <v>8.9604292443224995</v>
      </c>
      <c r="E29" s="12">
        <f t="shared" si="3"/>
        <v>661475</v>
      </c>
      <c r="F29">
        <f t="shared" si="4"/>
        <v>6943.3305370074449</v>
      </c>
      <c r="G29">
        <f t="shared" si="5"/>
        <v>10496.739161733165</v>
      </c>
      <c r="H29">
        <f t="shared" si="6"/>
        <v>6522.3693096652987</v>
      </c>
      <c r="I29">
        <f t="shared" si="7"/>
        <v>1.3063651057398769</v>
      </c>
    </row>
    <row r="30" spans="1:13">
      <c r="A30">
        <v>2026</v>
      </c>
      <c r="B30">
        <v>11</v>
      </c>
      <c r="C30">
        <v>7825200</v>
      </c>
      <c r="D30">
        <f t="shared" si="2"/>
        <v>8.9651045741871567</v>
      </c>
      <c r="E30" s="12">
        <f t="shared" si="3"/>
        <v>673791.72</v>
      </c>
      <c r="F30">
        <f t="shared" si="4"/>
        <v>7038.4070665081454</v>
      </c>
      <c r="G30">
        <f t="shared" si="5"/>
        <v>10445.968475997517</v>
      </c>
      <c r="H30">
        <f t="shared" si="6"/>
        <v>6490.8218778990531</v>
      </c>
      <c r="I30">
        <f t="shared" si="7"/>
        <v>1.3242534461915607</v>
      </c>
    </row>
    <row r="31" spans="1:13">
      <c r="A31">
        <v>2027</v>
      </c>
      <c r="B31">
        <v>12</v>
      </c>
      <c r="C31">
        <v>7859600</v>
      </c>
      <c r="D31">
        <f t="shared" si="2"/>
        <v>8.9694909935430402</v>
      </c>
      <c r="E31" s="12">
        <f t="shared" si="3"/>
        <v>685669.08</v>
      </c>
      <c r="F31">
        <f t="shared" si="4"/>
        <v>7129.3648577490167</v>
      </c>
      <c r="G31">
        <f t="shared" si="5"/>
        <v>10397.675884333325</v>
      </c>
      <c r="H31">
        <f t="shared" si="6"/>
        <v>6460.8142619240825</v>
      </c>
      <c r="I31">
        <f t="shared" si="7"/>
        <v>1.3413668594071526</v>
      </c>
    </row>
    <row r="32" spans="1:13">
      <c r="A32">
        <v>2028</v>
      </c>
      <c r="B32">
        <v>13</v>
      </c>
      <c r="C32">
        <v>7895200</v>
      </c>
      <c r="D32">
        <f t="shared" si="2"/>
        <v>8.9740102588577972</v>
      </c>
      <c r="E32" s="12">
        <f t="shared" si="3"/>
        <v>697107.08000000007</v>
      </c>
      <c r="F32">
        <f t="shared" si="4"/>
        <v>7218.7150647651579</v>
      </c>
      <c r="G32">
        <f t="shared" si="5"/>
        <v>10355.245660057213</v>
      </c>
      <c r="H32">
        <f t="shared" si="6"/>
        <v>6434.4493510354105</v>
      </c>
      <c r="I32">
        <f t="shared" si="7"/>
        <v>1.3581778108683269</v>
      </c>
    </row>
    <row r="33" spans="1:9">
      <c r="A33">
        <v>2029</v>
      </c>
      <c r="B33">
        <v>14</v>
      </c>
      <c r="C33">
        <v>7930500</v>
      </c>
      <c r="D33">
        <f t="shared" si="2"/>
        <v>8.9784713643436138</v>
      </c>
      <c r="E33" s="12">
        <f t="shared" si="3"/>
        <v>708105.72</v>
      </c>
      <c r="F33">
        <f t="shared" si="4"/>
        <v>7305.3204318377175</v>
      </c>
      <c r="G33">
        <f t="shared" si="5"/>
        <v>10316.708685586833</v>
      </c>
      <c r="H33">
        <f t="shared" si="6"/>
        <v>6410.5035926717756</v>
      </c>
      <c r="I33">
        <f t="shared" si="7"/>
        <v>1.3744723296025809</v>
      </c>
    </row>
    <row r="34" spans="1:9">
      <c r="A34">
        <v>2030</v>
      </c>
      <c r="B34">
        <v>15</v>
      </c>
      <c r="C34">
        <v>7963800</v>
      </c>
      <c r="D34">
        <f t="shared" si="2"/>
        <v>8.9826615518602111</v>
      </c>
      <c r="E34" s="12">
        <f t="shared" si="3"/>
        <v>718665</v>
      </c>
      <c r="F34">
        <f t="shared" si="4"/>
        <v>7387.9141889146631</v>
      </c>
      <c r="G34">
        <f t="shared" si="5"/>
        <v>10280.052860393456</v>
      </c>
      <c r="H34">
        <f t="shared" si="6"/>
        <v>6387.7267259155424</v>
      </c>
      <c r="I34">
        <f t="shared" si="7"/>
        <v>1.3900120769359667</v>
      </c>
    </row>
    <row r="35" spans="1:9">
      <c r="A35">
        <v>2031</v>
      </c>
      <c r="B35">
        <v>16</v>
      </c>
      <c r="C35">
        <v>7996200</v>
      </c>
      <c r="D35">
        <f t="shared" si="2"/>
        <v>8.9867217078137358</v>
      </c>
      <c r="E35" s="12">
        <f t="shared" si="3"/>
        <v>728784.91999999993</v>
      </c>
      <c r="F35">
        <f t="shared" si="4"/>
        <v>7467.3351790118759</v>
      </c>
      <c r="G35">
        <f t="shared" si="5"/>
        <v>10246.28113739219</v>
      </c>
      <c r="H35">
        <f t="shared" si="6"/>
        <v>6366.7419566225226</v>
      </c>
      <c r="I35">
        <f t="shared" si="7"/>
        <v>1.404954878459431</v>
      </c>
    </row>
    <row r="36" spans="1:9">
      <c r="A36">
        <v>2032</v>
      </c>
      <c r="B36">
        <v>17</v>
      </c>
      <c r="C36">
        <v>8028000</v>
      </c>
      <c r="D36">
        <f t="shared" si="2"/>
        <v>8.9906907099162279</v>
      </c>
      <c r="E36" s="12">
        <f t="shared" si="3"/>
        <v>738465.48</v>
      </c>
      <c r="F36">
        <f t="shared" si="4"/>
        <v>7543.8148815041932</v>
      </c>
      <c r="G36">
        <f t="shared" si="5"/>
        <v>10215.528126655552</v>
      </c>
      <c r="H36">
        <f t="shared" si="6"/>
        <v>6347.6329275880871</v>
      </c>
      <c r="I36">
        <f t="shared" si="7"/>
        <v>1.4193442862660759</v>
      </c>
    </row>
    <row r="37" spans="1:9">
      <c r="A37">
        <v>2033</v>
      </c>
      <c r="B37">
        <v>18</v>
      </c>
      <c r="C37">
        <v>8060000</v>
      </c>
      <c r="D37">
        <f t="shared" si="2"/>
        <v>8.9946688355006739</v>
      </c>
      <c r="E37" s="12">
        <f t="shared" si="3"/>
        <v>747706.67999999993</v>
      </c>
      <c r="F37">
        <f t="shared" si="4"/>
        <v>7617.9503514427561</v>
      </c>
      <c r="G37">
        <f t="shared" si="5"/>
        <v>10188.420881090371</v>
      </c>
      <c r="H37">
        <f t="shared" si="6"/>
        <v>6330.7892713040046</v>
      </c>
      <c r="I37">
        <f t="shared" si="7"/>
        <v>1.4332926343260124</v>
      </c>
    </row>
    <row r="38" spans="1:9">
      <c r="A38">
        <v>2034</v>
      </c>
      <c r="B38">
        <v>19</v>
      </c>
      <c r="C38">
        <v>8090200</v>
      </c>
      <c r="D38">
        <f t="shared" si="2"/>
        <v>8.998408731625819</v>
      </c>
      <c r="E38" s="12">
        <f t="shared" si="3"/>
        <v>756508.52</v>
      </c>
      <c r="F38">
        <f t="shared" si="4"/>
        <v>7688.2688400159241</v>
      </c>
      <c r="G38">
        <f t="shared" si="5"/>
        <v>10162.831794697995</v>
      </c>
      <c r="H38">
        <f t="shared" si="6"/>
        <v>6314.888955103288</v>
      </c>
      <c r="I38">
        <f t="shared" si="7"/>
        <v>1.4465228297301833</v>
      </c>
    </row>
    <row r="39" spans="1:9">
      <c r="A39">
        <v>2035</v>
      </c>
      <c r="B39">
        <v>20</v>
      </c>
      <c r="C39">
        <v>8117200</v>
      </c>
      <c r="D39">
        <f t="shared" si="2"/>
        <v>9.0017405461028144</v>
      </c>
      <c r="E39" s="12">
        <f t="shared" si="3"/>
        <v>764871</v>
      </c>
      <c r="F39">
        <f t="shared" si="4"/>
        <v>7753.7590408368997</v>
      </c>
      <c r="G39">
        <f t="shared" si="5"/>
        <v>10137.342167289517</v>
      </c>
      <c r="H39">
        <f t="shared" si="6"/>
        <v>6299.050439830854</v>
      </c>
      <c r="I39">
        <f t="shared" si="7"/>
        <v>1.4588445984641392</v>
      </c>
    </row>
    <row r="40" spans="1:9">
      <c r="A40">
        <v>2036</v>
      </c>
      <c r="B40">
        <v>21</v>
      </c>
      <c r="C40">
        <v>8141700</v>
      </c>
      <c r="D40">
        <f t="shared" si="2"/>
        <v>9.004754282400306</v>
      </c>
      <c r="E40" s="12">
        <f t="shared" si="3"/>
        <v>772794.12</v>
      </c>
      <c r="F40">
        <f t="shared" si="4"/>
        <v>7814.9568379781485</v>
      </c>
      <c r="G40">
        <f t="shared" si="5"/>
        <v>10112.598731960006</v>
      </c>
      <c r="H40">
        <f t="shared" si="6"/>
        <v>6283.6755866767207</v>
      </c>
      <c r="I40">
        <f t="shared" si="7"/>
        <v>1.4703587653768859</v>
      </c>
    </row>
    <row r="41" spans="1:9">
      <c r="A41">
        <v>2037</v>
      </c>
      <c r="B41">
        <v>22</v>
      </c>
      <c r="C41">
        <v>8163500</v>
      </c>
      <c r="D41">
        <f t="shared" si="2"/>
        <v>9.0074282775662198</v>
      </c>
      <c r="E41" s="12">
        <f t="shared" si="3"/>
        <v>780277.88</v>
      </c>
      <c r="F41">
        <f t="shared" si="4"/>
        <v>7871.7332493998183</v>
      </c>
      <c r="G41">
        <f t="shared" si="5"/>
        <v>10088.371657286783</v>
      </c>
      <c r="H41">
        <f t="shared" si="6"/>
        <v>6268.6215850599456</v>
      </c>
      <c r="I41">
        <f t="shared" si="7"/>
        <v>1.4810410629162405</v>
      </c>
    </row>
    <row r="42" spans="1:9">
      <c r="A42">
        <v>2038</v>
      </c>
      <c r="B42">
        <v>23</v>
      </c>
      <c r="C42">
        <v>8182000</v>
      </c>
      <c r="D42">
        <f t="shared" si="2"/>
        <v>9.0096918984893435</v>
      </c>
      <c r="E42" s="12">
        <f t="shared" si="3"/>
        <v>787322.28</v>
      </c>
      <c r="F42">
        <f t="shared" si="4"/>
        <v>7923.667722873688</v>
      </c>
      <c r="G42">
        <f t="shared" si="5"/>
        <v>10064.071504331983</v>
      </c>
      <c r="H42">
        <f t="shared" si="6"/>
        <v>6253.5221747182686</v>
      </c>
      <c r="I42">
        <f t="shared" si="7"/>
        <v>1.4908123655453787</v>
      </c>
    </row>
    <row r="43" spans="1:9">
      <c r="A43">
        <v>2039</v>
      </c>
      <c r="B43">
        <v>24</v>
      </c>
      <c r="C43">
        <v>8196200</v>
      </c>
      <c r="D43">
        <f t="shared" si="2"/>
        <v>9.0114259112084518</v>
      </c>
      <c r="E43" s="12">
        <f t="shared" si="3"/>
        <v>793927.32000000007</v>
      </c>
      <c r="F43">
        <f t="shared" si="4"/>
        <v>7970.050334863743</v>
      </c>
      <c r="G43">
        <f t="shared" si="5"/>
        <v>10038.765683064972</v>
      </c>
      <c r="H43">
        <f t="shared" si="6"/>
        <v>6237.7978712517652</v>
      </c>
      <c r="I43">
        <f t="shared" si="7"/>
        <v>1.4995391034550787</v>
      </c>
    </row>
    <row r="44" spans="1:9">
      <c r="A44">
        <v>2040</v>
      </c>
      <c r="B44">
        <v>25</v>
      </c>
      <c r="C44">
        <v>8207000</v>
      </c>
      <c r="D44">
        <f>LN(C44/1000)</f>
        <v>9.0127427276297123</v>
      </c>
      <c r="E44" s="12">
        <f xml:space="preserve">  -219.68*(B44^2)+16930*B44+514143</f>
        <v>800093</v>
      </c>
      <c r="F44">
        <f>D44*5954.038+E44*0.0054592-50018.53</f>
        <v>8011.5503901309567</v>
      </c>
      <c r="G44">
        <f t="shared" si="5"/>
        <v>10013.27394456764</v>
      </c>
      <c r="H44">
        <f t="shared" si="6"/>
        <v>6221.9580442099386</v>
      </c>
      <c r="I44">
        <f t="shared" si="7"/>
        <v>1.5073472041638676</v>
      </c>
    </row>
    <row r="45" spans="1:9">
      <c r="A45">
        <v>2041</v>
      </c>
      <c r="B45">
        <v>26</v>
      </c>
      <c r="C45">
        <v>8213799.9999999991</v>
      </c>
      <c r="D45">
        <f t="shared" ref="D45:D54" si="8">LN(C45/1000)</f>
        <v>9.0135709455470732</v>
      </c>
      <c r="E45" s="12">
        <f t="shared" ref="E45:E54" si="9" xml:space="preserve">  -219.68*(B45^2)+16930*B45+514143</f>
        <v>805819.32000000007</v>
      </c>
      <c r="F45">
        <f t="shared" ref="F45:F54" si="10">D45*5954.038+E45*0.0054592-50018.53</f>
        <v>8047.742757227199</v>
      </c>
      <c r="G45">
        <f t="shared" si="5"/>
        <v>9987.0312829272916</v>
      </c>
      <c r="H45">
        <f t="shared" si="6"/>
        <v>6205.6516153038137</v>
      </c>
      <c r="I45">
        <f t="shared" si="7"/>
        <v>1.5141566805695577</v>
      </c>
    </row>
    <row r="46" spans="1:9">
      <c r="A46">
        <v>2042</v>
      </c>
      <c r="B46">
        <v>27</v>
      </c>
      <c r="C46">
        <v>8217100</v>
      </c>
      <c r="D46">
        <f t="shared" si="8"/>
        <v>9.0139726277488226</v>
      </c>
      <c r="E46" s="12">
        <f t="shared" si="9"/>
        <v>811106.28</v>
      </c>
      <c r="F46">
        <f t="shared" si="10"/>
        <v>8078.9969603523423</v>
      </c>
      <c r="G46">
        <f t="shared" si="5"/>
        <v>9960.466537569333</v>
      </c>
      <c r="H46">
        <f t="shared" si="6"/>
        <v>6189.1450529159938</v>
      </c>
      <c r="I46">
        <f t="shared" si="7"/>
        <v>1.5200370574510522</v>
      </c>
    </row>
    <row r="47" spans="1:9">
      <c r="A47">
        <v>2043</v>
      </c>
      <c r="B47">
        <v>28</v>
      </c>
      <c r="C47">
        <v>8218500</v>
      </c>
      <c r="D47">
        <f t="shared" si="8"/>
        <v>9.0141429896465795</v>
      </c>
      <c r="E47" s="12">
        <f t="shared" si="9"/>
        <v>815953.88</v>
      </c>
      <c r="F47">
        <f t="shared" si="10"/>
        <v>8106.4753194853402</v>
      </c>
      <c r="G47">
        <f t="shared" si="5"/>
        <v>9934.9675492508723</v>
      </c>
      <c r="H47">
        <f t="shared" si="6"/>
        <v>6173.3007210455635</v>
      </c>
      <c r="I47">
        <f t="shared" si="7"/>
        <v>1.5252070215400453</v>
      </c>
    </row>
    <row r="48" spans="1:9">
      <c r="A48">
        <v>2044</v>
      </c>
      <c r="B48">
        <v>29</v>
      </c>
      <c r="C48">
        <v>8217600</v>
      </c>
      <c r="D48">
        <f t="shared" si="8"/>
        <v>9.0140334746155322</v>
      </c>
      <c r="E48" s="12">
        <f t="shared" si="9"/>
        <v>820362.12</v>
      </c>
      <c r="F48">
        <f t="shared" si="10"/>
        <v>8129.8887266369129</v>
      </c>
      <c r="G48">
        <f t="shared" si="5"/>
        <v>9910.1220405409658</v>
      </c>
      <c r="H48">
        <f t="shared" si="6"/>
        <v>6157.8624424529808</v>
      </c>
      <c r="I48">
        <f t="shared" si="7"/>
        <v>1.5296121781066627</v>
      </c>
    </row>
    <row r="49" spans="1:35">
      <c r="A49">
        <v>2045</v>
      </c>
      <c r="B49">
        <v>30</v>
      </c>
      <c r="C49">
        <v>8213700.0000000009</v>
      </c>
      <c r="D49">
        <f t="shared" si="8"/>
        <v>9.0135587708400262</v>
      </c>
      <c r="E49" s="12">
        <f t="shared" si="9"/>
        <v>824331</v>
      </c>
      <c r="F49">
        <f t="shared" si="10"/>
        <v>8148.7292320148044</v>
      </c>
      <c r="G49">
        <f t="shared" si="5"/>
        <v>9885.2636040799207</v>
      </c>
      <c r="H49">
        <f t="shared" si="6"/>
        <v>6142.4161309307447</v>
      </c>
      <c r="I49">
        <f t="shared" si="7"/>
        <v>1.5331569580460591</v>
      </c>
    </row>
    <row r="50" spans="1:35">
      <c r="A50">
        <v>2046</v>
      </c>
      <c r="B50">
        <v>31</v>
      </c>
      <c r="C50">
        <v>8207200.0000000009</v>
      </c>
      <c r="D50">
        <f t="shared" si="8"/>
        <v>9.0127670967735032</v>
      </c>
      <c r="E50" s="12">
        <f t="shared" si="9"/>
        <v>827860.52</v>
      </c>
      <c r="F50">
        <f t="shared" si="10"/>
        <v>8163.283930123107</v>
      </c>
      <c r="G50">
        <f t="shared" si="5"/>
        <v>9860.6996382954785</v>
      </c>
      <c r="H50">
        <f t="shared" si="6"/>
        <v>6127.1527949473002</v>
      </c>
      <c r="I50">
        <f t="shared" si="7"/>
        <v>1.5358953772574049</v>
      </c>
    </row>
    <row r="51" spans="1:35">
      <c r="A51">
        <v>2047</v>
      </c>
      <c r="B51">
        <v>32</v>
      </c>
      <c r="C51">
        <v>8197100</v>
      </c>
      <c r="D51">
        <f t="shared" si="8"/>
        <v>9.0115357121638304</v>
      </c>
      <c r="E51" s="12">
        <f t="shared" si="9"/>
        <v>830950.67999999993</v>
      </c>
      <c r="F51">
        <f t="shared" si="10"/>
        <v>8172.8220208365019</v>
      </c>
      <c r="G51">
        <f t="shared" si="5"/>
        <v>9835.5079519719548</v>
      </c>
      <c r="H51">
        <f t="shared" si="6"/>
        <v>6111.4994116247653</v>
      </c>
      <c r="I51">
        <f t="shared" si="7"/>
        <v>1.5376899380689562</v>
      </c>
    </row>
    <row r="52" spans="1:35">
      <c r="A52">
        <v>2048</v>
      </c>
      <c r="B52">
        <v>33</v>
      </c>
      <c r="C52">
        <v>8185000</v>
      </c>
      <c r="D52">
        <f t="shared" si="8"/>
        <v>9.0100584898052354</v>
      </c>
      <c r="E52" s="12">
        <f t="shared" si="9"/>
        <v>833601.48</v>
      </c>
      <c r="F52">
        <f t="shared" si="10"/>
        <v>8178.4978301389783</v>
      </c>
      <c r="G52">
        <f t="shared" si="5"/>
        <v>9811.0404388185325</v>
      </c>
      <c r="H52">
        <f t="shared" si="6"/>
        <v>6096.2960085091108</v>
      </c>
      <c r="I52">
        <f t="shared" si="7"/>
        <v>1.5387578231681991</v>
      </c>
    </row>
    <row r="53" spans="1:35">
      <c r="A53">
        <v>2049</v>
      </c>
      <c r="B53">
        <v>34</v>
      </c>
      <c r="C53">
        <v>8170000</v>
      </c>
      <c r="D53">
        <f t="shared" si="8"/>
        <v>9.008224187854049</v>
      </c>
      <c r="E53" s="12">
        <f t="shared" si="9"/>
        <v>835812.91999999993</v>
      </c>
      <c r="F53">
        <f t="shared" si="10"/>
        <v>8179.6490198661413</v>
      </c>
      <c r="G53">
        <f t="shared" si="5"/>
        <v>9786.4591754170797</v>
      </c>
      <c r="H53">
        <f t="shared" si="6"/>
        <v>6081.0219242880867</v>
      </c>
      <c r="I53">
        <f t="shared" si="7"/>
        <v>1.5389744157791423</v>
      </c>
    </row>
    <row r="54" spans="1:35">
      <c r="A54">
        <v>2050</v>
      </c>
      <c r="B54">
        <v>35</v>
      </c>
      <c r="C54">
        <v>8152300</v>
      </c>
      <c r="D54">
        <f t="shared" si="8"/>
        <v>9.0060553750105115</v>
      </c>
      <c r="E54" s="12">
        <f t="shared" si="9"/>
        <v>837585</v>
      </c>
      <c r="F54">
        <f t="shared" si="10"/>
        <v>8176.4099649168274</v>
      </c>
      <c r="G54">
        <f t="shared" si="5"/>
        <v>9761.8868113884891</v>
      </c>
      <c r="H54">
        <f t="shared" si="6"/>
        <v>6065.7533698792768</v>
      </c>
      <c r="I54">
        <f t="shared" si="7"/>
        <v>1.5383649981028837</v>
      </c>
    </row>
    <row r="56" spans="1:35">
      <c r="A56">
        <v>1</v>
      </c>
      <c r="B56" t="s">
        <v>162</v>
      </c>
      <c r="C56" t="s">
        <v>163</v>
      </c>
    </row>
    <row r="57" spans="1:35">
      <c r="A57">
        <v>2</v>
      </c>
      <c r="B57" t="s">
        <v>164</v>
      </c>
    </row>
    <row r="59" spans="1:35">
      <c r="A59" t="s">
        <v>168</v>
      </c>
    </row>
    <row r="60" spans="1:35">
      <c r="A60">
        <v>2016</v>
      </c>
      <c r="B60">
        <v>2017</v>
      </c>
      <c r="C60">
        <v>2018</v>
      </c>
      <c r="D60">
        <v>2019</v>
      </c>
      <c r="E60">
        <v>2020</v>
      </c>
      <c r="F60">
        <v>2021</v>
      </c>
      <c r="G60">
        <v>2022</v>
      </c>
      <c r="H60">
        <v>2023</v>
      </c>
      <c r="I60">
        <v>2024</v>
      </c>
      <c r="J60">
        <v>2025</v>
      </c>
      <c r="K60">
        <v>2026</v>
      </c>
      <c r="L60">
        <v>2027</v>
      </c>
      <c r="M60">
        <v>2028</v>
      </c>
      <c r="N60">
        <v>2029</v>
      </c>
      <c r="O60">
        <v>2030</v>
      </c>
      <c r="P60">
        <v>2031</v>
      </c>
      <c r="Q60">
        <v>2032</v>
      </c>
      <c r="R60">
        <v>2033</v>
      </c>
      <c r="S60">
        <v>2034</v>
      </c>
      <c r="T60">
        <v>2035</v>
      </c>
      <c r="U60">
        <v>2036</v>
      </c>
      <c r="V60">
        <v>2037</v>
      </c>
      <c r="W60">
        <v>2038</v>
      </c>
      <c r="X60">
        <v>2039</v>
      </c>
      <c r="Y60">
        <v>2040</v>
      </c>
      <c r="Z60">
        <v>2041</v>
      </c>
      <c r="AA60">
        <v>2042</v>
      </c>
      <c r="AB60">
        <v>2043</v>
      </c>
      <c r="AC60">
        <v>2044</v>
      </c>
      <c r="AD60">
        <v>2045</v>
      </c>
      <c r="AE60">
        <v>2046</v>
      </c>
      <c r="AF60">
        <v>2047</v>
      </c>
      <c r="AG60">
        <v>2048</v>
      </c>
      <c r="AH60">
        <v>2049</v>
      </c>
      <c r="AI60">
        <v>2050</v>
      </c>
    </row>
    <row r="61" spans="1:35">
      <c r="A61">
        <v>1.1052113727099009</v>
      </c>
      <c r="B61">
        <v>1.1303056155923763</v>
      </c>
      <c r="C61">
        <v>1.1552021904488674</v>
      </c>
      <c r="D61">
        <v>1.179058954262554</v>
      </c>
      <c r="E61">
        <v>1.2026738677675148</v>
      </c>
      <c r="F61">
        <v>1.2250117275878274</v>
      </c>
      <c r="G61">
        <v>1.2467030654567968</v>
      </c>
      <c r="H61">
        <v>1.26766410307112</v>
      </c>
      <c r="I61">
        <v>1.2874516289550078</v>
      </c>
      <c r="J61">
        <v>1.3063651057398769</v>
      </c>
      <c r="K61">
        <v>1.3242534461915607</v>
      </c>
      <c r="L61">
        <v>1.3413668594071526</v>
      </c>
      <c r="M61">
        <v>1.3581778108683269</v>
      </c>
      <c r="N61">
        <v>1.3744723296025809</v>
      </c>
      <c r="O61">
        <v>1.3900120769359667</v>
      </c>
      <c r="P61">
        <v>1.404954878459431</v>
      </c>
      <c r="Q61">
        <v>1.4193442862660759</v>
      </c>
      <c r="R61">
        <v>1.4332926343260124</v>
      </c>
      <c r="S61">
        <v>1.4465228297301833</v>
      </c>
      <c r="T61">
        <v>1.4588445984641392</v>
      </c>
      <c r="U61">
        <v>1.4703587653768859</v>
      </c>
      <c r="V61">
        <v>1.4810410629162405</v>
      </c>
      <c r="W61">
        <v>1.4908123655453787</v>
      </c>
      <c r="X61">
        <v>1.4995391034550787</v>
      </c>
      <c r="Y61">
        <v>1.5073472041638676</v>
      </c>
      <c r="Z61">
        <v>1.5141566805695577</v>
      </c>
      <c r="AA61">
        <v>1.5200370574510522</v>
      </c>
      <c r="AB61">
        <v>1.5252070215400453</v>
      </c>
      <c r="AC61">
        <v>1.5296121781066627</v>
      </c>
      <c r="AD61">
        <v>1.5331569580460591</v>
      </c>
      <c r="AE61">
        <v>1.5358953772574049</v>
      </c>
      <c r="AF61">
        <v>1.5376899380689562</v>
      </c>
      <c r="AG61">
        <v>1.5387578231681991</v>
      </c>
      <c r="AH61">
        <v>1.5389744157791423</v>
      </c>
      <c r="AI61">
        <v>1.5383649981028837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1728C-D3D3-4ADB-A821-301AB86C47B6}">
  <dimension ref="A1:AX91"/>
  <sheetViews>
    <sheetView workbookViewId="0">
      <selection activeCell="A13" sqref="A13"/>
    </sheetView>
  </sheetViews>
  <sheetFormatPr defaultRowHeight="15"/>
  <cols>
    <col min="1" max="1" width="29.85546875" customWidth="1"/>
    <col min="2" max="2" width="10.7109375" customWidth="1"/>
    <col min="3" max="3" width="12.7109375" customWidth="1"/>
    <col min="4" max="5" width="14.7109375" customWidth="1"/>
    <col min="6" max="6" width="16.5703125" customWidth="1"/>
    <col min="7" max="7" width="17.85546875" customWidth="1"/>
  </cols>
  <sheetData>
    <row r="1" spans="1:14" ht="30">
      <c r="A1" s="50" t="s">
        <v>125</v>
      </c>
      <c r="B1" s="50" t="s">
        <v>126</v>
      </c>
      <c r="C1" s="50" t="s">
        <v>127</v>
      </c>
      <c r="D1" s="50" t="s">
        <v>128</v>
      </c>
      <c r="E1" s="50" t="s">
        <v>119</v>
      </c>
      <c r="F1" s="50" t="s">
        <v>129</v>
      </c>
      <c r="G1" s="50" t="s">
        <v>130</v>
      </c>
      <c r="H1" s="36"/>
    </row>
    <row r="2" spans="1:14" ht="27.75" customHeight="1">
      <c r="A2" t="s">
        <v>203</v>
      </c>
      <c r="B2">
        <v>2013</v>
      </c>
      <c r="C2">
        <f>C3+C4</f>
        <v>114663</v>
      </c>
      <c r="D2">
        <f>3519*10^6</f>
        <v>3519000000</v>
      </c>
      <c r="E2">
        <f>D2*0.621371192</f>
        <v>2186605224.6480002</v>
      </c>
      <c r="H2" s="36"/>
    </row>
    <row r="3" spans="1:14" ht="27.75" customHeight="1">
      <c r="A3" s="39" t="s">
        <v>216</v>
      </c>
      <c r="B3" s="39"/>
      <c r="C3" s="39">
        <f>Extra_Info!C10</f>
        <v>72384</v>
      </c>
      <c r="D3" s="39">
        <f>D2*(C3/(C3+C4))</f>
        <v>2221460244.368279</v>
      </c>
      <c r="E3">
        <f t="shared" ref="E3:E4" si="0">D3*0.621371192</f>
        <v>1380351400.0237288</v>
      </c>
      <c r="F3" s="39">
        <f>D3/C3</f>
        <v>30689.934852567956</v>
      </c>
      <c r="G3" s="39">
        <f>E3/C3</f>
        <v>19069.841401742495</v>
      </c>
      <c r="H3" s="36"/>
    </row>
    <row r="4" spans="1:14" ht="41.25" customHeight="1">
      <c r="A4" s="39" t="s">
        <v>139</v>
      </c>
      <c r="B4" s="39">
        <v>2013</v>
      </c>
      <c r="C4" s="39">
        <f>Extra_Info!C11+Extra_Info!C12</f>
        <v>42279</v>
      </c>
      <c r="D4" s="39">
        <f>D2*(C4/(C3+C4))</f>
        <v>1297539755.6317208</v>
      </c>
      <c r="E4">
        <f t="shared" si="0"/>
        <v>806253824.62427104</v>
      </c>
      <c r="F4" s="39">
        <f>D4/C4</f>
        <v>30689.93485256796</v>
      </c>
      <c r="G4" s="39">
        <f>E4/C4</f>
        <v>19069.841401742498</v>
      </c>
      <c r="H4" s="36"/>
    </row>
    <row r="5" spans="1:14" ht="16.5" customHeight="1">
      <c r="A5" s="39" t="s">
        <v>140</v>
      </c>
      <c r="B5" s="39">
        <v>2017</v>
      </c>
      <c r="C5" s="39">
        <f>'HK Air'!D3</f>
        <v>194</v>
      </c>
      <c r="D5" s="76">
        <f>'HK Air'!C3</f>
        <v>596000000</v>
      </c>
      <c r="E5" s="39">
        <v>370337116</v>
      </c>
      <c r="F5" s="39">
        <v>3072164.9479999999</v>
      </c>
      <c r="G5" s="39">
        <v>1908954.206</v>
      </c>
      <c r="H5" s="36"/>
    </row>
    <row r="6" spans="1:14">
      <c r="A6" s="39" t="s">
        <v>141</v>
      </c>
      <c r="B6" s="39"/>
      <c r="C6" s="39">
        <f>Ships!B6</f>
        <v>28</v>
      </c>
      <c r="D6" s="39"/>
      <c r="E6" s="39"/>
      <c r="F6" s="39">
        <f>18*12*365</f>
        <v>78840</v>
      </c>
      <c r="G6" s="39">
        <f>F6*0.621371192</f>
        <v>48988.904777280004</v>
      </c>
      <c r="H6" s="36"/>
    </row>
    <row r="7" spans="1:14">
      <c r="A7" s="39"/>
      <c r="B7" s="39"/>
      <c r="C7" s="39"/>
      <c r="D7" s="39"/>
      <c r="E7" s="39"/>
      <c r="F7" s="39"/>
      <c r="G7" s="39"/>
      <c r="H7" s="36"/>
    </row>
    <row r="8" spans="1:14" ht="33" customHeight="1">
      <c r="A8" s="36" t="s">
        <v>141</v>
      </c>
      <c r="B8" s="49" t="s">
        <v>204</v>
      </c>
      <c r="C8" s="36"/>
      <c r="D8" s="36"/>
      <c r="E8" s="36"/>
      <c r="F8" s="36"/>
      <c r="G8" s="36"/>
      <c r="H8" s="36"/>
    </row>
    <row r="9" spans="1:14">
      <c r="A9" s="36"/>
      <c r="B9" s="36"/>
      <c r="C9" s="36"/>
      <c r="D9" s="36"/>
      <c r="E9" s="36"/>
      <c r="F9" s="36"/>
      <c r="G9" s="36"/>
      <c r="H9" s="36"/>
    </row>
    <row r="10" spans="1:14">
      <c r="A10" s="36"/>
      <c r="B10" s="36"/>
      <c r="C10" s="36"/>
      <c r="D10" s="36">
        <f>18*25*365</f>
        <v>164250</v>
      </c>
      <c r="E10" s="36"/>
      <c r="F10" s="36"/>
      <c r="G10" s="36"/>
      <c r="H10" s="36"/>
    </row>
    <row r="11" spans="1:14">
      <c r="A11" s="36"/>
      <c r="B11" s="36"/>
      <c r="C11" s="36"/>
      <c r="D11" s="36"/>
      <c r="E11" s="36"/>
      <c r="F11" s="36"/>
      <c r="G11" s="36"/>
      <c r="H11" s="36"/>
    </row>
    <row r="12" spans="1:14">
      <c r="A12" t="s">
        <v>169</v>
      </c>
    </row>
    <row r="13" spans="1:14" ht="90">
      <c r="B13" t="s">
        <v>126</v>
      </c>
      <c r="C13" s="52" t="s">
        <v>170</v>
      </c>
      <c r="D13" t="s">
        <v>171</v>
      </c>
      <c r="E13" s="55" t="s">
        <v>161</v>
      </c>
      <c r="F13" s="52" t="s">
        <v>172</v>
      </c>
      <c r="G13" s="56" t="s">
        <v>173</v>
      </c>
      <c r="H13" s="52" t="s">
        <v>174</v>
      </c>
      <c r="I13" s="52" t="s">
        <v>175</v>
      </c>
      <c r="J13" s="52" t="s">
        <v>158</v>
      </c>
      <c r="K13" s="52" t="s">
        <v>176</v>
      </c>
    </row>
    <row r="14" spans="1:14">
      <c r="A14">
        <v>3</v>
      </c>
      <c r="B14">
        <v>2002</v>
      </c>
      <c r="C14" s="8">
        <v>11738</v>
      </c>
      <c r="D14" s="57">
        <v>8.5194477693955875E-7</v>
      </c>
      <c r="E14" s="55">
        <v>114973</v>
      </c>
      <c r="F14" s="55">
        <v>4489</v>
      </c>
      <c r="G14" s="58"/>
      <c r="H14">
        <v>4489</v>
      </c>
      <c r="I14" s="55">
        <v>1173785</v>
      </c>
      <c r="J14">
        <v>39043.949449001069</v>
      </c>
      <c r="K14">
        <v>24260.777913075242</v>
      </c>
      <c r="M14" t="s">
        <v>177</v>
      </c>
    </row>
    <row r="15" spans="1:14" ht="15.75" thickBot="1">
      <c r="A15">
        <v>4</v>
      </c>
      <c r="B15">
        <v>2003</v>
      </c>
      <c r="C15" s="8">
        <v>11915</v>
      </c>
      <c r="D15" s="57">
        <v>8.2646813800034377E-7</v>
      </c>
      <c r="E15" s="55">
        <v>113572</v>
      </c>
      <c r="F15" s="55">
        <v>4485</v>
      </c>
      <c r="G15" s="58"/>
      <c r="H15">
        <v>4485</v>
      </c>
      <c r="I15" s="55">
        <v>1209968</v>
      </c>
      <c r="J15">
        <v>39490.367344063678</v>
      </c>
      <c r="K15">
        <v>24538.169046948191</v>
      </c>
    </row>
    <row r="16" spans="1:14">
      <c r="A16">
        <v>5</v>
      </c>
      <c r="B16">
        <v>2004</v>
      </c>
      <c r="C16" s="8">
        <v>12496</v>
      </c>
      <c r="D16" s="57">
        <v>7.6110683199936675E-7</v>
      </c>
      <c r="E16" s="55">
        <v>114170</v>
      </c>
      <c r="F16" s="55">
        <v>4578</v>
      </c>
      <c r="G16" s="58"/>
      <c r="H16">
        <v>4578</v>
      </c>
      <c r="I16" s="55">
        <v>1313876</v>
      </c>
      <c r="J16">
        <v>40098.099325567135</v>
      </c>
      <c r="K16">
        <v>24915.796076026978</v>
      </c>
      <c r="M16" s="59" t="s">
        <v>178</v>
      </c>
      <c r="N16" s="59"/>
    </row>
    <row r="17" spans="1:21">
      <c r="A17">
        <v>6</v>
      </c>
      <c r="B17">
        <v>2005</v>
      </c>
      <c r="C17" s="8">
        <v>12451</v>
      </c>
      <c r="D17" s="57">
        <v>7.0815260688678407E-7</v>
      </c>
      <c r="E17" s="55">
        <v>114635</v>
      </c>
      <c r="F17" s="55">
        <v>4660</v>
      </c>
      <c r="G17" s="58"/>
      <c r="H17">
        <v>4660</v>
      </c>
      <c r="I17" s="55">
        <v>1412125</v>
      </c>
      <c r="J17">
        <v>40650.761111353429</v>
      </c>
      <c r="K17">
        <v>25259.204082522792</v>
      </c>
      <c r="M17" s="60" t="s">
        <v>179</v>
      </c>
      <c r="N17" s="60">
        <v>0.91869673659983353</v>
      </c>
    </row>
    <row r="18" spans="1:21">
      <c r="A18">
        <v>7</v>
      </c>
      <c r="B18">
        <v>2006</v>
      </c>
      <c r="C18" s="8">
        <v>12573</v>
      </c>
      <c r="D18" s="57">
        <v>6.6206881940550194E-7</v>
      </c>
      <c r="E18" s="55">
        <v>115289</v>
      </c>
      <c r="F18" s="55">
        <v>4764</v>
      </c>
      <c r="G18" s="58"/>
      <c r="H18">
        <v>4764</v>
      </c>
      <c r="I18" s="55">
        <v>1510417</v>
      </c>
      <c r="J18">
        <v>41322.242364839665</v>
      </c>
      <c r="K18">
        <v>25676.443060482787</v>
      </c>
      <c r="M18" s="60" t="s">
        <v>180</v>
      </c>
      <c r="N18" s="60">
        <v>0.84400369383918383</v>
      </c>
    </row>
    <row r="19" spans="1:21">
      <c r="A19">
        <v>8</v>
      </c>
      <c r="B19">
        <v>2007</v>
      </c>
      <c r="C19" s="8">
        <v>11802</v>
      </c>
      <c r="D19" s="57">
        <v>6.2137042003397656E-7</v>
      </c>
      <c r="E19" s="55">
        <v>114254</v>
      </c>
      <c r="F19" s="55">
        <v>4856</v>
      </c>
      <c r="G19" s="58"/>
      <c r="H19">
        <v>4856</v>
      </c>
      <c r="I19" s="55">
        <v>1609346</v>
      </c>
      <c r="J19">
        <v>42501.794247903796</v>
      </c>
      <c r="K19">
        <v>26409.382393614229</v>
      </c>
      <c r="M19" s="60" t="s">
        <v>181</v>
      </c>
      <c r="N19" s="60">
        <v>0.78550507902887778</v>
      </c>
    </row>
    <row r="20" spans="1:21">
      <c r="A20">
        <v>9</v>
      </c>
      <c r="B20">
        <v>2008</v>
      </c>
      <c r="C20" s="8">
        <v>11675</v>
      </c>
      <c r="D20" s="57">
        <v>6.0894516083459589E-7</v>
      </c>
      <c r="E20" s="55">
        <v>112996</v>
      </c>
      <c r="F20" s="55">
        <v>4825</v>
      </c>
      <c r="G20" s="58"/>
      <c r="H20">
        <v>4825</v>
      </c>
      <c r="I20" s="55">
        <v>1642184</v>
      </c>
      <c r="J20">
        <v>42700.626570852066</v>
      </c>
      <c r="K20">
        <v>26532.93103295692</v>
      </c>
      <c r="M20" s="60" t="s">
        <v>182</v>
      </c>
      <c r="N20" s="60">
        <v>53.608999461706844</v>
      </c>
    </row>
    <row r="21" spans="1:21" ht="15.75" thickBot="1">
      <c r="A21">
        <v>10</v>
      </c>
      <c r="B21">
        <v>2009</v>
      </c>
      <c r="C21" s="8">
        <v>9614</v>
      </c>
      <c r="D21" s="57">
        <v>6.2383070731797084E-7</v>
      </c>
      <c r="E21" s="55">
        <v>110910</v>
      </c>
      <c r="F21" s="55">
        <v>4641</v>
      </c>
      <c r="G21" s="58"/>
      <c r="H21">
        <v>4641</v>
      </c>
      <c r="I21" s="55">
        <v>1602999</v>
      </c>
      <c r="J21">
        <v>41844.738977549365</v>
      </c>
      <c r="K21">
        <v>26001.107303218825</v>
      </c>
      <c r="M21" s="61" t="s">
        <v>183</v>
      </c>
      <c r="N21" s="61">
        <v>12</v>
      </c>
    </row>
    <row r="22" spans="1:21">
      <c r="A22">
        <v>11</v>
      </c>
      <c r="B22">
        <v>2010</v>
      </c>
      <c r="C22" s="8">
        <v>10477</v>
      </c>
      <c r="D22" s="57">
        <v>5.846859067309042E-7</v>
      </c>
      <c r="E22" s="55">
        <v>112874</v>
      </c>
      <c r="F22" s="55">
        <v>4663</v>
      </c>
      <c r="G22" s="58"/>
      <c r="H22">
        <v>4663</v>
      </c>
      <c r="I22" s="55">
        <v>1710320</v>
      </c>
      <c r="J22">
        <v>41311.55093289863</v>
      </c>
      <c r="K22">
        <v>25669.799714726156</v>
      </c>
    </row>
    <row r="23" spans="1:21" ht="15.75" thickBot="1">
      <c r="A23">
        <v>12</v>
      </c>
      <c r="B23">
        <v>2011</v>
      </c>
      <c r="C23" s="8">
        <v>10136</v>
      </c>
      <c r="D23" s="57">
        <v>5.5745741443446782E-7</v>
      </c>
      <c r="E23" s="55">
        <v>114308</v>
      </c>
      <c r="F23" s="55">
        <v>4679</v>
      </c>
      <c r="G23" s="58"/>
      <c r="H23">
        <v>4679</v>
      </c>
      <c r="I23" s="55">
        <v>1793859</v>
      </c>
      <c r="J23">
        <v>40933.268012737513</v>
      </c>
      <c r="K23">
        <v>25434.745678342722</v>
      </c>
      <c r="M23" t="s">
        <v>184</v>
      </c>
    </row>
    <row r="24" spans="1:21">
      <c r="A24">
        <v>13</v>
      </c>
      <c r="B24">
        <v>2012</v>
      </c>
      <c r="C24" s="8">
        <v>9179</v>
      </c>
      <c r="D24" s="57">
        <v>5.4831956502905549E-7</v>
      </c>
      <c r="E24" s="55">
        <v>117127</v>
      </c>
      <c r="F24" s="55">
        <v>4665</v>
      </c>
      <c r="G24" s="58"/>
      <c r="H24">
        <v>4665</v>
      </c>
      <c r="I24" s="55">
        <v>1823754</v>
      </c>
      <c r="J24">
        <v>39828.562159023968</v>
      </c>
      <c r="K24">
        <v>24748.313497314881</v>
      </c>
      <c r="M24" s="62"/>
      <c r="N24" s="62" t="s">
        <v>185</v>
      </c>
      <c r="O24" s="62" t="s">
        <v>186</v>
      </c>
      <c r="P24" s="62" t="s">
        <v>187</v>
      </c>
      <c r="Q24" s="62" t="s">
        <v>188</v>
      </c>
      <c r="R24" s="62" t="s">
        <v>189</v>
      </c>
    </row>
    <row r="25" spans="1:21">
      <c r="A25">
        <v>14</v>
      </c>
      <c r="B25">
        <v>2013</v>
      </c>
      <c r="C25" s="8">
        <v>8610</v>
      </c>
      <c r="D25" s="57">
        <v>5.3165585278662094E-7</v>
      </c>
      <c r="E25" s="55">
        <v>120277</v>
      </c>
      <c r="F25" s="55">
        <v>4600</v>
      </c>
      <c r="G25" s="58"/>
      <c r="H25">
        <v>4600</v>
      </c>
      <c r="I25" s="55">
        <v>1880916</v>
      </c>
      <c r="J25">
        <v>38245.051007258247</v>
      </c>
      <c r="K25">
        <v>23764.365589431065</v>
      </c>
      <c r="M25" s="60" t="s">
        <v>190</v>
      </c>
      <c r="N25" s="60">
        <v>3</v>
      </c>
      <c r="O25" s="60">
        <v>124392.85141371773</v>
      </c>
      <c r="P25" s="60">
        <v>41464.283804572573</v>
      </c>
      <c r="Q25" s="60">
        <v>14.427755196871605</v>
      </c>
      <c r="R25" s="60">
        <v>1.3632229762697234E-3</v>
      </c>
    </row>
    <row r="26" spans="1:21">
      <c r="A26">
        <v>15</v>
      </c>
      <c r="B26">
        <v>2014</v>
      </c>
      <c r="C26" s="8">
        <v>8844</v>
      </c>
      <c r="D26" s="57">
        <v>5.1751691245269894E-7</v>
      </c>
      <c r="E26" s="55">
        <v>116561</v>
      </c>
      <c r="F26" s="55">
        <v>4586</v>
      </c>
      <c r="G26" s="58"/>
      <c r="H26">
        <v>4586</v>
      </c>
      <c r="I26" s="55">
        <v>1932304</v>
      </c>
      <c r="J26">
        <v>39344.206038040167</v>
      </c>
      <c r="K26">
        <v>24447.348650063057</v>
      </c>
      <c r="M26" s="60" t="s">
        <v>191</v>
      </c>
      <c r="N26" s="60">
        <v>8</v>
      </c>
      <c r="O26" s="60">
        <v>22991.398586282277</v>
      </c>
      <c r="P26" s="60">
        <v>2873.9248232852847</v>
      </c>
      <c r="Q26" s="60"/>
      <c r="R26" s="60"/>
    </row>
    <row r="27" spans="1:21" ht="15.75" thickBot="1">
      <c r="A27">
        <v>16</v>
      </c>
      <c r="B27">
        <v>2015</v>
      </c>
      <c r="C27" s="8">
        <v>8281</v>
      </c>
      <c r="D27" s="57">
        <v>5.0569616156385525E-7</v>
      </c>
      <c r="E27" s="55">
        <v>115482</v>
      </c>
      <c r="F27" s="55">
        <v>4524</v>
      </c>
      <c r="G27" s="58"/>
      <c r="H27">
        <v>4524</v>
      </c>
      <c r="I27" s="55">
        <v>1977472</v>
      </c>
      <c r="J27">
        <v>39174.936353717465</v>
      </c>
      <c r="K27">
        <v>24342.169377045775</v>
      </c>
      <c r="M27" s="61" t="s">
        <v>88</v>
      </c>
      <c r="N27" s="61">
        <v>11</v>
      </c>
      <c r="O27" s="61">
        <v>147384.25</v>
      </c>
      <c r="P27" s="61"/>
      <c r="Q27" s="61"/>
      <c r="R27" s="61"/>
    </row>
    <row r="28" spans="1:21" ht="15.75" thickBot="1">
      <c r="A28">
        <v>17</v>
      </c>
      <c r="B28">
        <v>2016</v>
      </c>
      <c r="C28" s="8">
        <v>8115</v>
      </c>
      <c r="D28" s="57">
        <v>4.9394082786458508E-7</v>
      </c>
      <c r="E28" s="55">
        <v>112352</v>
      </c>
      <c r="F28" s="55">
        <v>4665</v>
      </c>
      <c r="G28" s="58"/>
      <c r="H28">
        <v>4665</v>
      </c>
      <c r="I28" s="55">
        <v>2024534</v>
      </c>
      <c r="J28">
        <v>41521.290230703504</v>
      </c>
      <c r="K28">
        <v>25800.125631942468</v>
      </c>
    </row>
    <row r="29" spans="1:21">
      <c r="A29">
        <v>18</v>
      </c>
      <c r="B29">
        <v>2017</v>
      </c>
      <c r="C29">
        <v>8196.15</v>
      </c>
      <c r="D29" s="57">
        <v>4.7575210460837275E-7</v>
      </c>
      <c r="E29" s="55">
        <v>113200</v>
      </c>
      <c r="F29" s="54">
        <v>4709</v>
      </c>
      <c r="G29" s="63">
        <v>0.01</v>
      </c>
      <c r="H29">
        <v>4709</v>
      </c>
      <c r="I29" s="55">
        <v>2101935</v>
      </c>
      <c r="J29">
        <v>41598.939929328619</v>
      </c>
      <c r="K29">
        <v>25848.374902826854</v>
      </c>
      <c r="M29" s="62"/>
      <c r="N29" s="62" t="s">
        <v>192</v>
      </c>
      <c r="O29" s="62" t="s">
        <v>182</v>
      </c>
      <c r="P29" s="62" t="s">
        <v>193</v>
      </c>
      <c r="Q29" s="62" t="s">
        <v>194</v>
      </c>
      <c r="R29" s="62" t="s">
        <v>195</v>
      </c>
      <c r="S29" s="62" t="s">
        <v>196</v>
      </c>
      <c r="T29" s="62" t="s">
        <v>197</v>
      </c>
      <c r="U29" s="62" t="s">
        <v>198</v>
      </c>
    </row>
    <row r="30" spans="1:21">
      <c r="A30">
        <v>19</v>
      </c>
      <c r="B30">
        <v>2018</v>
      </c>
      <c r="C30">
        <v>8278.1114999999991</v>
      </c>
      <c r="E30" s="55">
        <v>114525.98</v>
      </c>
      <c r="F30" s="54">
        <v>4828.9528927589381</v>
      </c>
      <c r="G30" s="63">
        <v>0.01</v>
      </c>
      <c r="H30">
        <v>4801.6202574873405</v>
      </c>
      <c r="I30" s="55">
        <v>2668011.1958249994</v>
      </c>
      <c r="J30">
        <v>42164.693921492209</v>
      </c>
      <c r="K30">
        <v>26199.918026691535</v>
      </c>
      <c r="M30" s="60" t="s">
        <v>199</v>
      </c>
      <c r="N30" s="60">
        <v>5422.5334590750663</v>
      </c>
      <c r="O30" s="60">
        <v>919.75518425266444</v>
      </c>
      <c r="P30" s="60">
        <v>5.8956269580378367</v>
      </c>
      <c r="Q30" s="60">
        <v>3.6353325719636976E-4</v>
      </c>
      <c r="R30" s="60">
        <v>3301.5742008129514</v>
      </c>
      <c r="S30" s="60">
        <v>7543.4927173371816</v>
      </c>
      <c r="T30" s="60">
        <v>3301.5742008129514</v>
      </c>
      <c r="U30" s="60">
        <v>7543.4927173371816</v>
      </c>
    </row>
    <row r="31" spans="1:21" ht="90">
      <c r="A31">
        <v>20</v>
      </c>
      <c r="B31">
        <v>2019</v>
      </c>
      <c r="C31">
        <v>8360.8926149999988</v>
      </c>
      <c r="E31" s="55">
        <v>115193.4</v>
      </c>
      <c r="F31" s="54">
        <v>4848.3279341592133</v>
      </c>
      <c r="G31" s="63">
        <v>0.01</v>
      </c>
      <c r="H31">
        <v>4960.4456777650503</v>
      </c>
      <c r="I31" s="55">
        <v>2761391.5876788739</v>
      </c>
      <c r="J31">
        <v>42088.591309564727</v>
      </c>
      <c r="K31">
        <v>26152.630070615545</v>
      </c>
      <c r="M31" s="64" t="s">
        <v>170</v>
      </c>
      <c r="N31" s="60">
        <v>7.6961655843498233E-2</v>
      </c>
      <c r="O31" s="60">
        <v>1.6790258459451108E-2</v>
      </c>
      <c r="P31" s="60">
        <v>4.5837088231466208</v>
      </c>
      <c r="Q31" s="60">
        <v>1.7932753796653501E-3</v>
      </c>
      <c r="R31" s="60">
        <v>3.8243250404857231E-2</v>
      </c>
      <c r="S31" s="60">
        <v>0.11568006128213923</v>
      </c>
      <c r="T31" s="60">
        <v>3.8243250404857231E-2</v>
      </c>
      <c r="U31" s="60">
        <v>0.11568006128213923</v>
      </c>
    </row>
    <row r="32" spans="1:21">
      <c r="A32">
        <v>21</v>
      </c>
      <c r="B32">
        <v>2020</v>
      </c>
      <c r="C32">
        <v>8444.501541149999</v>
      </c>
      <c r="E32" s="55">
        <v>115860.82</v>
      </c>
      <c r="F32" s="54">
        <v>4867.1846984545573</v>
      </c>
      <c r="G32" s="63">
        <v>0.01</v>
      </c>
      <c r="H32">
        <v>4991.303713891346</v>
      </c>
      <c r="I32" s="55">
        <v>2858040.2932476341</v>
      </c>
      <c r="J32">
        <v>42008.892207517238</v>
      </c>
      <c r="K32">
        <v>26103.107359877195</v>
      </c>
      <c r="M32" s="60" t="s">
        <v>171</v>
      </c>
      <c r="N32" s="60">
        <v>-1357830029.9852417</v>
      </c>
      <c r="O32" s="60">
        <v>208710412.18583694</v>
      </c>
      <c r="P32" s="60">
        <v>-6.5058087699823144</v>
      </c>
      <c r="Q32" s="60">
        <v>1.86956363000894E-4</v>
      </c>
      <c r="R32" s="60">
        <v>-1839117103.5459478</v>
      </c>
      <c r="S32" s="60">
        <v>-876542956.42453551</v>
      </c>
      <c r="T32" s="60">
        <v>-1839117103.5459478</v>
      </c>
      <c r="U32" s="60">
        <v>-876542956.42453551</v>
      </c>
    </row>
    <row r="33" spans="1:21" ht="15.75" thickBot="1">
      <c r="A33">
        <v>22</v>
      </c>
      <c r="B33">
        <v>2021</v>
      </c>
      <c r="C33">
        <v>8528.9465565614992</v>
      </c>
      <c r="E33" s="55">
        <v>117290.7862</v>
      </c>
      <c r="F33" s="54">
        <v>4880.7379016887271</v>
      </c>
      <c r="G33" s="63">
        <v>0.01</v>
      </c>
      <c r="H33">
        <v>5022.5826842022798</v>
      </c>
      <c r="I33" s="55">
        <v>2958071.703511301</v>
      </c>
      <c r="J33">
        <v>41612.287374101747</v>
      </c>
      <c r="K33">
        <v>25856.668617932977</v>
      </c>
      <c r="M33" s="61" t="s">
        <v>161</v>
      </c>
      <c r="N33" s="61">
        <v>-6.3020467050917076E-3</v>
      </c>
      <c r="O33" s="61">
        <v>7.4844087314185166E-3</v>
      </c>
      <c r="P33" s="61">
        <v>-0.84202332224810006</v>
      </c>
      <c r="Q33" s="61">
        <v>0.42422976154762715</v>
      </c>
      <c r="R33" s="61">
        <v>-2.356112418930098E-2</v>
      </c>
      <c r="S33" s="61">
        <v>1.0957030779117567E-2</v>
      </c>
      <c r="T33" s="61">
        <v>-2.356112418930098E-2</v>
      </c>
      <c r="U33" s="61">
        <v>1.0957030779117567E-2</v>
      </c>
    </row>
    <row r="34" spans="1:21">
      <c r="A34">
        <v>23</v>
      </c>
      <c r="B34">
        <v>2022</v>
      </c>
      <c r="C34">
        <v>8614.2360221271138</v>
      </c>
      <c r="E34" s="55">
        <v>117195.66</v>
      </c>
      <c r="F34" s="54">
        <v>4903.42400781383</v>
      </c>
      <c r="G34" s="63">
        <v>0.01</v>
      </c>
      <c r="H34">
        <v>5050.5459323605137</v>
      </c>
      <c r="I34" s="55">
        <v>3061604.2131341961</v>
      </c>
      <c r="J34">
        <v>41839.638155660628</v>
      </c>
      <c r="K34">
        <v>25997.937800421001</v>
      </c>
    </row>
    <row r="35" spans="1:21">
      <c r="A35">
        <v>24</v>
      </c>
      <c r="B35">
        <v>2023</v>
      </c>
      <c r="C35">
        <v>8700.3783823483845</v>
      </c>
      <c r="E35" s="55">
        <v>117863.08</v>
      </c>
      <c r="F35" s="54">
        <v>4918.7651116594197</v>
      </c>
      <c r="G35" s="63">
        <v>0.01</v>
      </c>
      <c r="H35">
        <v>5075.756595119683</v>
      </c>
      <c r="I35" s="55">
        <v>3153452.3395282221</v>
      </c>
      <c r="J35">
        <v>41732.874379826317</v>
      </c>
      <c r="K35">
        <v>25931.59788626706</v>
      </c>
    </row>
    <row r="36" spans="1:21">
      <c r="A36">
        <v>25</v>
      </c>
      <c r="B36">
        <v>2024</v>
      </c>
      <c r="C36">
        <v>8787.3821661718684</v>
      </c>
      <c r="E36" s="55">
        <v>118530.5</v>
      </c>
      <c r="F36" s="54">
        <v>4933.7962725624029</v>
      </c>
      <c r="G36" s="63">
        <v>0.01</v>
      </c>
      <c r="H36">
        <v>5100.4229856303937</v>
      </c>
      <c r="I36" s="55">
        <v>3248055.9097140688</v>
      </c>
      <c r="J36">
        <v>41624.698052926484</v>
      </c>
      <c r="K36">
        <v>25864.380253844982</v>
      </c>
    </row>
    <row r="37" spans="1:21">
      <c r="A37">
        <v>26</v>
      </c>
      <c r="B37">
        <v>2025</v>
      </c>
      <c r="C37">
        <v>8875.2559878335869</v>
      </c>
      <c r="E37" s="55">
        <v>119197.92</v>
      </c>
      <c r="F37" s="54">
        <v>4948.5291119215426</v>
      </c>
      <c r="G37" s="63">
        <v>0.01</v>
      </c>
      <c r="H37">
        <v>5124.5625366013946</v>
      </c>
      <c r="I37" s="55">
        <v>3345497.5870054909</v>
      </c>
      <c r="J37">
        <v>41515.230399335342</v>
      </c>
      <c r="K37">
        <v>25796.360228465401</v>
      </c>
    </row>
    <row r="38" spans="1:21">
      <c r="A38">
        <v>27</v>
      </c>
      <c r="B38">
        <v>2026</v>
      </c>
      <c r="C38">
        <v>8964.0085477119228</v>
      </c>
      <c r="E38" s="55">
        <v>120252.54514</v>
      </c>
      <c r="F38" s="54">
        <v>4960.5347537108728</v>
      </c>
      <c r="G38" s="63">
        <v>0.01</v>
      </c>
      <c r="H38">
        <v>5148.8297220568393</v>
      </c>
      <c r="I38" s="55">
        <v>3445862.5146156559</v>
      </c>
      <c r="J38">
        <v>41250.975170095036</v>
      </c>
      <c r="K38">
        <v>25632.159692417124</v>
      </c>
    </row>
    <row r="39" spans="1:21">
      <c r="A39">
        <v>28</v>
      </c>
      <c r="B39">
        <v>2027</v>
      </c>
      <c r="C39">
        <v>9053.6486331890428</v>
      </c>
      <c r="E39" s="55">
        <v>120532.76</v>
      </c>
      <c r="F39" s="54">
        <v>4975.2785659915971</v>
      </c>
      <c r="G39" s="63">
        <v>0.01</v>
      </c>
      <c r="H39">
        <v>5168.4284360507963</v>
      </c>
      <c r="I39" s="55">
        <v>3532009.0774810468</v>
      </c>
      <c r="J39">
        <v>41277.396833786908</v>
      </c>
      <c r="K39">
        <v>25648.577348007006</v>
      </c>
    </row>
    <row r="40" spans="1:21">
      <c r="A40">
        <v>29</v>
      </c>
      <c r="B40">
        <v>2028</v>
      </c>
      <c r="C40">
        <v>9144.1851195209329</v>
      </c>
      <c r="E40" s="55">
        <v>121200.18</v>
      </c>
      <c r="F40" s="54">
        <v>4987.416769938266</v>
      </c>
      <c r="G40" s="63">
        <v>0.01</v>
      </c>
      <c r="H40">
        <v>5188.3424438268112</v>
      </c>
      <c r="I40" s="55">
        <v>3620309.3044180726</v>
      </c>
      <c r="J40">
        <v>41150.242268107737</v>
      </c>
      <c r="K40">
        <v>25569.567188376372</v>
      </c>
    </row>
    <row r="41" spans="1:21">
      <c r="A41">
        <v>30</v>
      </c>
      <c r="B41">
        <v>2029</v>
      </c>
      <c r="C41">
        <v>9235.6269707161428</v>
      </c>
      <c r="E41" s="55">
        <v>121867.6</v>
      </c>
      <c r="F41" s="54">
        <v>4999.3959576772222</v>
      </c>
      <c r="G41" s="63">
        <v>0.01</v>
      </c>
      <c r="H41">
        <v>5207.9435168705559</v>
      </c>
      <c r="I41" s="55">
        <v>3710817.0370285241</v>
      </c>
      <c r="J41">
        <v>41023.175624015093</v>
      </c>
      <c r="K41">
        <v>25490.611660669882</v>
      </c>
    </row>
    <row r="42" spans="1:21">
      <c r="A42">
        <v>31</v>
      </c>
      <c r="B42">
        <v>2030</v>
      </c>
      <c r="C42">
        <v>9327.9832404233039</v>
      </c>
      <c r="E42" s="55">
        <v>122535.02</v>
      </c>
      <c r="F42" s="54">
        <v>5011.2224039090033</v>
      </c>
      <c r="G42" s="63">
        <v>0.01</v>
      </c>
      <c r="H42">
        <v>5227.2407474381171</v>
      </c>
      <c r="I42" s="55">
        <v>3803587.4629542367</v>
      </c>
      <c r="J42">
        <v>40896.246672249312</v>
      </c>
      <c r="K42">
        <v>25411.741690982228</v>
      </c>
    </row>
    <row r="43" spans="1:21">
      <c r="A43">
        <v>32</v>
      </c>
      <c r="B43">
        <v>2031</v>
      </c>
      <c r="C43">
        <v>9421.2630728275362</v>
      </c>
      <c r="E43" s="55">
        <v>123289.06348</v>
      </c>
      <c r="F43" s="54">
        <v>5022.3563490385222</v>
      </c>
      <c r="G43" s="63">
        <v>0.01</v>
      </c>
      <c r="H43">
        <v>5246.3856461800724</v>
      </c>
      <c r="I43" s="55">
        <v>3898677.1495280922</v>
      </c>
      <c r="J43">
        <v>40736.430363535452</v>
      </c>
      <c r="K43">
        <v>25312.436471420388</v>
      </c>
    </row>
    <row r="44" spans="1:21">
      <c r="A44">
        <v>33</v>
      </c>
      <c r="B44">
        <v>2032</v>
      </c>
      <c r="C44">
        <v>9515.4757035558123</v>
      </c>
      <c r="E44" s="55">
        <v>123869.86</v>
      </c>
      <c r="F44" s="54">
        <v>5034.4415286465373</v>
      </c>
      <c r="G44" s="63">
        <v>0.01</v>
      </c>
      <c r="H44">
        <v>5264.9590195411765</v>
      </c>
      <c r="I44" s="55">
        <v>3996144.0782662942</v>
      </c>
      <c r="J44">
        <v>40642.99038237823</v>
      </c>
      <c r="K44">
        <v>25254.375576888742</v>
      </c>
    </row>
    <row r="45" spans="1:21">
      <c r="A45">
        <v>34</v>
      </c>
      <c r="B45">
        <v>2033</v>
      </c>
      <c r="C45">
        <v>9610.6304605913701</v>
      </c>
      <c r="E45" s="55">
        <v>124537.28</v>
      </c>
      <c r="F45" s="54">
        <v>5045.8461246301395</v>
      </c>
      <c r="G45" s="63">
        <v>0.01</v>
      </c>
      <c r="H45">
        <v>5283.3972304320014</v>
      </c>
      <c r="I45" s="55">
        <v>4096047.6802229513</v>
      </c>
      <c r="J45">
        <v>40516.752289998141</v>
      </c>
      <c r="K45">
        <v>25175.934887188436</v>
      </c>
    </row>
    <row r="46" spans="1:21">
      <c r="A46">
        <v>35</v>
      </c>
      <c r="B46">
        <v>2034</v>
      </c>
      <c r="C46">
        <v>9706.7367651972836</v>
      </c>
      <c r="E46" s="55">
        <v>125204.7</v>
      </c>
      <c r="F46" s="54">
        <v>5057.12182059933</v>
      </c>
      <c r="G46" s="63">
        <v>0.01</v>
      </c>
      <c r="H46">
        <v>5301.5659475819157</v>
      </c>
      <c r="I46" s="55">
        <v>4198448.8722285246</v>
      </c>
      <c r="J46">
        <v>40390.830540701187</v>
      </c>
      <c r="K46">
        <v>25097.690763906037</v>
      </c>
    </row>
    <row r="47" spans="1:21">
      <c r="A47">
        <v>36</v>
      </c>
      <c r="B47">
        <v>2035</v>
      </c>
      <c r="C47">
        <v>9803.8041328492563</v>
      </c>
      <c r="E47" s="55">
        <v>125872.12</v>
      </c>
      <c r="F47" s="54">
        <v>5068.2742789465101</v>
      </c>
      <c r="G47" s="63">
        <v>0.01</v>
      </c>
      <c r="H47">
        <v>5319.4732781700823</v>
      </c>
      <c r="I47" s="55">
        <v>4303410.0940342378</v>
      </c>
      <c r="J47">
        <v>40265.265087666041</v>
      </c>
      <c r="K47">
        <v>25019.668032788137</v>
      </c>
    </row>
    <row r="48" spans="1:21">
      <c r="A48">
        <v>37</v>
      </c>
      <c r="B48">
        <v>2036</v>
      </c>
      <c r="C48">
        <v>9901.8421741777493</v>
      </c>
      <c r="E48" s="55">
        <v>126402.25665000001</v>
      </c>
      <c r="F48" s="54">
        <v>5080.1742152253755</v>
      </c>
      <c r="G48" s="63">
        <v>0.01</v>
      </c>
      <c r="H48">
        <v>5336.9011099454247</v>
      </c>
      <c r="I48" s="55">
        <v>4410995.3463850934</v>
      </c>
      <c r="J48">
        <v>40190.534171332569</v>
      </c>
      <c r="K48">
        <v>24973.232408575092</v>
      </c>
    </row>
    <row r="49" spans="1:11">
      <c r="A49">
        <v>38</v>
      </c>
      <c r="B49">
        <v>2037</v>
      </c>
      <c r="C49">
        <v>10000.860595919527</v>
      </c>
      <c r="E49" s="55">
        <v>127206.95999999999</v>
      </c>
      <c r="F49" s="54">
        <v>5090.2315707393136</v>
      </c>
      <c r="G49" s="63">
        <v>0.01</v>
      </c>
      <c r="H49">
        <v>5354.5353010075623</v>
      </c>
      <c r="I49" s="55">
        <v>4521270.2300447207</v>
      </c>
      <c r="J49">
        <v>40015.354275735495</v>
      </c>
      <c r="K49">
        <v>24864.38070166804</v>
      </c>
    </row>
    <row r="50" spans="1:11">
      <c r="A50">
        <v>39</v>
      </c>
      <c r="B50">
        <v>2038</v>
      </c>
      <c r="C50">
        <v>10100.869201878722</v>
      </c>
      <c r="E50" s="55">
        <v>127874.38</v>
      </c>
      <c r="F50" s="54">
        <v>5101.0471763119622</v>
      </c>
      <c r="G50" s="63">
        <v>0.01</v>
      </c>
      <c r="H50">
        <v>5371.7053139404097</v>
      </c>
      <c r="I50" s="55">
        <v>4634301.9857958388</v>
      </c>
      <c r="J50">
        <v>39891.080420581216</v>
      </c>
      <c r="K50">
        <v>24787.160532016973</v>
      </c>
    </row>
    <row r="51" spans="1:11">
      <c r="A51">
        <v>40</v>
      </c>
      <c r="B51">
        <v>2039</v>
      </c>
      <c r="C51">
        <v>10201.87789389751</v>
      </c>
      <c r="E51" s="55">
        <v>128541.8</v>
      </c>
      <c r="F51" s="54">
        <v>5111.7610943180998</v>
      </c>
      <c r="G51" s="63">
        <v>0.01</v>
      </c>
      <c r="H51">
        <v>5388.644590553281</v>
      </c>
      <c r="I51" s="55">
        <v>4750159.5354407346</v>
      </c>
      <c r="J51">
        <v>39767.305999434422</v>
      </c>
      <c r="K51">
        <v>24710.250696174568</v>
      </c>
    </row>
    <row r="52" spans="1:11">
      <c r="A52">
        <v>41</v>
      </c>
      <c r="B52">
        <v>2040</v>
      </c>
      <c r="C52">
        <v>10303.896672836485</v>
      </c>
      <c r="E52" s="55">
        <v>128949.31996000001</v>
      </c>
      <c r="F52" s="54">
        <v>5124.0163540909043</v>
      </c>
      <c r="G52" s="63">
        <v>0.01</v>
      </c>
      <c r="H52">
        <v>5404.9324455641654</v>
      </c>
      <c r="I52" s="55">
        <v>4868913.5238267528</v>
      </c>
      <c r="J52">
        <v>39736.668294802723</v>
      </c>
      <c r="K52">
        <v>24691.213315009863</v>
      </c>
    </row>
    <row r="53" spans="1:11">
      <c r="A53">
        <v>42</v>
      </c>
      <c r="B53">
        <v>2041</v>
      </c>
      <c r="C53">
        <v>10406.93563956485</v>
      </c>
      <c r="E53" s="55">
        <v>129876.64</v>
      </c>
      <c r="F53" s="54">
        <v>5132.904277617934</v>
      </c>
      <c r="G53" s="63">
        <v>0.01</v>
      </c>
      <c r="H53">
        <v>5421.8597348900503</v>
      </c>
      <c r="I53" s="55">
        <v>4990636.3619224215</v>
      </c>
      <c r="J53">
        <v>39521.381809830731</v>
      </c>
      <c r="K53">
        <v>24557.440536556333</v>
      </c>
    </row>
    <row r="54" spans="1:11">
      <c r="A54">
        <v>43</v>
      </c>
      <c r="B54">
        <v>2042</v>
      </c>
      <c r="C54">
        <v>10511.004995960498</v>
      </c>
      <c r="E54" s="55">
        <v>130544.06</v>
      </c>
      <c r="F54" s="54">
        <v>5143.3435041176363</v>
      </c>
      <c r="G54" s="63">
        <v>0.01</v>
      </c>
      <c r="H54">
        <v>5438.1496055633252</v>
      </c>
      <c r="I54" s="55">
        <v>5115402.2709704814</v>
      </c>
      <c r="J54">
        <v>39399.291734282182</v>
      </c>
      <c r="K54">
        <v>24481.577304222654</v>
      </c>
    </row>
    <row r="55" spans="1:11">
      <c r="A55">
        <v>44</v>
      </c>
      <c r="B55">
        <v>2043</v>
      </c>
      <c r="C55">
        <v>10616.115045920104</v>
      </c>
      <c r="E55" s="55">
        <v>131211.48000000001</v>
      </c>
      <c r="F55" s="54">
        <v>5153.7009707386896</v>
      </c>
      <c r="G55" s="63">
        <v>0.01</v>
      </c>
      <c r="H55">
        <v>5454.236753867619</v>
      </c>
      <c r="I55" s="55">
        <v>5243287.3277447429</v>
      </c>
      <c r="J55">
        <v>39277.82058962134</v>
      </c>
      <c r="K55">
        <v>24406.0986575936</v>
      </c>
    </row>
    <row r="56" spans="1:11">
      <c r="A56">
        <v>45</v>
      </c>
      <c r="B56">
        <v>2044</v>
      </c>
      <c r="C56">
        <v>10722.276196379305</v>
      </c>
      <c r="E56" s="55">
        <v>131878.9</v>
      </c>
      <c r="F56" s="54">
        <v>5163.9814260594721</v>
      </c>
      <c r="G56" s="63">
        <v>0.01</v>
      </c>
      <c r="H56">
        <v>5470.1278021403486</v>
      </c>
      <c r="I56" s="55">
        <v>5374369.5109383613</v>
      </c>
      <c r="J56">
        <v>39156.994986002101</v>
      </c>
      <c r="K56">
        <v>24331.021131447113</v>
      </c>
    </row>
    <row r="57" spans="1:11">
      <c r="A57">
        <v>46</v>
      </c>
      <c r="B57">
        <v>2045</v>
      </c>
      <c r="C57">
        <v>10829.498958343098</v>
      </c>
      <c r="E57" s="55">
        <v>132546.32</v>
      </c>
      <c r="F57" s="54">
        <v>5174.1895303837273</v>
      </c>
      <c r="G57" s="63">
        <v>0.01</v>
      </c>
      <c r="H57">
        <v>5485.8292279774032</v>
      </c>
      <c r="I57" s="55">
        <v>5508728.7487118198</v>
      </c>
      <c r="J57">
        <v>39036.840331619365</v>
      </c>
      <c r="K57">
        <v>24256.360513698655</v>
      </c>
    </row>
    <row r="58" spans="1:11">
      <c r="A58">
        <v>47</v>
      </c>
      <c r="B58">
        <v>2046</v>
      </c>
      <c r="C58">
        <v>10937.79394792653</v>
      </c>
      <c r="E58" s="55">
        <v>133213.74</v>
      </c>
      <c r="F58" s="54">
        <v>5184.3298581690478</v>
      </c>
      <c r="G58" s="63">
        <v>0.01</v>
      </c>
      <c r="H58">
        <v>5501.3473679312065</v>
      </c>
      <c r="I58" s="55">
        <v>5646446.9674296146</v>
      </c>
      <c r="J58">
        <v>38917.380881049125</v>
      </c>
      <c r="K58">
        <v>24182.131875438376</v>
      </c>
    </row>
    <row r="59" spans="1:11">
      <c r="A59">
        <v>48</v>
      </c>
      <c r="B59">
        <v>2047</v>
      </c>
      <c r="C59">
        <v>11047.171887405795</v>
      </c>
      <c r="E59" s="55">
        <v>133881.16</v>
      </c>
      <c r="F59" s="54">
        <v>5194.4069003988798</v>
      </c>
      <c r="G59" s="63">
        <v>0.01</v>
      </c>
      <c r="H59">
        <v>5516.6884211202769</v>
      </c>
      <c r="I59" s="55">
        <v>5787608.1416153545</v>
      </c>
      <c r="J59">
        <v>38798.639781720442</v>
      </c>
      <c r="K59">
        <v>24108.349599807414</v>
      </c>
    </row>
    <row r="60" spans="1:11">
      <c r="A60">
        <v>49</v>
      </c>
      <c r="B60">
        <v>2048</v>
      </c>
      <c r="C60">
        <v>11157.643606279853</v>
      </c>
      <c r="E60" s="55">
        <v>134548.57999999999</v>
      </c>
      <c r="F60" s="54">
        <v>5204.4250668994619</v>
      </c>
      <c r="G60" s="63">
        <v>0.01</v>
      </c>
      <c r="H60">
        <v>5531.858452752429</v>
      </c>
      <c r="I60" s="55">
        <v>5932298.3451557374</v>
      </c>
      <c r="J60">
        <v>38680.639118595398</v>
      </c>
      <c r="K60">
        <v>24035.02740976074</v>
      </c>
    </row>
    <row r="61" spans="1:11">
      <c r="A61">
        <v>50</v>
      </c>
      <c r="B61">
        <v>2049</v>
      </c>
      <c r="C61">
        <v>11269.220042342651</v>
      </c>
      <c r="E61" s="55">
        <v>135216</v>
      </c>
      <c r="F61" s="54">
        <v>5214.3886886030523</v>
      </c>
      <c r="G61" s="63">
        <v>0.01</v>
      </c>
      <c r="H61">
        <v>5546.8633975637649</v>
      </c>
      <c r="I61" s="55">
        <v>6080605.8037846303</v>
      </c>
      <c r="J61">
        <v>38563.39995712824</v>
      </c>
      <c r="K61">
        <v>23962.178394760733</v>
      </c>
    </row>
    <row r="62" spans="1:11">
      <c r="A62">
        <v>51</v>
      </c>
      <c r="B62">
        <v>2050</v>
      </c>
      <c r="C62">
        <v>11381.912242766079</v>
      </c>
      <c r="E62" s="55">
        <v>135883.41999999998</v>
      </c>
      <c r="F62" s="54">
        <v>5224.3020197588075</v>
      </c>
      <c r="G62" s="63">
        <v>0.01</v>
      </c>
      <c r="H62">
        <v>5561.7090631755118</v>
      </c>
      <c r="I62" s="55">
        <v>6232620.9488792457</v>
      </c>
      <c r="J62">
        <v>38446.942384573536</v>
      </c>
      <c r="K62">
        <v>23889.815036444845</v>
      </c>
    </row>
    <row r="63" spans="1:11">
      <c r="E63" s="55"/>
      <c r="G63" s="58"/>
    </row>
    <row r="64" spans="1:11">
      <c r="E64" s="55"/>
      <c r="G64" s="58"/>
    </row>
    <row r="65" spans="1:9">
      <c r="E65" s="55"/>
      <c r="G65" s="58"/>
    </row>
    <row r="66" spans="1:9">
      <c r="A66">
        <v>1</v>
      </c>
      <c r="B66" t="s">
        <v>200</v>
      </c>
      <c r="C66" s="3" t="s">
        <v>201</v>
      </c>
      <c r="E66" s="55"/>
      <c r="G66" s="58"/>
    </row>
    <row r="67" spans="1:9">
      <c r="A67">
        <v>2</v>
      </c>
      <c r="B67" t="s">
        <v>202</v>
      </c>
      <c r="E67" s="55"/>
      <c r="G67" s="58"/>
    </row>
    <row r="68" spans="1:9">
      <c r="E68" s="55"/>
      <c r="G68" s="58"/>
    </row>
    <row r="69" spans="1:9">
      <c r="A69">
        <v>1</v>
      </c>
      <c r="B69">
        <v>2000</v>
      </c>
      <c r="C69" s="8">
        <v>12164</v>
      </c>
      <c r="D69" s="57">
        <f>1/1000000/I69</f>
        <v>8.7096178568069145E-13</v>
      </c>
      <c r="E69" s="55">
        <v>118582</v>
      </c>
      <c r="F69" s="55">
        <v>3782</v>
      </c>
      <c r="G69" s="58"/>
      <c r="H69">
        <v>3782</v>
      </c>
      <c r="I69" s="55">
        <v>1148156</v>
      </c>
    </row>
    <row r="70" spans="1:9">
      <c r="A70">
        <v>2</v>
      </c>
      <c r="B70">
        <v>2001</v>
      </c>
      <c r="C70" s="8">
        <v>11370</v>
      </c>
      <c r="D70" s="57">
        <f t="shared" ref="D70:D76" si="1">1/I70</f>
        <v>8.6669682771627121E-7</v>
      </c>
      <c r="E70" s="55">
        <v>117129</v>
      </c>
      <c r="F70" s="55">
        <v>4535</v>
      </c>
      <c r="G70" s="58"/>
      <c r="H70">
        <v>4535</v>
      </c>
      <c r="I70" s="55">
        <v>1153806</v>
      </c>
    </row>
    <row r="71" spans="1:9">
      <c r="A71">
        <v>3</v>
      </c>
      <c r="B71">
        <v>2002</v>
      </c>
      <c r="C71" s="8">
        <v>11738</v>
      </c>
      <c r="D71" s="57">
        <f t="shared" si="1"/>
        <v>8.5194477693955875E-7</v>
      </c>
      <c r="E71" s="55">
        <v>114973</v>
      </c>
      <c r="F71" s="55">
        <v>4489</v>
      </c>
      <c r="G71" s="58"/>
      <c r="H71">
        <v>4489</v>
      </c>
      <c r="I71" s="55">
        <v>1173785</v>
      </c>
    </row>
    <row r="72" spans="1:9">
      <c r="A72">
        <v>4</v>
      </c>
      <c r="B72">
        <v>2003</v>
      </c>
      <c r="C72" s="8">
        <v>11915</v>
      </c>
      <c r="D72" s="57">
        <f t="shared" si="1"/>
        <v>8.2646813800034377E-7</v>
      </c>
      <c r="E72" s="55">
        <v>113572</v>
      </c>
      <c r="F72" s="55">
        <v>4485</v>
      </c>
      <c r="G72" s="58"/>
      <c r="H72">
        <v>4485</v>
      </c>
      <c r="I72" s="55">
        <v>1209968</v>
      </c>
    </row>
    <row r="73" spans="1:9">
      <c r="A73">
        <v>5</v>
      </c>
      <c r="B73">
        <v>2004</v>
      </c>
      <c r="C73" s="8">
        <v>12496</v>
      </c>
      <c r="D73" s="57">
        <f t="shared" si="1"/>
        <v>7.6110683199936675E-7</v>
      </c>
      <c r="E73" s="55">
        <v>114170</v>
      </c>
      <c r="F73" s="55">
        <v>4578</v>
      </c>
      <c r="G73" s="58"/>
      <c r="H73">
        <v>4578</v>
      </c>
      <c r="I73" s="55">
        <v>1313876</v>
      </c>
    </row>
    <row r="74" spans="1:9">
      <c r="A74">
        <v>6</v>
      </c>
      <c r="B74">
        <v>2005</v>
      </c>
      <c r="C74" s="8">
        <v>12451</v>
      </c>
      <c r="D74" s="57">
        <f t="shared" si="1"/>
        <v>7.0815260688678407E-7</v>
      </c>
      <c r="E74" s="55">
        <v>114635</v>
      </c>
      <c r="F74" s="55">
        <v>4660</v>
      </c>
      <c r="G74" s="58"/>
      <c r="H74">
        <v>4660</v>
      </c>
      <c r="I74" s="55">
        <v>1412125</v>
      </c>
    </row>
    <row r="75" spans="1:9">
      <c r="A75">
        <v>7</v>
      </c>
      <c r="B75">
        <v>2006</v>
      </c>
      <c r="C75" s="8">
        <v>12573</v>
      </c>
      <c r="D75" s="57">
        <f t="shared" si="1"/>
        <v>6.6206881940550194E-7</v>
      </c>
      <c r="E75" s="55">
        <v>115289</v>
      </c>
      <c r="F75" s="55">
        <v>4764</v>
      </c>
      <c r="G75" s="58"/>
      <c r="H75">
        <v>4764</v>
      </c>
      <c r="I75" s="55">
        <v>1510417</v>
      </c>
    </row>
    <row r="76" spans="1:9">
      <c r="A76">
        <v>8</v>
      </c>
      <c r="B76">
        <v>2007</v>
      </c>
      <c r="C76" s="8">
        <v>11802</v>
      </c>
      <c r="D76" s="57">
        <f t="shared" si="1"/>
        <v>6.2137042003397656E-7</v>
      </c>
      <c r="E76" s="55">
        <v>114254</v>
      </c>
      <c r="F76" s="55">
        <v>4856</v>
      </c>
      <c r="G76" s="58"/>
      <c r="H76">
        <v>4856</v>
      </c>
      <c r="I76" s="55">
        <v>1609346</v>
      </c>
    </row>
    <row r="77" spans="1:9">
      <c r="E77" s="55"/>
      <c r="G77" s="58"/>
    </row>
    <row r="78" spans="1:9">
      <c r="E78" s="55"/>
      <c r="G78" s="58"/>
    </row>
    <row r="79" spans="1:9">
      <c r="E79" s="55"/>
      <c r="G79" s="58"/>
    </row>
    <row r="80" spans="1:9">
      <c r="E80" s="55"/>
      <c r="G80" s="58"/>
    </row>
    <row r="81" spans="1:50">
      <c r="B81">
        <v>3</v>
      </c>
      <c r="C81">
        <v>4</v>
      </c>
      <c r="D81">
        <v>5</v>
      </c>
      <c r="E81">
        <v>6</v>
      </c>
      <c r="F81">
        <v>7</v>
      </c>
      <c r="G81">
        <v>8</v>
      </c>
      <c r="H81">
        <v>9</v>
      </c>
      <c r="I81">
        <v>10</v>
      </c>
      <c r="J81">
        <v>11</v>
      </c>
      <c r="K81">
        <v>12</v>
      </c>
      <c r="L81">
        <v>13</v>
      </c>
      <c r="M81">
        <v>14</v>
      </c>
      <c r="N81">
        <v>15</v>
      </c>
      <c r="O81">
        <v>16</v>
      </c>
      <c r="P81">
        <v>17</v>
      </c>
      <c r="Q81">
        <v>18</v>
      </c>
      <c r="R81">
        <v>19</v>
      </c>
      <c r="S81">
        <v>20</v>
      </c>
      <c r="T81">
        <v>21</v>
      </c>
      <c r="U81">
        <v>22</v>
      </c>
      <c r="V81">
        <v>23</v>
      </c>
      <c r="W81">
        <v>24</v>
      </c>
      <c r="X81">
        <v>25</v>
      </c>
      <c r="Y81">
        <v>26</v>
      </c>
      <c r="Z81">
        <v>27</v>
      </c>
      <c r="AA81">
        <v>28</v>
      </c>
      <c r="AB81">
        <v>29</v>
      </c>
      <c r="AC81">
        <v>30</v>
      </c>
      <c r="AD81">
        <v>31</v>
      </c>
      <c r="AE81">
        <v>32</v>
      </c>
      <c r="AF81">
        <v>33</v>
      </c>
      <c r="AG81">
        <v>34</v>
      </c>
      <c r="AH81">
        <v>35</v>
      </c>
      <c r="AI81">
        <v>36</v>
      </c>
      <c r="AJ81">
        <v>37</v>
      </c>
      <c r="AK81">
        <v>38</v>
      </c>
      <c r="AL81">
        <v>39</v>
      </c>
      <c r="AM81">
        <v>40</v>
      </c>
      <c r="AN81">
        <v>41</v>
      </c>
      <c r="AO81">
        <v>42</v>
      </c>
      <c r="AP81">
        <v>43</v>
      </c>
      <c r="AQ81">
        <v>44</v>
      </c>
      <c r="AR81">
        <v>45</v>
      </c>
      <c r="AS81">
        <v>46</v>
      </c>
      <c r="AT81">
        <v>47</v>
      </c>
      <c r="AU81">
        <v>48</v>
      </c>
      <c r="AV81">
        <v>49</v>
      </c>
      <c r="AW81">
        <v>50</v>
      </c>
      <c r="AX81">
        <v>51</v>
      </c>
    </row>
    <row r="82" spans="1:50">
      <c r="A82" t="s">
        <v>126</v>
      </c>
      <c r="B82">
        <v>2002</v>
      </c>
      <c r="C82">
        <v>2003</v>
      </c>
      <c r="D82">
        <v>2004</v>
      </c>
      <c r="E82">
        <v>2005</v>
      </c>
      <c r="F82">
        <v>2006</v>
      </c>
      <c r="G82">
        <v>2007</v>
      </c>
      <c r="H82">
        <v>2008</v>
      </c>
      <c r="I82">
        <v>2009</v>
      </c>
      <c r="J82">
        <v>2010</v>
      </c>
      <c r="K82">
        <v>2011</v>
      </c>
      <c r="L82">
        <v>2012</v>
      </c>
      <c r="M82">
        <v>2013</v>
      </c>
      <c r="N82">
        <v>2014</v>
      </c>
      <c r="O82">
        <v>2015</v>
      </c>
      <c r="P82">
        <v>2016</v>
      </c>
      <c r="Q82">
        <v>2017</v>
      </c>
      <c r="R82">
        <v>2018</v>
      </c>
      <c r="S82">
        <v>2019</v>
      </c>
      <c r="T82">
        <v>2020</v>
      </c>
      <c r="U82">
        <v>2021</v>
      </c>
      <c r="V82">
        <v>2022</v>
      </c>
      <c r="W82">
        <v>2023</v>
      </c>
      <c r="X82">
        <v>2024</v>
      </c>
      <c r="Y82">
        <v>2025</v>
      </c>
      <c r="Z82">
        <v>2026</v>
      </c>
      <c r="AA82">
        <v>2027</v>
      </c>
      <c r="AB82">
        <v>2028</v>
      </c>
      <c r="AC82">
        <v>2029</v>
      </c>
      <c r="AD82">
        <v>2030</v>
      </c>
      <c r="AE82">
        <v>2031</v>
      </c>
      <c r="AF82">
        <v>2032</v>
      </c>
      <c r="AG82">
        <v>2033</v>
      </c>
      <c r="AH82">
        <v>2034</v>
      </c>
      <c r="AI82">
        <v>2035</v>
      </c>
      <c r="AJ82">
        <v>2036</v>
      </c>
      <c r="AK82">
        <v>2037</v>
      </c>
      <c r="AL82">
        <v>2038</v>
      </c>
      <c r="AM82">
        <v>2039</v>
      </c>
      <c r="AN82">
        <v>2040</v>
      </c>
      <c r="AO82">
        <v>2041</v>
      </c>
      <c r="AP82">
        <v>2042</v>
      </c>
      <c r="AQ82">
        <v>2043</v>
      </c>
      <c r="AR82">
        <v>2044</v>
      </c>
      <c r="AS82">
        <v>2045</v>
      </c>
      <c r="AT82">
        <v>2046</v>
      </c>
      <c r="AU82">
        <v>2047</v>
      </c>
      <c r="AV82">
        <v>2048</v>
      </c>
      <c r="AW82">
        <v>2049</v>
      </c>
      <c r="AX82">
        <v>2050</v>
      </c>
    </row>
    <row r="83" spans="1:50" ht="30">
      <c r="A83" s="52" t="s">
        <v>170</v>
      </c>
      <c r="B83" s="8">
        <v>11738</v>
      </c>
      <c r="C83" s="8">
        <v>11915</v>
      </c>
      <c r="D83" s="8">
        <v>12496</v>
      </c>
      <c r="E83" s="8">
        <v>12451</v>
      </c>
      <c r="F83" s="8">
        <v>12573</v>
      </c>
      <c r="G83" s="8">
        <v>11802</v>
      </c>
      <c r="H83" s="8">
        <v>11675</v>
      </c>
      <c r="I83" s="8">
        <v>9614</v>
      </c>
      <c r="J83" s="8">
        <v>10477</v>
      </c>
      <c r="K83" s="8">
        <v>10136</v>
      </c>
      <c r="L83" s="8">
        <v>9179</v>
      </c>
      <c r="M83" s="8">
        <v>8610</v>
      </c>
      <c r="N83" s="8">
        <v>8844</v>
      </c>
      <c r="O83" s="8">
        <v>8281</v>
      </c>
      <c r="P83" s="8">
        <v>8115</v>
      </c>
      <c r="Q83">
        <v>8196.15</v>
      </c>
      <c r="R83">
        <v>8278.1114999999991</v>
      </c>
      <c r="S83">
        <v>8360.8926149999988</v>
      </c>
      <c r="T83">
        <v>8444.501541149999</v>
      </c>
      <c r="U83">
        <v>8528.9465565614992</v>
      </c>
      <c r="V83">
        <v>8614.2360221271138</v>
      </c>
      <c r="W83">
        <v>8700.3783823483845</v>
      </c>
      <c r="X83">
        <v>8787.3821661718684</v>
      </c>
      <c r="Y83">
        <v>8875.2559878335869</v>
      </c>
      <c r="Z83">
        <v>8964.0085477119228</v>
      </c>
      <c r="AA83">
        <v>9053.6486331890428</v>
      </c>
      <c r="AB83">
        <v>9144.1851195209329</v>
      </c>
      <c r="AC83">
        <v>9235.6269707161428</v>
      </c>
      <c r="AD83">
        <v>9327.9832404233039</v>
      </c>
      <c r="AE83">
        <v>9421.2630728275362</v>
      </c>
      <c r="AF83">
        <v>9515.4757035558123</v>
      </c>
      <c r="AG83">
        <v>9610.6304605913701</v>
      </c>
      <c r="AH83">
        <v>9706.7367651972836</v>
      </c>
      <c r="AI83">
        <v>9803.8041328492563</v>
      </c>
      <c r="AJ83">
        <v>9901.8421741777493</v>
      </c>
      <c r="AK83">
        <v>10000.860595919527</v>
      </c>
      <c r="AL83">
        <v>10100.869201878722</v>
      </c>
      <c r="AM83">
        <v>10201.87789389751</v>
      </c>
      <c r="AN83">
        <v>10303.896672836485</v>
      </c>
      <c r="AO83">
        <v>10406.93563956485</v>
      </c>
      <c r="AP83">
        <v>10511.004995960498</v>
      </c>
      <c r="AQ83">
        <v>10616.115045920104</v>
      </c>
      <c r="AR83">
        <v>10722.276196379305</v>
      </c>
      <c r="AS83">
        <v>10829.498958343098</v>
      </c>
      <c r="AT83">
        <v>10937.79394792653</v>
      </c>
      <c r="AU83">
        <v>11047.171887405795</v>
      </c>
      <c r="AV83">
        <v>11157.643606279853</v>
      </c>
      <c r="AW83">
        <v>11269.220042342651</v>
      </c>
      <c r="AX83">
        <v>11381.912242766079</v>
      </c>
    </row>
    <row r="84" spans="1:50">
      <c r="A84" t="s">
        <v>171</v>
      </c>
      <c r="B84" s="57">
        <v>8.5194477693955875E-7</v>
      </c>
      <c r="C84" s="57">
        <v>8.2646813800034377E-7</v>
      </c>
      <c r="D84" s="57">
        <v>7.6110683199936675E-7</v>
      </c>
      <c r="E84" s="57">
        <v>7.0815260688678407E-7</v>
      </c>
      <c r="F84" s="57">
        <v>6.6206881940550194E-7</v>
      </c>
      <c r="G84" s="57">
        <v>6.2137042003397656E-7</v>
      </c>
      <c r="H84" s="57">
        <v>6.0894516083459589E-7</v>
      </c>
      <c r="I84" s="57">
        <v>6.2383070731797084E-7</v>
      </c>
      <c r="J84" s="57">
        <v>5.846859067309042E-7</v>
      </c>
      <c r="K84" s="57">
        <v>5.5745741443446782E-7</v>
      </c>
      <c r="L84" s="57">
        <v>5.4831956502905549E-7</v>
      </c>
      <c r="M84" s="57">
        <v>5.3165585278662094E-7</v>
      </c>
      <c r="N84" s="57">
        <v>5.1751691245269894E-7</v>
      </c>
      <c r="O84" s="57">
        <v>5.0569616156385525E-7</v>
      </c>
      <c r="P84" s="57">
        <v>4.9394082786458508E-7</v>
      </c>
      <c r="Q84" s="57">
        <v>4.7575210460837275E-7</v>
      </c>
    </row>
    <row r="85" spans="1:50">
      <c r="A85" s="55" t="s">
        <v>161</v>
      </c>
      <c r="B85" s="55">
        <v>114973</v>
      </c>
      <c r="C85" s="55">
        <v>113572</v>
      </c>
      <c r="D85" s="55">
        <v>114170</v>
      </c>
      <c r="E85" s="55">
        <v>114635</v>
      </c>
      <c r="F85" s="55">
        <v>115289</v>
      </c>
      <c r="G85" s="55">
        <v>114254</v>
      </c>
      <c r="H85" s="55">
        <v>112996</v>
      </c>
      <c r="I85" s="55">
        <v>110910</v>
      </c>
      <c r="J85" s="55">
        <v>112874</v>
      </c>
      <c r="K85" s="55">
        <v>114308</v>
      </c>
      <c r="L85" s="55">
        <v>117127</v>
      </c>
      <c r="M85" s="55">
        <v>120277</v>
      </c>
      <c r="N85" s="55">
        <v>116561</v>
      </c>
      <c r="O85" s="55">
        <v>115482</v>
      </c>
      <c r="P85" s="55">
        <v>112352</v>
      </c>
      <c r="Q85" s="55">
        <v>113200</v>
      </c>
      <c r="R85" s="55">
        <v>114525.98</v>
      </c>
      <c r="S85" s="55">
        <v>115193.4</v>
      </c>
      <c r="T85" s="55">
        <v>115860.82</v>
      </c>
      <c r="U85" s="55">
        <v>117290.7862</v>
      </c>
      <c r="V85" s="55">
        <v>117195.66</v>
      </c>
      <c r="W85" s="55">
        <v>117863.08</v>
      </c>
      <c r="X85" s="55">
        <v>118530.5</v>
      </c>
      <c r="Y85" s="55">
        <v>119197.92</v>
      </c>
      <c r="Z85" s="55">
        <v>120252.54514</v>
      </c>
      <c r="AA85" s="55">
        <v>120532.76</v>
      </c>
      <c r="AB85" s="55">
        <v>121200.18</v>
      </c>
      <c r="AC85" s="55">
        <v>121867.6</v>
      </c>
      <c r="AD85" s="55">
        <v>122535.02</v>
      </c>
      <c r="AE85" s="55">
        <v>123289.06348</v>
      </c>
      <c r="AF85" s="55">
        <v>123869.86</v>
      </c>
      <c r="AG85" s="55">
        <v>124537.28</v>
      </c>
      <c r="AH85" s="55">
        <v>125204.7</v>
      </c>
      <c r="AI85" s="55">
        <v>125872.12</v>
      </c>
      <c r="AJ85" s="55">
        <v>126402.25665000001</v>
      </c>
      <c r="AK85" s="55">
        <v>127206.95999999999</v>
      </c>
      <c r="AL85" s="55">
        <v>127874.38</v>
      </c>
      <c r="AM85" s="55">
        <v>128541.8</v>
      </c>
      <c r="AN85" s="55">
        <v>128949.31996000001</v>
      </c>
      <c r="AO85" s="55">
        <v>129876.64</v>
      </c>
      <c r="AP85" s="55">
        <v>130544.06</v>
      </c>
      <c r="AQ85" s="55">
        <v>131211.48000000001</v>
      </c>
      <c r="AR85" s="55">
        <v>131878.9</v>
      </c>
      <c r="AS85" s="55">
        <v>132546.32</v>
      </c>
      <c r="AT85" s="55">
        <v>133213.74</v>
      </c>
      <c r="AU85" s="55">
        <v>133881.16</v>
      </c>
      <c r="AV85" s="55">
        <v>134548.57999999999</v>
      </c>
      <c r="AW85" s="55">
        <v>135216</v>
      </c>
      <c r="AX85" s="55">
        <v>135883.41999999998</v>
      </c>
    </row>
    <row r="86" spans="1:50" ht="30">
      <c r="A86" s="52" t="s">
        <v>172</v>
      </c>
      <c r="B86" s="55">
        <v>4489</v>
      </c>
      <c r="C86" s="55">
        <v>4485</v>
      </c>
      <c r="D86" s="55">
        <v>4578</v>
      </c>
      <c r="E86" s="55">
        <v>4660</v>
      </c>
      <c r="F86" s="55">
        <v>4764</v>
      </c>
      <c r="G86" s="55">
        <v>4856</v>
      </c>
      <c r="H86" s="55">
        <v>4825</v>
      </c>
      <c r="I86" s="55">
        <v>4641</v>
      </c>
      <c r="J86" s="55">
        <v>4663</v>
      </c>
      <c r="K86" s="55">
        <v>4679</v>
      </c>
      <c r="L86" s="55">
        <v>4665</v>
      </c>
      <c r="M86" s="55">
        <v>4600</v>
      </c>
      <c r="N86" s="55">
        <v>4586</v>
      </c>
      <c r="O86" s="55">
        <v>4524</v>
      </c>
      <c r="P86" s="55">
        <v>4665</v>
      </c>
      <c r="Q86" s="54">
        <v>4709</v>
      </c>
      <c r="R86" s="54">
        <v>4828.9528927589381</v>
      </c>
      <c r="S86" s="54">
        <v>4848.3279341592133</v>
      </c>
      <c r="T86" s="54">
        <v>4867.1846984545573</v>
      </c>
      <c r="U86" s="54">
        <v>4880.7379016887271</v>
      </c>
      <c r="V86" s="54">
        <v>4903.42400781383</v>
      </c>
      <c r="W86" s="54">
        <v>4918.7651116594197</v>
      </c>
      <c r="X86" s="54">
        <v>4933.7962725624029</v>
      </c>
      <c r="Y86" s="54">
        <v>4948.5291119215426</v>
      </c>
      <c r="Z86" s="54">
        <v>4960.5347537108728</v>
      </c>
      <c r="AA86" s="54">
        <v>4975.2785659915971</v>
      </c>
      <c r="AB86" s="54">
        <v>4987.416769938266</v>
      </c>
      <c r="AC86" s="54">
        <v>4999.3959576772222</v>
      </c>
      <c r="AD86" s="54">
        <v>5011.2224039090033</v>
      </c>
      <c r="AE86" s="54">
        <v>5022.3563490385222</v>
      </c>
      <c r="AF86" s="54">
        <v>5034.4415286465373</v>
      </c>
      <c r="AG86" s="54">
        <v>5045.8461246301395</v>
      </c>
      <c r="AH86" s="54">
        <v>5057.12182059933</v>
      </c>
      <c r="AI86" s="54">
        <v>5068.2742789465101</v>
      </c>
      <c r="AJ86" s="54">
        <v>5080.1742152253755</v>
      </c>
      <c r="AK86" s="54">
        <v>5090.2315707393136</v>
      </c>
      <c r="AL86" s="54">
        <v>5101.0471763119622</v>
      </c>
      <c r="AM86" s="54">
        <v>5111.7610943180998</v>
      </c>
      <c r="AN86" s="54">
        <v>5124.0163540909043</v>
      </c>
      <c r="AO86" s="54">
        <v>5132.904277617934</v>
      </c>
      <c r="AP86" s="54">
        <v>5143.3435041176363</v>
      </c>
      <c r="AQ86" s="54">
        <v>5153.7009707386896</v>
      </c>
      <c r="AR86" s="54">
        <v>5163.9814260594721</v>
      </c>
      <c r="AS86" s="54">
        <v>5174.1895303837273</v>
      </c>
      <c r="AT86" s="54">
        <v>5184.3298581690478</v>
      </c>
      <c r="AU86" s="54">
        <v>5194.4069003988798</v>
      </c>
      <c r="AV86" s="54">
        <v>5204.4250668994619</v>
      </c>
      <c r="AW86" s="54">
        <v>5214.3886886030523</v>
      </c>
      <c r="AX86" s="54">
        <v>5224.3020197588075</v>
      </c>
    </row>
    <row r="87" spans="1:50" ht="30">
      <c r="A87" s="56" t="s">
        <v>173</v>
      </c>
      <c r="B87" s="58"/>
      <c r="C87" s="58"/>
      <c r="D87" s="58"/>
      <c r="E87" s="58"/>
      <c r="F87" s="58"/>
      <c r="G87" s="58"/>
      <c r="H87" s="58"/>
      <c r="I87" s="58"/>
      <c r="J87" s="58"/>
      <c r="K87" s="58"/>
      <c r="L87" s="58"/>
      <c r="M87" s="58"/>
      <c r="N87" s="58"/>
      <c r="O87" s="58"/>
      <c r="P87" s="58"/>
      <c r="Q87" s="63">
        <v>0.01</v>
      </c>
      <c r="R87" s="63">
        <v>0.01</v>
      </c>
      <c r="S87" s="63">
        <v>0.01</v>
      </c>
      <c r="T87" s="63">
        <v>0.01</v>
      </c>
      <c r="U87" s="63">
        <v>0.01</v>
      </c>
      <c r="V87" s="63">
        <v>0.01</v>
      </c>
      <c r="W87" s="63">
        <v>0.01</v>
      </c>
      <c r="X87" s="63">
        <v>0.01</v>
      </c>
      <c r="Y87" s="63">
        <v>0.01</v>
      </c>
      <c r="Z87" s="63">
        <v>0.01</v>
      </c>
      <c r="AA87" s="63">
        <v>0.01</v>
      </c>
      <c r="AB87" s="63">
        <v>0.01</v>
      </c>
      <c r="AC87" s="63">
        <v>0.01</v>
      </c>
      <c r="AD87" s="63">
        <v>0.01</v>
      </c>
      <c r="AE87" s="63">
        <v>0.01</v>
      </c>
      <c r="AF87" s="63">
        <v>0.01</v>
      </c>
      <c r="AG87" s="63">
        <v>0.01</v>
      </c>
      <c r="AH87" s="63">
        <v>0.01</v>
      </c>
      <c r="AI87" s="63">
        <v>0.01</v>
      </c>
      <c r="AJ87" s="63">
        <v>0.01</v>
      </c>
      <c r="AK87" s="63">
        <v>0.01</v>
      </c>
      <c r="AL87" s="63">
        <v>0.01</v>
      </c>
      <c r="AM87" s="63">
        <v>0.01</v>
      </c>
      <c r="AN87" s="63">
        <v>0.01</v>
      </c>
      <c r="AO87" s="63">
        <v>0.01</v>
      </c>
      <c r="AP87" s="63">
        <v>0.01</v>
      </c>
      <c r="AQ87" s="63">
        <v>0.01</v>
      </c>
      <c r="AR87" s="63">
        <v>0.01</v>
      </c>
      <c r="AS87" s="63">
        <v>0.01</v>
      </c>
      <c r="AT87" s="63">
        <v>0.01</v>
      </c>
      <c r="AU87" s="63">
        <v>0.01</v>
      </c>
      <c r="AV87" s="63">
        <v>0.01</v>
      </c>
      <c r="AW87" s="63">
        <v>0.01</v>
      </c>
      <c r="AX87" s="63">
        <v>0.01</v>
      </c>
    </row>
    <row r="88" spans="1:50" ht="30">
      <c r="A88" s="52" t="s">
        <v>174</v>
      </c>
      <c r="B88">
        <v>4489</v>
      </c>
      <c r="C88">
        <v>4485</v>
      </c>
      <c r="D88">
        <v>4578</v>
      </c>
      <c r="E88">
        <v>4660</v>
      </c>
      <c r="F88">
        <v>4764</v>
      </c>
      <c r="G88">
        <v>4856</v>
      </c>
      <c r="H88">
        <v>4825</v>
      </c>
      <c r="I88">
        <v>4641</v>
      </c>
      <c r="J88">
        <v>4663</v>
      </c>
      <c r="K88">
        <v>4679</v>
      </c>
      <c r="L88">
        <v>4665</v>
      </c>
      <c r="M88">
        <v>4600</v>
      </c>
      <c r="N88">
        <v>4586</v>
      </c>
      <c r="O88">
        <v>4524</v>
      </c>
      <c r="P88">
        <v>4665</v>
      </c>
      <c r="Q88">
        <v>4709</v>
      </c>
      <c r="R88">
        <v>4801.6202574873405</v>
      </c>
      <c r="S88">
        <v>4960.4456777650503</v>
      </c>
      <c r="T88">
        <v>4991.303713891346</v>
      </c>
      <c r="U88">
        <v>5022.5826842022798</v>
      </c>
      <c r="V88">
        <v>5050.5459323605137</v>
      </c>
      <c r="W88">
        <v>5075.756595119683</v>
      </c>
      <c r="X88">
        <v>5100.4229856303937</v>
      </c>
      <c r="Y88">
        <v>5124.5625366013946</v>
      </c>
      <c r="Z88">
        <v>5148.8297220568393</v>
      </c>
      <c r="AA88">
        <v>5168.4284360507963</v>
      </c>
      <c r="AB88">
        <v>5188.3424438268112</v>
      </c>
      <c r="AC88">
        <v>5207.9435168705559</v>
      </c>
      <c r="AD88">
        <v>5227.2407474381171</v>
      </c>
      <c r="AE88">
        <v>5246.3856461800724</v>
      </c>
      <c r="AF88">
        <v>5264.9590195411765</v>
      </c>
      <c r="AG88">
        <v>5283.3972304320014</v>
      </c>
      <c r="AH88">
        <v>5301.5659475819157</v>
      </c>
      <c r="AI88">
        <v>5319.4732781700823</v>
      </c>
      <c r="AJ88">
        <v>5336.9011099454247</v>
      </c>
      <c r="AK88">
        <v>5354.5353010075623</v>
      </c>
      <c r="AL88">
        <v>5371.7053139404097</v>
      </c>
      <c r="AM88">
        <v>5388.644590553281</v>
      </c>
      <c r="AN88">
        <v>5404.9324455641654</v>
      </c>
      <c r="AO88">
        <v>5421.8597348900503</v>
      </c>
      <c r="AP88">
        <v>5438.1496055633252</v>
      </c>
      <c r="AQ88">
        <v>5454.236753867619</v>
      </c>
      <c r="AR88">
        <v>5470.1278021403486</v>
      </c>
      <c r="AS88">
        <v>5485.8292279774032</v>
      </c>
      <c r="AT88">
        <v>5501.3473679312065</v>
      </c>
      <c r="AU88">
        <v>5516.6884211202769</v>
      </c>
      <c r="AV88">
        <v>5531.858452752429</v>
      </c>
      <c r="AW88">
        <v>5546.8633975637649</v>
      </c>
      <c r="AX88">
        <v>5561.7090631755118</v>
      </c>
    </row>
    <row r="89" spans="1:50" ht="30">
      <c r="A89" s="52" t="s">
        <v>175</v>
      </c>
      <c r="B89" s="55">
        <v>1173785</v>
      </c>
      <c r="C89" s="55">
        <v>1209968</v>
      </c>
      <c r="D89" s="55">
        <v>1313876</v>
      </c>
      <c r="E89" s="55">
        <v>1412125</v>
      </c>
      <c r="F89" s="55">
        <v>1510417</v>
      </c>
      <c r="G89" s="55">
        <v>1609346</v>
      </c>
      <c r="H89" s="55">
        <v>1642184</v>
      </c>
      <c r="I89" s="55">
        <v>1602999</v>
      </c>
      <c r="J89" s="55">
        <v>1710320</v>
      </c>
      <c r="K89" s="55">
        <v>1793859</v>
      </c>
      <c r="L89" s="55">
        <v>1823754</v>
      </c>
      <c r="M89" s="55">
        <v>1880916</v>
      </c>
      <c r="N89" s="55">
        <v>1932304</v>
      </c>
      <c r="O89" s="55">
        <v>1977472</v>
      </c>
      <c r="P89" s="55">
        <v>2024534</v>
      </c>
      <c r="Q89" s="55">
        <v>2101935</v>
      </c>
      <c r="R89" s="55">
        <v>2668011.1958249994</v>
      </c>
      <c r="S89" s="55">
        <v>2761391.5876788739</v>
      </c>
      <c r="T89" s="55">
        <v>2858040.2932476341</v>
      </c>
      <c r="U89" s="55">
        <v>2958071.703511301</v>
      </c>
      <c r="V89" s="55">
        <v>3061604.2131341961</v>
      </c>
      <c r="W89" s="55">
        <v>3153452.3395282221</v>
      </c>
      <c r="X89" s="55">
        <v>3248055.9097140688</v>
      </c>
      <c r="Y89" s="55">
        <v>3345497.5870054909</v>
      </c>
      <c r="Z89" s="55">
        <v>3445862.5146156559</v>
      </c>
      <c r="AA89" s="55">
        <v>3532009.0774810468</v>
      </c>
      <c r="AB89" s="55">
        <v>3620309.3044180726</v>
      </c>
      <c r="AC89" s="55">
        <v>3710817.0370285241</v>
      </c>
      <c r="AD89" s="55">
        <v>3803587.4629542367</v>
      </c>
      <c r="AE89" s="55">
        <v>3898677.1495280922</v>
      </c>
      <c r="AF89" s="55">
        <v>3996144.0782662942</v>
      </c>
      <c r="AG89" s="55">
        <v>4096047.6802229513</v>
      </c>
      <c r="AH89" s="55">
        <v>4198448.8722285246</v>
      </c>
      <c r="AI89" s="55">
        <v>4303410.0940342378</v>
      </c>
      <c r="AJ89" s="55">
        <v>4410995.3463850934</v>
      </c>
      <c r="AK89" s="55">
        <v>4521270.2300447207</v>
      </c>
      <c r="AL89" s="55">
        <v>4634301.9857958388</v>
      </c>
      <c r="AM89" s="55">
        <v>4750159.5354407346</v>
      </c>
      <c r="AN89" s="55">
        <v>4868913.5238267528</v>
      </c>
      <c r="AO89" s="55">
        <v>4990636.3619224215</v>
      </c>
      <c r="AP89" s="55">
        <v>5115402.2709704814</v>
      </c>
      <c r="AQ89" s="55">
        <v>5243287.3277447429</v>
      </c>
      <c r="AR89" s="55">
        <v>5374369.5109383613</v>
      </c>
      <c r="AS89" s="55">
        <v>5508728.7487118198</v>
      </c>
      <c r="AT89" s="55">
        <v>5646446.9674296146</v>
      </c>
      <c r="AU89" s="55">
        <v>5787608.1416153545</v>
      </c>
      <c r="AV89" s="55">
        <v>5932298.3451557374</v>
      </c>
      <c r="AW89" s="55">
        <v>6080605.8037846303</v>
      </c>
      <c r="AX89" s="55">
        <v>6232620.9488792457</v>
      </c>
    </row>
    <row r="90" spans="1:50">
      <c r="A90" s="52" t="s">
        <v>158</v>
      </c>
      <c r="B90">
        <v>39043.949449001069</v>
      </c>
      <c r="C90">
        <v>39490.367344063678</v>
      </c>
      <c r="D90">
        <v>40098.099325567135</v>
      </c>
      <c r="E90">
        <v>40650.761111353429</v>
      </c>
      <c r="F90">
        <v>41322.242364839665</v>
      </c>
      <c r="G90">
        <v>42501.794247903796</v>
      </c>
      <c r="H90">
        <v>42700.626570852066</v>
      </c>
      <c r="I90">
        <v>41844.738977549365</v>
      </c>
      <c r="J90">
        <v>41311.55093289863</v>
      </c>
      <c r="K90">
        <v>40933.268012737513</v>
      </c>
      <c r="L90">
        <v>39828.562159023968</v>
      </c>
      <c r="M90">
        <v>38245.051007258247</v>
      </c>
      <c r="N90">
        <v>39344.206038040167</v>
      </c>
      <c r="O90">
        <v>39174.936353717465</v>
      </c>
      <c r="P90">
        <v>41521.290230703504</v>
      </c>
      <c r="Q90">
        <v>41598.939929328619</v>
      </c>
      <c r="R90">
        <v>42164.693921492209</v>
      </c>
      <c r="S90">
        <v>42088.591309564727</v>
      </c>
      <c r="T90">
        <v>42008.892207517238</v>
      </c>
      <c r="U90">
        <v>41612.287374101747</v>
      </c>
      <c r="V90">
        <v>41839.638155660628</v>
      </c>
      <c r="W90">
        <v>41732.874379826317</v>
      </c>
      <c r="X90">
        <v>41624.698052926484</v>
      </c>
      <c r="Y90">
        <v>41515.230399335342</v>
      </c>
      <c r="Z90">
        <v>41250.975170095036</v>
      </c>
      <c r="AA90">
        <v>41277.396833786908</v>
      </c>
      <c r="AB90">
        <v>41150.242268107737</v>
      </c>
      <c r="AC90">
        <v>41023.175624015093</v>
      </c>
      <c r="AD90">
        <v>40896.246672249312</v>
      </c>
      <c r="AE90">
        <v>40736.430363535452</v>
      </c>
      <c r="AF90">
        <v>40642.99038237823</v>
      </c>
      <c r="AG90">
        <v>40516.752289998141</v>
      </c>
      <c r="AH90">
        <v>40390.830540701187</v>
      </c>
      <c r="AI90">
        <v>40265.265087666041</v>
      </c>
      <c r="AJ90">
        <v>40190.534171332569</v>
      </c>
      <c r="AK90">
        <v>40015.354275735495</v>
      </c>
      <c r="AL90">
        <v>39891.080420581216</v>
      </c>
      <c r="AM90">
        <v>39767.305999434422</v>
      </c>
      <c r="AN90">
        <v>39736.668294802723</v>
      </c>
      <c r="AO90">
        <v>39521.381809830731</v>
      </c>
      <c r="AP90">
        <v>39399.291734282182</v>
      </c>
      <c r="AQ90">
        <v>39277.82058962134</v>
      </c>
      <c r="AR90">
        <v>39156.994986002101</v>
      </c>
      <c r="AS90">
        <v>39036.840331619365</v>
      </c>
      <c r="AT90">
        <v>38917.380881049125</v>
      </c>
      <c r="AU90">
        <v>38798.639781720442</v>
      </c>
      <c r="AV90">
        <v>38680.639118595398</v>
      </c>
      <c r="AW90">
        <v>38563.39995712824</v>
      </c>
      <c r="AX90">
        <v>38446.942384573536</v>
      </c>
    </row>
    <row r="91" spans="1:50">
      <c r="A91" s="52" t="s">
        <v>176</v>
      </c>
      <c r="B91">
        <v>24260.777913075199</v>
      </c>
      <c r="C91">
        <v>24538.169046948191</v>
      </c>
      <c r="D91">
        <v>24915.796076026978</v>
      </c>
      <c r="E91">
        <v>25259.204082522792</v>
      </c>
      <c r="F91">
        <v>25676.443060482787</v>
      </c>
      <c r="G91">
        <v>26409.382393614229</v>
      </c>
      <c r="H91">
        <v>26532.93103295692</v>
      </c>
      <c r="I91">
        <v>26001.107303218825</v>
      </c>
      <c r="J91">
        <v>25669.799714726156</v>
      </c>
      <c r="K91">
        <v>25434.745678342722</v>
      </c>
      <c r="L91">
        <v>24748.313497314881</v>
      </c>
      <c r="M91">
        <v>23764.365589431065</v>
      </c>
      <c r="N91">
        <v>24447.348650063057</v>
      </c>
      <c r="O91">
        <v>24342.169377045775</v>
      </c>
      <c r="P91">
        <v>25800.125631942468</v>
      </c>
      <c r="Q91">
        <v>25848.374902826854</v>
      </c>
      <c r="R91">
        <v>26199.918026691535</v>
      </c>
      <c r="S91">
        <v>26152.630070615545</v>
      </c>
      <c r="T91">
        <v>26103.107359877195</v>
      </c>
      <c r="U91">
        <v>25856.668617932977</v>
      </c>
      <c r="V91">
        <v>25997.937800421001</v>
      </c>
      <c r="W91">
        <v>25931.59788626706</v>
      </c>
      <c r="X91">
        <v>25864.380253844982</v>
      </c>
      <c r="Y91">
        <v>25796.360228465401</v>
      </c>
      <c r="Z91">
        <v>25632.159692417124</v>
      </c>
      <c r="AA91">
        <v>25648.577348007006</v>
      </c>
      <c r="AB91">
        <v>25569.567188376372</v>
      </c>
      <c r="AC91">
        <v>25490.611660669882</v>
      </c>
      <c r="AD91">
        <v>25411.741690982228</v>
      </c>
      <c r="AE91">
        <v>25312.436471420388</v>
      </c>
      <c r="AF91">
        <v>25254.375576888742</v>
      </c>
      <c r="AG91">
        <v>25175.934887188436</v>
      </c>
      <c r="AH91">
        <v>25097.690763906037</v>
      </c>
      <c r="AI91">
        <v>25019.668032788137</v>
      </c>
      <c r="AJ91">
        <v>24973.232408575092</v>
      </c>
      <c r="AK91">
        <v>24864.38070166804</v>
      </c>
      <c r="AL91">
        <v>24787.160532016973</v>
      </c>
      <c r="AM91">
        <v>24710.250696174568</v>
      </c>
      <c r="AN91">
        <v>24691.213315009863</v>
      </c>
      <c r="AO91">
        <v>24557.440536556333</v>
      </c>
      <c r="AP91">
        <v>24481.577304222654</v>
      </c>
      <c r="AQ91">
        <v>24406.0986575936</v>
      </c>
      <c r="AR91">
        <v>24331.021131447113</v>
      </c>
      <c r="AS91">
        <v>24256.360513698655</v>
      </c>
      <c r="AT91">
        <v>24182.131875438376</v>
      </c>
      <c r="AU91">
        <v>24108.349599807414</v>
      </c>
      <c r="AV91">
        <v>24035.02740976074</v>
      </c>
      <c r="AW91">
        <v>23962.178394760733</v>
      </c>
      <c r="AX91">
        <v>23889.815036444845</v>
      </c>
    </row>
  </sheetData>
  <hyperlinks>
    <hyperlink ref="C66" r:id="rId1" xr:uid="{6D804AEA-E1CB-41CD-93CD-F741D2874A19}"/>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7148A-6D9B-4FF2-AC74-F3D1AD1CCBE7}">
  <sheetPr>
    <tabColor theme="0"/>
  </sheetPr>
  <dimension ref="A1:BH92"/>
  <sheetViews>
    <sheetView showGridLines="0" topLeftCell="A13" zoomScaleNormal="100" workbookViewId="0">
      <selection activeCell="C37" sqref="C37"/>
    </sheetView>
  </sheetViews>
  <sheetFormatPr defaultRowHeight="15" outlineLevelRow="1"/>
  <cols>
    <col min="1" max="1" width="25.7109375" customWidth="1"/>
    <col min="2" max="3" width="11" style="52" customWidth="1"/>
    <col min="4" max="4" width="11.7109375" style="52" customWidth="1"/>
    <col min="5" max="5" width="8" style="52" customWidth="1"/>
    <col min="6" max="8" width="11" style="52" customWidth="1"/>
    <col min="9" max="9" width="11" customWidth="1"/>
    <col min="10" max="10" width="13" bestFit="1" customWidth="1"/>
    <col min="11" max="11" width="11" customWidth="1"/>
    <col min="12" max="12" width="12" customWidth="1"/>
    <col min="13" max="15" width="11" customWidth="1"/>
    <col min="16" max="16" width="12.42578125" customWidth="1"/>
    <col min="17" max="17" width="12.7109375" customWidth="1"/>
    <col min="18" max="19" width="11" customWidth="1"/>
    <col min="20" max="20" width="17.28515625" customWidth="1"/>
    <col min="21" max="21" width="17.42578125" customWidth="1"/>
    <col min="22" max="22" width="25.28515625" customWidth="1"/>
    <col min="23" max="25" width="11" customWidth="1"/>
    <col min="26" max="26" width="26.140625" customWidth="1"/>
    <col min="27" max="27" width="17.28515625" customWidth="1"/>
    <col min="28" max="30" width="11" customWidth="1"/>
    <col min="31" max="31" width="11.7109375" customWidth="1"/>
    <col min="32" max="40" width="11" customWidth="1"/>
    <col min="41" max="41" width="15.28515625" customWidth="1"/>
    <col min="42" max="42" width="13.7109375" customWidth="1"/>
    <col min="43" max="43" width="17.28515625" customWidth="1"/>
    <col min="44" max="44" width="11.28515625" customWidth="1"/>
    <col min="45" max="45" width="9.42578125" customWidth="1"/>
    <col min="48" max="48" width="11.28515625" customWidth="1"/>
    <col min="49" max="49" width="15" customWidth="1"/>
    <col min="50" max="50" width="13.140625" bestFit="1" customWidth="1"/>
    <col min="51" max="51" width="18.28515625" bestFit="1" customWidth="1"/>
    <col min="52" max="52" width="17.28515625" customWidth="1"/>
  </cols>
  <sheetData>
    <row r="1" spans="1:48" ht="32.1" customHeight="1">
      <c r="A1" s="78" t="s">
        <v>217</v>
      </c>
      <c r="B1" s="78"/>
      <c r="C1" s="79" t="s">
        <v>218</v>
      </c>
      <c r="D1" s="80">
        <f>+[3]FRAMEWORK!B2</f>
        <v>43599</v>
      </c>
      <c r="E1" s="79" t="s">
        <v>219</v>
      </c>
      <c r="F1" s="81" t="str">
        <f>+[3]FRAMEWORK!D2</f>
        <v>Core higher population</v>
      </c>
      <c r="G1" s="82"/>
      <c r="H1" s="83" t="s">
        <v>220</v>
      </c>
      <c r="I1" s="84" t="s">
        <v>221</v>
      </c>
      <c r="J1" s="85" t="s">
        <v>222</v>
      </c>
      <c r="K1" s="86" t="s">
        <v>223</v>
      </c>
      <c r="L1" s="87" t="s">
        <v>224</v>
      </c>
      <c r="M1" s="78"/>
      <c r="N1" s="78"/>
      <c r="O1" s="78"/>
      <c r="P1" s="78"/>
      <c r="Q1" s="78"/>
      <c r="R1" s="78"/>
      <c r="S1" s="78"/>
      <c r="T1" s="78"/>
      <c r="U1" s="88" t="s">
        <v>225</v>
      </c>
      <c r="V1" s="78" t="str">
        <f>+A1</f>
        <v>Transportation</v>
      </c>
      <c r="W1" s="78"/>
      <c r="X1" s="79" t="str">
        <f>+C1</f>
        <v>Updated:</v>
      </c>
      <c r="Y1" s="80">
        <f>+$D$1</f>
        <v>43599</v>
      </c>
      <c r="Z1" s="79" t="s">
        <v>219</v>
      </c>
      <c r="AA1" s="81" t="str">
        <f>+$F$1</f>
        <v>Core higher population</v>
      </c>
      <c r="AC1" s="83" t="s">
        <v>220</v>
      </c>
      <c r="AD1" s="84" t="s">
        <v>221</v>
      </c>
      <c r="AE1" s="85" t="s">
        <v>222</v>
      </c>
      <c r="AF1" s="86" t="s">
        <v>223</v>
      </c>
      <c r="AG1" s="87" t="s">
        <v>224</v>
      </c>
      <c r="AH1" s="78"/>
      <c r="AI1" s="78"/>
      <c r="AJ1" s="78"/>
      <c r="AK1" s="78"/>
      <c r="AL1" s="78"/>
      <c r="AM1" s="78"/>
      <c r="AV1" s="89" t="s">
        <v>226</v>
      </c>
    </row>
    <row r="2" spans="1:48" outlineLevel="1">
      <c r="A2" s="90"/>
      <c r="B2" s="90"/>
      <c r="C2" s="91"/>
      <c r="D2" s="91"/>
      <c r="E2" s="91"/>
      <c r="F2" s="91"/>
      <c r="G2" s="91"/>
      <c r="H2" s="91"/>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2"/>
      <c r="AK2" s="92"/>
      <c r="AL2" s="92"/>
      <c r="AM2" s="92"/>
    </row>
    <row r="3" spans="1:48" ht="18.75" outlineLevel="1">
      <c r="A3" s="93" t="s">
        <v>227</v>
      </c>
      <c r="B3" s="94"/>
      <c r="C3" s="94"/>
      <c r="D3" s="94"/>
      <c r="E3" s="95"/>
      <c r="F3" s="96"/>
      <c r="G3" s="95"/>
      <c r="H3" s="95"/>
      <c r="I3" s="97"/>
      <c r="J3" s="97"/>
      <c r="K3" s="97"/>
      <c r="L3" s="97"/>
      <c r="M3" s="97"/>
      <c r="N3" s="97"/>
      <c r="O3" s="97"/>
      <c r="P3" s="98"/>
      <c r="Q3" s="90"/>
      <c r="R3" s="90"/>
      <c r="S3" s="90"/>
      <c r="T3" s="90"/>
      <c r="U3" s="90"/>
      <c r="V3" s="90"/>
      <c r="W3" s="90"/>
      <c r="X3" s="94"/>
      <c r="Y3" s="94"/>
      <c r="Z3" s="94"/>
      <c r="AA3" s="95"/>
      <c r="AB3" s="96"/>
      <c r="AC3" s="95"/>
      <c r="AD3" s="95"/>
      <c r="AE3" s="97"/>
      <c r="AF3" s="97"/>
      <c r="AG3" s="97"/>
      <c r="AH3" s="97"/>
      <c r="AI3" s="97"/>
      <c r="AJ3" s="97"/>
      <c r="AK3" s="97"/>
      <c r="AL3" s="98"/>
      <c r="AM3" s="92"/>
    </row>
    <row r="4" spans="1:48" ht="15.75" outlineLevel="1" thickBot="1">
      <c r="A4" s="92"/>
      <c r="B4" s="92"/>
      <c r="C4" s="99"/>
      <c r="D4" s="99"/>
      <c r="E4" s="99"/>
      <c r="F4" s="99"/>
      <c r="G4" s="99"/>
      <c r="H4" s="92"/>
      <c r="I4" s="92"/>
      <c r="J4" s="92"/>
      <c r="K4" s="92"/>
      <c r="L4" s="92"/>
      <c r="M4" s="92"/>
      <c r="N4" s="92"/>
      <c r="O4" s="92"/>
      <c r="P4" s="92"/>
      <c r="Q4" s="92"/>
      <c r="R4" s="92"/>
      <c r="S4" s="92"/>
      <c r="T4" s="92"/>
      <c r="U4" s="90"/>
      <c r="V4" s="90"/>
      <c r="W4" s="90"/>
      <c r="X4" s="92"/>
      <c r="Y4" s="92"/>
      <c r="Z4" s="92"/>
      <c r="AA4" s="92"/>
      <c r="AB4" s="92"/>
      <c r="AC4" s="92"/>
      <c r="AD4" s="92"/>
      <c r="AE4" s="92"/>
      <c r="AF4" s="92"/>
      <c r="AG4" s="92"/>
      <c r="AH4" s="92"/>
      <c r="AI4" s="92"/>
      <c r="AJ4" s="92"/>
      <c r="AK4" s="92"/>
      <c r="AL4" s="92"/>
    </row>
    <row r="5" spans="1:48" s="49" customFormat="1" ht="33.6" customHeight="1" outlineLevel="1">
      <c r="A5" s="489" t="s">
        <v>228</v>
      </c>
      <c r="B5" s="490"/>
      <c r="C5" s="100"/>
      <c r="D5" s="497" t="s">
        <v>229</v>
      </c>
      <c r="E5" s="498"/>
      <c r="F5" s="101"/>
      <c r="G5" s="493" t="s">
        <v>230</v>
      </c>
      <c r="H5" s="494"/>
      <c r="I5" s="101"/>
      <c r="J5" s="101"/>
      <c r="K5" s="489" t="s">
        <v>231</v>
      </c>
      <c r="L5" s="490"/>
      <c r="M5" s="101"/>
      <c r="N5" s="101"/>
      <c r="O5" s="493" t="s">
        <v>232</v>
      </c>
      <c r="P5" s="494"/>
      <c r="Q5" s="101"/>
      <c r="R5" s="101"/>
      <c r="S5" s="101"/>
      <c r="T5" s="101"/>
      <c r="U5" s="90"/>
      <c r="V5" s="90"/>
      <c r="W5" s="90"/>
      <c r="X5" s="101"/>
      <c r="Y5" s="101"/>
      <c r="Z5" s="101"/>
      <c r="AA5" s="101"/>
      <c r="AB5" s="101"/>
      <c r="AC5" s="101"/>
      <c r="AD5" s="101"/>
      <c r="AE5" s="101"/>
      <c r="AF5" s="101"/>
      <c r="AG5" s="101"/>
      <c r="AH5" s="101"/>
      <c r="AI5" s="101"/>
      <c r="AJ5" s="101"/>
    </row>
    <row r="6" spans="1:48" s="49" customFormat="1" ht="33.6" customHeight="1" outlineLevel="1" thickBot="1">
      <c r="A6" s="491"/>
      <c r="B6" s="492"/>
      <c r="C6" s="102" t="s">
        <v>233</v>
      </c>
      <c r="D6" s="499"/>
      <c r="E6" s="500"/>
      <c r="F6" s="102" t="s">
        <v>234</v>
      </c>
      <c r="G6" s="495"/>
      <c r="H6" s="496"/>
      <c r="I6" s="501" t="s">
        <v>235</v>
      </c>
      <c r="J6" s="501"/>
      <c r="K6" s="491"/>
      <c r="L6" s="492"/>
      <c r="M6" s="501" t="s">
        <v>236</v>
      </c>
      <c r="N6" s="501"/>
      <c r="O6" s="495"/>
      <c r="P6" s="496"/>
      <c r="Q6" s="486"/>
      <c r="R6" s="486"/>
      <c r="S6" s="103"/>
      <c r="T6" s="103"/>
      <c r="U6" s="90"/>
      <c r="V6" s="90"/>
      <c r="W6" s="90"/>
      <c r="X6" s="101"/>
      <c r="Y6" s="101"/>
      <c r="Z6" s="101"/>
      <c r="AA6" s="101"/>
      <c r="AB6" s="101"/>
      <c r="AC6" s="101"/>
      <c r="AD6" s="101"/>
      <c r="AE6" s="101"/>
      <c r="AF6" s="101"/>
      <c r="AG6" s="101"/>
    </row>
    <row r="7" spans="1:48" s="49" customFormat="1" ht="33.6" customHeight="1" outlineLevel="1">
      <c r="A7" s="487" t="s">
        <v>237</v>
      </c>
      <c r="B7" s="104"/>
      <c r="C7" s="105"/>
      <c r="D7" s="101"/>
      <c r="E7" s="101"/>
      <c r="F7" s="105"/>
      <c r="G7" s="101"/>
      <c r="H7" s="101"/>
      <c r="I7" s="501"/>
      <c r="J7" s="501"/>
      <c r="K7" s="101"/>
      <c r="L7" s="101"/>
      <c r="M7" s="501"/>
      <c r="N7" s="501"/>
      <c r="O7" s="101"/>
      <c r="P7" s="101"/>
      <c r="Q7" s="486"/>
      <c r="R7" s="486"/>
      <c r="S7" s="103"/>
      <c r="T7" s="103"/>
      <c r="U7" s="90"/>
      <c r="V7" s="90"/>
      <c r="W7" s="90"/>
      <c r="X7" s="101"/>
      <c r="Y7" s="101"/>
      <c r="Z7" s="101"/>
      <c r="AA7" s="101"/>
      <c r="AB7" s="101"/>
      <c r="AC7" s="101"/>
      <c r="AD7" s="101"/>
      <c r="AE7" s="101"/>
      <c r="AF7" s="101"/>
      <c r="AG7" s="101"/>
    </row>
    <row r="8" spans="1:48" s="49" customFormat="1" ht="43.5" customHeight="1" outlineLevel="1" thickBot="1">
      <c r="A8" s="487"/>
      <c r="B8" s="104"/>
      <c r="C8" s="100"/>
      <c r="D8" s="101"/>
      <c r="E8" s="101"/>
      <c r="F8" s="101"/>
      <c r="G8" s="101"/>
      <c r="H8" s="488" t="s">
        <v>238</v>
      </c>
      <c r="I8" s="488"/>
      <c r="J8" s="101"/>
      <c r="K8" s="101"/>
      <c r="L8" s="101"/>
      <c r="M8" s="501"/>
      <c r="N8" s="501"/>
      <c r="O8" s="101"/>
      <c r="P8" s="101"/>
      <c r="Q8" s="101"/>
      <c r="R8" s="101"/>
      <c r="S8" s="101"/>
      <c r="T8" s="101"/>
      <c r="U8" s="101"/>
      <c r="V8" s="101"/>
      <c r="W8" s="101"/>
      <c r="X8" s="101"/>
      <c r="Y8" s="101"/>
      <c r="Z8" s="101"/>
      <c r="AA8" s="101"/>
      <c r="AB8" s="101"/>
      <c r="AC8" s="101"/>
      <c r="AD8" s="101"/>
      <c r="AE8" s="101"/>
      <c r="AF8" s="101"/>
      <c r="AG8" s="101"/>
    </row>
    <row r="9" spans="1:48" s="49" customFormat="1" ht="33.6" customHeight="1" outlineLevel="1">
      <c r="A9" s="489" t="s">
        <v>239</v>
      </c>
      <c r="B9" s="490"/>
      <c r="C9" s="101"/>
      <c r="D9" s="489" t="s">
        <v>240</v>
      </c>
      <c r="E9" s="490"/>
      <c r="F9" s="101"/>
      <c r="G9" s="101"/>
      <c r="H9" s="488"/>
      <c r="I9" s="488"/>
      <c r="J9" s="101"/>
      <c r="K9" s="101"/>
      <c r="M9" s="101"/>
      <c r="N9" s="101"/>
      <c r="O9" s="493" t="s">
        <v>241</v>
      </c>
      <c r="P9" s="494"/>
      <c r="Q9" s="101"/>
      <c r="R9" s="101"/>
      <c r="S9" s="101"/>
      <c r="T9" s="101"/>
      <c r="U9" s="101"/>
      <c r="V9" s="101"/>
      <c r="W9" s="101"/>
      <c r="X9" s="101"/>
      <c r="Y9" s="101"/>
      <c r="Z9" s="101"/>
      <c r="AA9" s="101"/>
      <c r="AB9" s="101"/>
      <c r="AC9" s="101"/>
      <c r="AD9" s="101"/>
      <c r="AE9" s="101"/>
      <c r="AF9" s="101"/>
      <c r="AG9" s="101"/>
    </row>
    <row r="10" spans="1:48" s="49" customFormat="1" ht="33.6" customHeight="1" outlineLevel="1" thickBot="1">
      <c r="A10" s="491"/>
      <c r="B10" s="492"/>
      <c r="C10" s="101"/>
      <c r="D10" s="491"/>
      <c r="E10" s="492"/>
      <c r="F10" s="101"/>
      <c r="G10" s="101"/>
      <c r="H10" s="101"/>
      <c r="I10" s="101"/>
      <c r="J10" s="101"/>
      <c r="K10" s="101"/>
      <c r="L10" s="101"/>
      <c r="M10" s="101"/>
      <c r="N10" s="101"/>
      <c r="O10" s="495"/>
      <c r="P10" s="496"/>
      <c r="Q10" s="101"/>
      <c r="R10" s="101"/>
      <c r="S10" s="101"/>
      <c r="T10" s="101"/>
      <c r="U10" s="101"/>
      <c r="V10" s="101"/>
      <c r="W10" s="101"/>
      <c r="X10" s="101"/>
      <c r="Y10" s="101"/>
      <c r="Z10" s="101"/>
      <c r="AA10" s="101"/>
      <c r="AB10" s="101"/>
      <c r="AC10" s="101"/>
      <c r="AD10" s="101"/>
      <c r="AE10" s="101"/>
      <c r="AF10" s="101"/>
      <c r="AG10" s="101"/>
    </row>
    <row r="11" spans="1:48" outlineLevel="1">
      <c r="A11" s="99"/>
      <c r="B11" s="99"/>
      <c r="C11" s="99"/>
      <c r="D11" s="92"/>
      <c r="E11" s="92"/>
      <c r="F11" s="92"/>
      <c r="G11" s="92"/>
      <c r="H11" s="92"/>
      <c r="I11" s="92"/>
      <c r="J11" s="92"/>
      <c r="K11" s="92"/>
      <c r="L11" s="92" t="s">
        <v>242</v>
      </c>
      <c r="M11" s="92"/>
      <c r="N11" s="92"/>
      <c r="O11" s="92"/>
      <c r="P11" s="92"/>
      <c r="Q11" s="92"/>
      <c r="R11" s="92"/>
      <c r="S11" s="92"/>
      <c r="T11" s="92"/>
      <c r="U11" s="92"/>
      <c r="V11" s="92"/>
      <c r="W11" s="92"/>
      <c r="X11" s="101"/>
      <c r="Y11" s="101"/>
      <c r="Z11" s="101"/>
      <c r="AA11" s="101"/>
      <c r="AB11" s="101"/>
      <c r="AC11" s="101"/>
      <c r="AD11" s="101"/>
      <c r="AE11" s="92"/>
      <c r="AF11" s="92"/>
      <c r="AG11" s="92"/>
    </row>
    <row r="12" spans="1:48" outlineLevel="1">
      <c r="A12" s="99"/>
      <c r="B12" s="99"/>
      <c r="C12" s="99"/>
      <c r="D12" s="92"/>
      <c r="E12" s="92"/>
      <c r="F12" s="92"/>
      <c r="G12" s="92"/>
      <c r="H12" s="92"/>
      <c r="I12" s="92"/>
      <c r="J12" s="92"/>
      <c r="K12" s="92"/>
      <c r="L12" s="92" t="s">
        <v>243</v>
      </c>
      <c r="M12" s="92"/>
      <c r="N12" s="92"/>
      <c r="O12" s="92"/>
      <c r="P12" s="92"/>
      <c r="Q12" s="92"/>
      <c r="R12" s="92"/>
      <c r="S12" s="92"/>
      <c r="T12" s="92"/>
      <c r="U12" s="92"/>
      <c r="V12" s="92"/>
      <c r="W12" s="92"/>
      <c r="X12" s="101"/>
      <c r="Y12" s="101"/>
      <c r="Z12" s="101"/>
      <c r="AA12" s="101"/>
      <c r="AB12" s="101"/>
      <c r="AC12" s="101"/>
      <c r="AD12" s="101"/>
      <c r="AE12" s="92"/>
      <c r="AF12" s="92"/>
      <c r="AG12" s="92"/>
    </row>
    <row r="13" spans="1:48" ht="18.75" outlineLevel="1">
      <c r="A13" s="99"/>
      <c r="B13" s="99"/>
      <c r="C13" s="99"/>
      <c r="D13" s="92"/>
      <c r="E13" s="92"/>
      <c r="F13" s="92"/>
      <c r="G13" s="92"/>
      <c r="H13" s="92"/>
      <c r="I13" s="92"/>
      <c r="J13" s="92"/>
      <c r="K13" s="92"/>
      <c r="L13" s="92"/>
      <c r="M13" s="92"/>
      <c r="N13" s="92"/>
      <c r="O13" s="106"/>
      <c r="P13" s="106"/>
      <c r="Q13" s="92"/>
      <c r="R13" s="92"/>
      <c r="S13" s="92"/>
      <c r="T13" s="92"/>
      <c r="U13" s="92"/>
      <c r="V13" s="92"/>
      <c r="W13" s="92"/>
      <c r="X13" s="101"/>
      <c r="Y13" s="101"/>
      <c r="Z13" s="101"/>
      <c r="AA13" s="101"/>
      <c r="AB13" s="101"/>
      <c r="AC13" s="101"/>
      <c r="AD13" s="101"/>
      <c r="AE13" s="92"/>
      <c r="AF13" s="92"/>
      <c r="AG13" s="92"/>
    </row>
    <row r="14" spans="1:48" outlineLevel="1">
      <c r="A14" s="107" t="s">
        <v>244</v>
      </c>
      <c r="B14" s="108"/>
      <c r="C14" s="109"/>
      <c r="D14" s="109"/>
      <c r="E14" s="109"/>
      <c r="F14" s="110"/>
      <c r="G14" s="92"/>
      <c r="H14" s="111" t="s">
        <v>245</v>
      </c>
      <c r="I14" s="52"/>
      <c r="J14" s="92"/>
      <c r="K14" s="92"/>
      <c r="L14" s="92"/>
      <c r="M14" s="92"/>
      <c r="N14" s="92"/>
      <c r="Q14" s="92"/>
      <c r="R14" s="92"/>
      <c r="S14" s="92"/>
      <c r="T14" s="92"/>
      <c r="U14" s="92"/>
      <c r="V14" s="92"/>
      <c r="W14" s="92"/>
      <c r="X14" s="101"/>
      <c r="Y14" s="101"/>
      <c r="Z14" s="101"/>
      <c r="AA14" s="101"/>
      <c r="AB14" s="101"/>
      <c r="AC14" s="101"/>
      <c r="AD14" s="101"/>
      <c r="AE14" s="92"/>
      <c r="AF14" s="92"/>
      <c r="AG14" s="92"/>
    </row>
    <row r="15" spans="1:48" outlineLevel="1">
      <c r="A15" s="523" t="s">
        <v>246</v>
      </c>
      <c r="B15" s="524"/>
      <c r="C15" s="524"/>
      <c r="D15" s="524"/>
      <c r="E15" s="524"/>
      <c r="F15" s="525"/>
      <c r="G15" s="92"/>
      <c r="H15">
        <v>1</v>
      </c>
      <c r="I15" s="3" t="s">
        <v>12</v>
      </c>
      <c r="J15" s="92"/>
      <c r="Q15" s="92"/>
      <c r="R15" s="92"/>
      <c r="S15" s="92"/>
      <c r="T15" s="92"/>
      <c r="U15" s="92"/>
      <c r="V15" s="92"/>
      <c r="W15" s="92"/>
      <c r="X15" s="101"/>
      <c r="Y15" s="101"/>
      <c r="Z15" s="101"/>
      <c r="AA15" s="101"/>
      <c r="AB15" s="101"/>
      <c r="AC15" s="101"/>
      <c r="AD15" s="101"/>
      <c r="AE15" s="92"/>
      <c r="AF15" s="92"/>
      <c r="AG15" s="92"/>
    </row>
    <row r="16" spans="1:48" outlineLevel="1">
      <c r="A16" s="523"/>
      <c r="B16" s="524"/>
      <c r="C16" s="524"/>
      <c r="D16" s="524"/>
      <c r="E16" s="524"/>
      <c r="F16" s="525"/>
      <c r="G16" s="92"/>
      <c r="H16">
        <v>2</v>
      </c>
      <c r="I16" s="3" t="s">
        <v>247</v>
      </c>
      <c r="J16" s="92"/>
      <c r="Q16" s="92"/>
      <c r="R16" s="92"/>
      <c r="S16" s="92"/>
      <c r="T16" s="92"/>
      <c r="U16" s="92"/>
      <c r="V16" s="52"/>
      <c r="W16" s="52"/>
      <c r="X16" s="101"/>
      <c r="Y16" s="101"/>
      <c r="Z16" s="101"/>
      <c r="AA16" s="101"/>
      <c r="AB16" s="101"/>
      <c r="AC16" s="101"/>
      <c r="AD16" s="101"/>
      <c r="AE16" s="92"/>
      <c r="AF16" s="92"/>
      <c r="AG16" s="92"/>
    </row>
    <row r="17" spans="1:49" outlineLevel="1">
      <c r="A17" s="112" t="s">
        <v>248</v>
      </c>
      <c r="B17" s="113"/>
      <c r="C17"/>
      <c r="D17"/>
      <c r="E17"/>
      <c r="F17" s="114"/>
      <c r="G17" s="92"/>
      <c r="H17">
        <v>3</v>
      </c>
      <c r="I17" s="3" t="s">
        <v>249</v>
      </c>
      <c r="J17" s="92"/>
      <c r="Q17" s="92"/>
      <c r="R17" s="92"/>
      <c r="S17" s="92"/>
      <c r="T17" s="92"/>
      <c r="U17" s="92"/>
      <c r="V17" s="52"/>
      <c r="W17" s="52"/>
      <c r="X17" s="101"/>
      <c r="Y17" s="101"/>
      <c r="Z17" s="101"/>
      <c r="AA17" s="101"/>
      <c r="AB17" s="101"/>
      <c r="AC17" s="101"/>
      <c r="AD17" s="101"/>
      <c r="AE17" s="92"/>
      <c r="AF17" s="92"/>
      <c r="AG17" s="92"/>
    </row>
    <row r="18" spans="1:49" outlineLevel="1">
      <c r="A18" s="112" t="s">
        <v>250</v>
      </c>
      <c r="B18" s="113"/>
      <c r="C18"/>
      <c r="D18"/>
      <c r="E18"/>
      <c r="F18" s="114"/>
      <c r="G18" s="92"/>
      <c r="H18">
        <v>4</v>
      </c>
      <c r="I18" s="3" t="s">
        <v>251</v>
      </c>
      <c r="J18" s="92"/>
      <c r="Q18" s="92"/>
      <c r="R18" s="92"/>
      <c r="S18" s="92"/>
      <c r="T18" s="92"/>
      <c r="U18" s="92"/>
      <c r="V18" s="52"/>
      <c r="W18" s="52"/>
      <c r="X18" s="101"/>
      <c r="Y18" s="101"/>
      <c r="Z18" s="101"/>
      <c r="AA18" s="101"/>
      <c r="AB18" s="101"/>
      <c r="AC18" s="101"/>
      <c r="AD18" s="101"/>
      <c r="AE18" s="92"/>
      <c r="AF18" s="92"/>
      <c r="AG18" s="92"/>
    </row>
    <row r="19" spans="1:49" outlineLevel="1">
      <c r="A19" s="112" t="s">
        <v>252</v>
      </c>
      <c r="B19" s="113"/>
      <c r="C19"/>
      <c r="D19"/>
      <c r="E19"/>
      <c r="F19" s="114"/>
      <c r="G19" s="92"/>
      <c r="H19">
        <v>5</v>
      </c>
      <c r="I19" s="3" t="s">
        <v>253</v>
      </c>
      <c r="J19" s="92"/>
      <c r="O19" s="501"/>
      <c r="P19" s="501"/>
      <c r="Q19" s="92"/>
      <c r="R19" s="92"/>
      <c r="S19" s="92"/>
      <c r="T19" s="92"/>
      <c r="U19" s="92"/>
      <c r="V19" s="52"/>
      <c r="W19" s="52"/>
      <c r="X19" s="101"/>
      <c r="Y19" s="101"/>
      <c r="Z19" s="101"/>
      <c r="AA19" s="101"/>
      <c r="AB19" s="101"/>
      <c r="AC19" s="101"/>
      <c r="AD19" s="101"/>
      <c r="AE19" s="92"/>
      <c r="AF19" s="92"/>
      <c r="AG19" s="92"/>
    </row>
    <row r="20" spans="1:49" outlineLevel="1">
      <c r="A20" s="112" t="s">
        <v>254</v>
      </c>
      <c r="B20" s="113"/>
      <c r="C20"/>
      <c r="D20"/>
      <c r="E20"/>
      <c r="F20" s="114"/>
      <c r="G20" s="92"/>
      <c r="H20">
        <v>6</v>
      </c>
      <c r="I20" s="3" t="s">
        <v>255</v>
      </c>
      <c r="J20" s="92"/>
      <c r="O20" s="501"/>
      <c r="P20" s="501"/>
      <c r="Q20" s="92"/>
      <c r="R20" s="92"/>
      <c r="S20" s="92"/>
      <c r="T20" s="92"/>
      <c r="U20" s="92"/>
      <c r="V20" s="52"/>
      <c r="W20" s="52"/>
      <c r="X20" s="101"/>
      <c r="Y20" s="101"/>
      <c r="Z20" s="101"/>
      <c r="AA20" s="101"/>
      <c r="AB20" s="101"/>
      <c r="AC20" s="101"/>
      <c r="AD20" s="101"/>
      <c r="AE20" s="92"/>
      <c r="AF20" s="92"/>
      <c r="AG20" s="92"/>
    </row>
    <row r="21" spans="1:49" outlineLevel="1">
      <c r="A21" s="115"/>
      <c r="B21" s="2"/>
      <c r="C21"/>
      <c r="D21"/>
      <c r="E21"/>
      <c r="F21" s="114"/>
      <c r="G21" s="92"/>
      <c r="H21" s="92">
        <v>7</v>
      </c>
      <c r="I21" s="3" t="s">
        <v>256</v>
      </c>
      <c r="J21" s="92"/>
      <c r="O21" s="501"/>
      <c r="P21" s="501"/>
      <c r="Q21" s="92"/>
      <c r="R21" s="92"/>
      <c r="S21" s="92"/>
      <c r="T21" s="92"/>
      <c r="U21" s="92"/>
      <c r="V21" s="52"/>
      <c r="W21" s="52"/>
      <c r="X21" s="101"/>
      <c r="Y21" s="101"/>
      <c r="Z21" s="101"/>
      <c r="AA21" s="101"/>
      <c r="AB21" s="101"/>
      <c r="AC21" s="101"/>
      <c r="AD21" s="101"/>
      <c r="AE21" s="92"/>
      <c r="AF21" s="92"/>
      <c r="AG21" s="92"/>
    </row>
    <row r="22" spans="1:49" outlineLevel="1">
      <c r="A22" s="115" t="s">
        <v>257</v>
      </c>
      <c r="B22" s="2"/>
      <c r="C22"/>
      <c r="D22"/>
      <c r="E22"/>
      <c r="F22" s="114"/>
      <c r="G22" s="92"/>
      <c r="H22" s="92">
        <v>8</v>
      </c>
      <c r="I22" s="92" t="s">
        <v>258</v>
      </c>
      <c r="J22" s="92"/>
      <c r="Q22" s="92"/>
      <c r="R22" s="92"/>
      <c r="S22" s="92"/>
      <c r="T22" s="92"/>
      <c r="U22" s="92"/>
      <c r="V22" s="52"/>
      <c r="W22" s="52"/>
      <c r="X22" s="101"/>
      <c r="Y22" s="101"/>
      <c r="Z22" s="101"/>
      <c r="AA22" s="101"/>
      <c r="AB22" s="101"/>
      <c r="AC22" s="101"/>
      <c r="AD22" s="101"/>
      <c r="AE22" s="92"/>
      <c r="AF22" s="92"/>
      <c r="AG22" s="92"/>
    </row>
    <row r="23" spans="1:49" outlineLevel="1">
      <c r="A23" s="112" t="s">
        <v>259</v>
      </c>
      <c r="B23" s="113"/>
      <c r="C23" s="113"/>
      <c r="D23" s="113"/>
      <c r="E23" s="113"/>
      <c r="F23" s="116"/>
      <c r="G23" s="92"/>
      <c r="H23" s="92">
        <v>9</v>
      </c>
      <c r="I23" s="92" t="s">
        <v>260</v>
      </c>
      <c r="J23" s="117"/>
      <c r="O23" s="118"/>
      <c r="Q23" s="92"/>
      <c r="R23" s="92"/>
      <c r="S23" s="92"/>
      <c r="T23" s="92"/>
      <c r="U23" s="92"/>
      <c r="V23" s="92"/>
      <c r="W23" s="92"/>
      <c r="X23" s="101"/>
      <c r="Y23" s="101"/>
      <c r="Z23" s="101"/>
      <c r="AA23" s="101"/>
      <c r="AB23" s="101"/>
      <c r="AC23" s="101"/>
      <c r="AD23" s="101"/>
      <c r="AE23" s="92"/>
      <c r="AF23" s="92"/>
      <c r="AG23" s="92"/>
    </row>
    <row r="24" spans="1:49" outlineLevel="1">
      <c r="A24" s="502" t="s">
        <v>261</v>
      </c>
      <c r="B24" s="503"/>
      <c r="C24" s="503"/>
      <c r="D24" s="503"/>
      <c r="E24" s="503"/>
      <c r="F24" s="504"/>
      <c r="G24" s="92"/>
      <c r="H24" s="92">
        <v>10</v>
      </c>
      <c r="I24" s="92" t="s">
        <v>262</v>
      </c>
      <c r="J24" s="119"/>
      <c r="O24" s="120"/>
      <c r="Q24" s="92"/>
      <c r="R24" s="92"/>
      <c r="S24" s="92"/>
      <c r="T24" s="92"/>
      <c r="U24" s="92"/>
      <c r="V24" s="92"/>
      <c r="W24" s="92"/>
      <c r="X24" s="101"/>
      <c r="Y24" s="101"/>
      <c r="Z24" s="101"/>
      <c r="AA24" s="101"/>
      <c r="AB24" s="101"/>
      <c r="AC24" s="101"/>
      <c r="AD24" s="101"/>
      <c r="AE24" s="92"/>
      <c r="AF24" s="92"/>
      <c r="AG24" s="92"/>
    </row>
    <row r="25" spans="1:49" outlineLevel="1">
      <c r="A25" s="121" t="s">
        <v>263</v>
      </c>
      <c r="B25" s="122"/>
      <c r="C25" s="123"/>
      <c r="D25" s="123"/>
      <c r="E25" s="123"/>
      <c r="F25" s="124"/>
      <c r="G25" s="92"/>
      <c r="H25" s="92">
        <v>11</v>
      </c>
      <c r="I25" s="92" t="s">
        <v>264</v>
      </c>
      <c r="J25" s="119"/>
      <c r="O25" s="120"/>
      <c r="Q25" s="92"/>
      <c r="R25" s="92"/>
      <c r="S25" s="92"/>
      <c r="T25" s="92"/>
      <c r="U25" s="92"/>
      <c r="V25" s="92"/>
      <c r="W25" s="92"/>
      <c r="X25" s="101"/>
      <c r="Y25" s="101"/>
      <c r="Z25" s="101"/>
      <c r="AA25" s="101"/>
      <c r="AB25" s="101"/>
      <c r="AC25" s="101"/>
      <c r="AD25" s="101"/>
      <c r="AE25" s="92"/>
      <c r="AF25" s="92"/>
      <c r="AG25" s="92"/>
    </row>
    <row r="26" spans="1:49" outlineLevel="1">
      <c r="A26" s="2"/>
      <c r="B26" s="2"/>
      <c r="C26"/>
      <c r="D26"/>
      <c r="E26"/>
      <c r="F26"/>
      <c r="G26" s="92"/>
      <c r="H26" s="92">
        <v>12</v>
      </c>
      <c r="I26" s="92" t="s">
        <v>265</v>
      </c>
      <c r="J26" s="119"/>
      <c r="O26" s="120"/>
      <c r="Q26" s="92"/>
      <c r="R26" s="92"/>
      <c r="S26" s="92"/>
      <c r="T26" s="92"/>
      <c r="U26" s="92"/>
      <c r="V26" s="92"/>
      <c r="W26" s="92"/>
      <c r="X26" s="101"/>
      <c r="Y26" s="101"/>
      <c r="Z26" s="101"/>
      <c r="AA26" s="101"/>
      <c r="AB26" s="101"/>
      <c r="AC26" s="101"/>
      <c r="AD26" s="101"/>
      <c r="AE26" s="92"/>
      <c r="AF26" s="92"/>
      <c r="AG26" s="92"/>
    </row>
    <row r="27" spans="1:49" outlineLevel="1">
      <c r="A27" s="2"/>
      <c r="B27" s="2"/>
      <c r="C27"/>
      <c r="D27"/>
      <c r="E27"/>
      <c r="F27"/>
      <c r="G27" s="92"/>
      <c r="H27" s="92">
        <v>13</v>
      </c>
      <c r="I27" s="92" t="s">
        <v>266</v>
      </c>
      <c r="J27" s="92"/>
      <c r="O27" s="120"/>
      <c r="Q27" s="92"/>
      <c r="R27" s="92"/>
      <c r="S27" s="92"/>
      <c r="T27" s="92"/>
      <c r="U27" s="92"/>
      <c r="V27" s="92"/>
      <c r="W27" s="92"/>
      <c r="X27" s="101"/>
      <c r="Y27" s="101"/>
      <c r="Z27" s="101"/>
      <c r="AA27" s="101"/>
      <c r="AB27" s="101"/>
      <c r="AC27" s="101"/>
      <c r="AD27" s="101"/>
      <c r="AE27" s="92"/>
      <c r="AF27" s="92"/>
      <c r="AG27" s="92"/>
    </row>
    <row r="28" spans="1:49" outlineLevel="1">
      <c r="A28" s="2"/>
      <c r="B28" s="2"/>
      <c r="C28"/>
      <c r="D28"/>
      <c r="E28"/>
      <c r="F28"/>
      <c r="G28" s="92"/>
      <c r="H28" s="92">
        <v>14</v>
      </c>
      <c r="I28" s="92" t="s">
        <v>267</v>
      </c>
      <c r="J28" s="92"/>
      <c r="O28" s="120"/>
      <c r="Q28" s="92"/>
      <c r="R28" s="92"/>
      <c r="S28" s="92"/>
      <c r="T28" s="92"/>
      <c r="U28" s="92"/>
      <c r="V28" s="92"/>
      <c r="W28" s="92"/>
      <c r="X28" s="101"/>
      <c r="Y28" s="101"/>
      <c r="Z28" s="101"/>
      <c r="AA28" s="101"/>
      <c r="AB28" s="101"/>
      <c r="AC28" s="101"/>
      <c r="AD28" s="101"/>
      <c r="AE28" s="92"/>
      <c r="AF28" s="92"/>
      <c r="AG28" s="92"/>
    </row>
    <row r="29" spans="1:49" ht="24" customHeight="1" thickBot="1">
      <c r="A29" s="125" t="s">
        <v>268</v>
      </c>
      <c r="B29" s="126"/>
      <c r="C29" s="126"/>
      <c r="D29" s="126"/>
      <c r="E29" s="127"/>
      <c r="F29" s="127"/>
      <c r="G29" s="127"/>
      <c r="H29" s="128">
        <v>15</v>
      </c>
      <c r="I29" s="92" t="s">
        <v>269</v>
      </c>
      <c r="J29" s="129" t="s">
        <v>270</v>
      </c>
      <c r="K29" s="128">
        <v>16</v>
      </c>
      <c r="L29" s="127" t="s">
        <v>271</v>
      </c>
      <c r="M29" s="3" t="s">
        <v>272</v>
      </c>
      <c r="N29" s="127"/>
      <c r="O29" s="127"/>
      <c r="P29" s="127"/>
      <c r="Q29" s="127"/>
      <c r="R29" s="130"/>
      <c r="S29" s="130"/>
      <c r="T29" s="130"/>
      <c r="U29" s="89"/>
      <c r="V29" s="92"/>
      <c r="W29" s="92"/>
      <c r="X29" s="101"/>
      <c r="Y29" s="101"/>
      <c r="Z29" s="101"/>
      <c r="AA29" s="101"/>
      <c r="AB29" s="101"/>
      <c r="AC29" s="101"/>
      <c r="AD29" s="101"/>
      <c r="AE29" s="92"/>
      <c r="AF29" s="92"/>
      <c r="AG29" s="92"/>
    </row>
    <row r="30" spans="1:49" s="106" customFormat="1" ht="16.149999999999999" customHeight="1" thickBot="1">
      <c r="A30" s="131" t="s">
        <v>273</v>
      </c>
      <c r="B30" s="132"/>
      <c r="C30" s="132"/>
      <c r="D30" s="132"/>
      <c r="E30" s="132"/>
      <c r="F30" s="132"/>
      <c r="G30" s="131" t="s">
        <v>274</v>
      </c>
      <c r="H30" s="133"/>
      <c r="I30" s="133"/>
      <c r="J30" s="133"/>
      <c r="K30" s="133"/>
      <c r="L30" s="132"/>
      <c r="M30" s="132"/>
      <c r="N30" s="134"/>
      <c r="O30" s="131" t="s">
        <v>275</v>
      </c>
      <c r="P30" s="133"/>
      <c r="Q30" s="133"/>
      <c r="R30" s="135"/>
      <c r="S30" s="133"/>
      <c r="T30" s="133"/>
      <c r="U30" s="136"/>
      <c r="W30" s="137"/>
      <c r="X30" s="137"/>
      <c r="Y30" s="92"/>
      <c r="AJ30" s="138"/>
      <c r="AK30" s="139"/>
      <c r="AL30"/>
      <c r="AM30"/>
      <c r="AN30"/>
      <c r="AO30"/>
      <c r="AP30"/>
      <c r="AQ30"/>
      <c r="AR30"/>
      <c r="AS30"/>
      <c r="AT30"/>
      <c r="AU30"/>
      <c r="AV30"/>
      <c r="AW30"/>
    </row>
    <row r="31" spans="1:49" ht="15" customHeight="1">
      <c r="A31" s="140"/>
      <c r="B31" s="141">
        <v>2016</v>
      </c>
      <c r="C31" s="142"/>
      <c r="D31" s="142"/>
      <c r="E31" s="142"/>
      <c r="F31" s="142"/>
      <c r="G31" s="505">
        <v>2050</v>
      </c>
      <c r="H31" s="506"/>
      <c r="I31" s="506"/>
      <c r="J31" s="506"/>
      <c r="K31" s="506"/>
      <c r="L31" s="506"/>
      <c r="M31" s="506"/>
      <c r="N31" s="507"/>
      <c r="O31" s="143"/>
      <c r="P31" s="144" t="s">
        <v>276</v>
      </c>
      <c r="Q31" s="145"/>
      <c r="R31" s="145"/>
      <c r="S31" s="144" t="s">
        <v>277</v>
      </c>
      <c r="T31" s="145"/>
      <c r="U31" s="146"/>
      <c r="Y31" s="92"/>
    </row>
    <row r="32" spans="1:49" ht="60">
      <c r="A32" s="147" t="s">
        <v>278</v>
      </c>
      <c r="B32" s="148" t="s">
        <v>279</v>
      </c>
      <c r="C32" s="148" t="s">
        <v>280</v>
      </c>
      <c r="D32" s="148" t="s">
        <v>281</v>
      </c>
      <c r="E32" s="148" t="s">
        <v>282</v>
      </c>
      <c r="F32" s="149" t="s">
        <v>283</v>
      </c>
      <c r="G32" s="150" t="s">
        <v>284</v>
      </c>
      <c r="H32" s="151" t="s">
        <v>285</v>
      </c>
      <c r="I32" s="151" t="s">
        <v>286</v>
      </c>
      <c r="J32" s="148" t="s">
        <v>287</v>
      </c>
      <c r="K32" s="148" t="s">
        <v>280</v>
      </c>
      <c r="L32" s="148" t="s">
        <v>288</v>
      </c>
      <c r="M32" s="148" t="s">
        <v>289</v>
      </c>
      <c r="N32" s="152" t="s">
        <v>283</v>
      </c>
      <c r="O32" s="153" t="s">
        <v>278</v>
      </c>
      <c r="P32" s="154" t="s">
        <v>290</v>
      </c>
      <c r="Q32" s="82"/>
      <c r="R32" s="155" t="s">
        <v>291</v>
      </c>
      <c r="S32" s="156" t="s">
        <v>292</v>
      </c>
      <c r="T32" s="151"/>
      <c r="U32" s="157" t="s">
        <v>291</v>
      </c>
      <c r="W32" s="52"/>
      <c r="X32" s="52"/>
      <c r="Y32" s="92"/>
      <c r="AJ32" s="158"/>
      <c r="AK32" s="159"/>
    </row>
    <row r="33" spans="1:39" ht="15.75" customHeight="1">
      <c r="A33" s="160" t="s">
        <v>293</v>
      </c>
      <c r="B33" s="161"/>
      <c r="C33" s="162"/>
      <c r="D33" s="8"/>
      <c r="E33" s="163"/>
      <c r="F33" s="31"/>
      <c r="G33" s="164"/>
      <c r="H33" s="8"/>
      <c r="I33" s="8"/>
      <c r="J33" s="92"/>
      <c r="K33" s="162"/>
      <c r="M33" s="163"/>
      <c r="N33" s="165"/>
      <c r="O33" s="166"/>
      <c r="P33" s="167" t="s">
        <v>60</v>
      </c>
      <c r="Q33" s="167" t="s">
        <v>294</v>
      </c>
      <c r="R33" s="168"/>
      <c r="S33" s="167" t="s">
        <v>60</v>
      </c>
      <c r="T33" s="167" t="s">
        <v>294</v>
      </c>
      <c r="U33" s="169"/>
      <c r="W33" s="52"/>
      <c r="X33" s="52"/>
      <c r="Y33" s="92"/>
      <c r="AK33" s="159"/>
      <c r="AL33" s="159"/>
      <c r="AM33" s="170"/>
    </row>
    <row r="34" spans="1:39">
      <c r="A34" s="171" t="s">
        <v>295</v>
      </c>
      <c r="B34" s="172">
        <v>5916</v>
      </c>
      <c r="C34" s="162">
        <f>+D34*1000000/B34</f>
        <v>75352.941176470587</v>
      </c>
      <c r="D34" s="173">
        <v>445.78800000000001</v>
      </c>
      <c r="E34" s="174">
        <f>F34/$F$44</f>
        <v>0.27669288585911556</v>
      </c>
      <c r="F34" s="175">
        <v>3957.4</v>
      </c>
      <c r="G34" s="176">
        <f>'[3]Key parameters rpt'!C69</f>
        <v>0</v>
      </c>
      <c r="H34" s="177">
        <f>'[3]Key parameters rpt'!D69</f>
        <v>0</v>
      </c>
      <c r="I34" s="177">
        <f>'[3]Key parameters rpt'!E69</f>
        <v>0</v>
      </c>
      <c r="J34" s="178">
        <f>(1+((L34-D34)/D34))*B34/(1+'[3]Key parameters rpt'!C69)</f>
        <v>5394.183508489642</v>
      </c>
      <c r="K34" s="162">
        <f>+L34*1000000/J34</f>
        <v>75352.941176470587</v>
      </c>
      <c r="L34" s="128">
        <f>(1+((N34-F34)/F34))*D34*(1+'[3]Key parameters rpt'!E69)/(1+'[3]Key parameters rpt'!D69)</f>
        <v>406.46759261030775</v>
      </c>
      <c r="M34" s="179">
        <f>'[3]Key parameters rpt'!F69</f>
        <v>0.21</v>
      </c>
      <c r="N34" s="180">
        <f>$N$44*'[3]Key parameters rpt'!F69</f>
        <v>3608.3404017067123</v>
      </c>
      <c r="O34" s="153" t="s">
        <v>296</v>
      </c>
      <c r="P34" s="181"/>
      <c r="Q34" s="182"/>
      <c r="S34" s="183"/>
      <c r="U34" s="184"/>
      <c r="W34" s="52"/>
      <c r="X34" s="92"/>
      <c r="Y34" s="92"/>
      <c r="AK34" s="159"/>
      <c r="AL34" s="159"/>
      <c r="AM34" s="170"/>
    </row>
    <row r="35" spans="1:39">
      <c r="A35" s="171" t="s">
        <v>297</v>
      </c>
      <c r="B35" s="172">
        <v>7655</v>
      </c>
      <c r="C35" s="162">
        <f>+D35*1000000/B35</f>
        <v>5881.1234487263227</v>
      </c>
      <c r="D35" s="173">
        <v>45.02</v>
      </c>
      <c r="E35" s="174">
        <f t="shared" ref="E35:E43" si="0">F35/$F$44</f>
        <v>2.5995455339975531E-2</v>
      </c>
      <c r="F35" s="175">
        <v>371.8</v>
      </c>
      <c r="G35" s="176">
        <f>'[3]Key parameters rpt'!C70</f>
        <v>0</v>
      </c>
      <c r="H35" s="177">
        <f>'[3]Key parameters rpt'!D70</f>
        <v>0</v>
      </c>
      <c r="I35" s="177">
        <f>'[3]Key parameters rpt'!E70</f>
        <v>0</v>
      </c>
      <c r="J35" s="178">
        <f>(1+((L35-D35)/D35))*B35/(1+'[3]Key parameters rpt'!C70)</f>
        <v>24764.071880101204</v>
      </c>
      <c r="K35" s="162">
        <f>+L35*1000000/J35</f>
        <v>5881.1234487263246</v>
      </c>
      <c r="L35" s="128">
        <f>(1+((N35-F35)/F35))*D35*(1+'[3]Key parameters rpt'!E70)/(1+'[3]Key parameters rpt'!D70)</f>
        <v>145.64056382000737</v>
      </c>
      <c r="M35" s="179">
        <f>'[3]Key parameters rpt'!F70</f>
        <v>7.0000000000000007E-2</v>
      </c>
      <c r="N35" s="180">
        <f>$N$44*'[3]Key parameters rpt'!F70</f>
        <v>1202.7801339022376</v>
      </c>
      <c r="O35" s="185" t="s">
        <v>298</v>
      </c>
      <c r="P35" s="186">
        <f>$P$38*Q35</f>
        <v>1131571.2</v>
      </c>
      <c r="Q35" s="187">
        <f>'[3]Population and GDP'!I6</f>
        <v>0.159</v>
      </c>
      <c r="R35" s="187">
        <f>'[3]Elderly &amp; Children pax trips'!G11</f>
        <v>0.27731467397662501</v>
      </c>
      <c r="S35" s="188">
        <f>$S$38*T35</f>
        <v>940676.86438809265</v>
      </c>
      <c r="T35" s="163">
        <f>IF($U$35=$R$35,'[3]Population and GDP'!$I$6,IF('[3]Key parameters rpt'!$O$4='[3]Key parameters rpt'!$I$4,'[3]Key parameters rpt'!R113,'[3]Population and GDP'!I41))</f>
        <v>0.10375303197353915</v>
      </c>
      <c r="U35" s="189">
        <f>'[3]Key parameters rpt'!C51</f>
        <v>0.3</v>
      </c>
      <c r="W35" s="52"/>
      <c r="X35" s="92"/>
      <c r="Y35" s="92"/>
      <c r="AK35" s="159"/>
      <c r="AL35" s="159"/>
      <c r="AM35" s="170"/>
    </row>
    <row r="36" spans="1:39">
      <c r="A36" s="171" t="s">
        <v>299</v>
      </c>
      <c r="B36" s="172">
        <v>7490</v>
      </c>
      <c r="C36" s="162">
        <f>+D36*1000000/B36</f>
        <v>43756.875834445927</v>
      </c>
      <c r="D36" s="173">
        <v>327.73899999999998</v>
      </c>
      <c r="E36" s="174">
        <f t="shared" si="0"/>
        <v>0.12827128124453765</v>
      </c>
      <c r="F36" s="175">
        <v>1834.6</v>
      </c>
      <c r="G36" s="176">
        <f>'[3]Key parameters rpt'!C71</f>
        <v>0</v>
      </c>
      <c r="H36" s="177">
        <f>'[3]Key parameters rpt'!D71</f>
        <v>0</v>
      </c>
      <c r="I36" s="177">
        <f>'[3]Key parameters rpt'!E71</f>
        <v>0</v>
      </c>
      <c r="J36" s="178">
        <f>(1+((L36-D36)/D36))*B36/(1+'[3]Key parameters rpt'!C71)</f>
        <v>9821.0216972939725</v>
      </c>
      <c r="K36" s="162">
        <f>+L36*1000000/J36</f>
        <v>43756.87583444592</v>
      </c>
      <c r="L36" s="128">
        <f>(1+((N36-F36)/F36))*D36*(1+'[3]Key parameters rpt'!E71)/(1+'[3]Key parameters rpt'!D71)</f>
        <v>429.7372269758917</v>
      </c>
      <c r="M36" s="179">
        <f>'[3]Key parameters rpt'!F71</f>
        <v>0.14000000000000001</v>
      </c>
      <c r="N36" s="180">
        <f>$N$44*'[3]Key parameters rpt'!F71</f>
        <v>2405.5602678044752</v>
      </c>
      <c r="O36" s="185" t="s">
        <v>300</v>
      </c>
      <c r="P36" s="186">
        <f>$P$38*Q36</f>
        <v>5181030.3999999994</v>
      </c>
      <c r="Q36" s="187">
        <f>'[3]Population and GDP'!J6</f>
        <v>0.72799999999999998</v>
      </c>
      <c r="R36" s="187">
        <f>'[3]Elderly &amp; Children pax trips'!G12</f>
        <v>1</v>
      </c>
      <c r="S36" s="188">
        <f>$S$38*T36</f>
        <v>5587283.1047409037</v>
      </c>
      <c r="T36" s="163">
        <f>IF($U$35=$R$35,Q36,IF('[3]Key parameters rpt'!$O$4='[3]Key parameters rpt'!$I$4,'[3]Key parameters rpt'!R114,'[3]Population and GDP'!J41))</f>
        <v>0.61625578831312011</v>
      </c>
      <c r="U36" s="189">
        <f>'[3]Key parameters rpt'!C52</f>
        <v>1</v>
      </c>
      <c r="W36" s="52"/>
      <c r="X36" s="92"/>
      <c r="Y36" s="92"/>
      <c r="AK36" s="159"/>
      <c r="AL36" s="159"/>
      <c r="AM36" s="170"/>
    </row>
    <row r="37" spans="1:39" ht="14.65" customHeight="1">
      <c r="A37" s="171" t="s">
        <v>301</v>
      </c>
      <c r="B37" s="172">
        <f>15250+2838+75</f>
        <v>18163</v>
      </c>
      <c r="C37" s="485">
        <f>+D37*1000000/B37</f>
        <v>148968.85444166698</v>
      </c>
      <c r="D37" s="173">
        <v>2705.721303223997</v>
      </c>
      <c r="E37" s="174">
        <f t="shared" si="0"/>
        <v>6.5240342597448001E-2</v>
      </c>
      <c r="F37" s="175">
        <v>933.1</v>
      </c>
      <c r="G37" s="176">
        <f>'[3]Key parameters rpt'!C72</f>
        <v>0</v>
      </c>
      <c r="H37" s="177">
        <f>'[3]Key parameters rpt'!D72</f>
        <v>0</v>
      </c>
      <c r="I37" s="177">
        <f>'[3]Key parameters rpt'!E72</f>
        <v>0</v>
      </c>
      <c r="J37" s="178">
        <f>(1+((L37-D37)/D37))*B37/(1+'[3]Key parameters rpt'!C72)</f>
        <v>28429.323508820653</v>
      </c>
      <c r="K37" s="162">
        <f>+L37*1000000/J37</f>
        <v>148968.85444166698</v>
      </c>
      <c r="L37" s="128">
        <f>(1+((N37-F37)/F37))*D37*(1+'[3]Key parameters rpt'!E72)/(1+'[3]Key parameters rpt'!D72)</f>
        <v>4235.0837556605647</v>
      </c>
      <c r="M37" s="179">
        <f>'[3]Key parameters rpt'!F72</f>
        <v>8.5000000000000006E-2</v>
      </c>
      <c r="N37" s="180">
        <f>$N$44*'[3]Key parameters rpt'!F72</f>
        <v>1460.5187340241455</v>
      </c>
      <c r="O37" s="190" t="s">
        <v>302</v>
      </c>
      <c r="P37" s="186">
        <f>$P$38*Q37</f>
        <v>804198.40000000002</v>
      </c>
      <c r="Q37" s="187">
        <f>'[3]Population and GDP'!K6</f>
        <v>0.113</v>
      </c>
      <c r="R37" s="187">
        <f>'[3]Elderly &amp; Children pax trips'!G13</f>
        <v>0.43604752178703804</v>
      </c>
      <c r="S37" s="188">
        <f>$S$38*T37</f>
        <v>2538540.0308710034</v>
      </c>
      <c r="T37" s="163">
        <f>IF($U$35=$R$35,Q37,IF('[3]Key parameters rpt'!$O$4='[3]Key parameters rpt'!$I$4,'[3]Key parameters rpt'!R115,'[3]Population and GDP'!J41))</f>
        <v>0.2799911797133407</v>
      </c>
      <c r="U37" s="189">
        <f>'[3]Key parameters rpt'!C53</f>
        <v>0.4</v>
      </c>
      <c r="W37" s="52"/>
      <c r="X37" s="92"/>
      <c r="Y37" s="92"/>
      <c r="AK37" s="159"/>
      <c r="AL37" s="159"/>
      <c r="AM37" s="170"/>
    </row>
    <row r="38" spans="1:39" ht="15.75" thickBot="1">
      <c r="A38" s="191" t="s">
        <v>303</v>
      </c>
      <c r="B38" s="192">
        <f>SUM(B34:B36)</f>
        <v>21061</v>
      </c>
      <c r="C38" s="193"/>
      <c r="D38" s="193">
        <f>SUM(D33:D37)</f>
        <v>3524.268303223997</v>
      </c>
      <c r="E38" s="194">
        <f>SUM(E33:E37)</f>
        <v>0.49619996504107672</v>
      </c>
      <c r="F38" s="195">
        <f>SUM(F34:F37)</f>
        <v>7096.9</v>
      </c>
      <c r="G38" s="196"/>
      <c r="H38" s="197"/>
      <c r="I38" s="197"/>
      <c r="J38" s="198">
        <f>SUM(J33:J37)</f>
        <v>68408.600594705465</v>
      </c>
      <c r="K38" s="193"/>
      <c r="L38" s="198">
        <f>SUM(L33:L37)</f>
        <v>5216.9291390667713</v>
      </c>
      <c r="M38" s="199">
        <f>'[3]Key parameters rpt'!F73</f>
        <v>0.505</v>
      </c>
      <c r="N38" s="200">
        <f>SUM(N33:N37)</f>
        <v>8677.1995374375711</v>
      </c>
      <c r="O38" s="185" t="s">
        <v>88</v>
      </c>
      <c r="P38" s="201">
        <f>'[3]Population and GDP'!E6</f>
        <v>7116800</v>
      </c>
      <c r="Q38" s="202">
        <f>SUM(Q35:Q37)</f>
        <v>1</v>
      </c>
      <c r="R38" s="203">
        <f>+R35*Q35+R36*Q36+R37*Q37</f>
        <v>0.82136640312421871</v>
      </c>
      <c r="S38" s="204">
        <f>'[3]Population and GDP'!E41</f>
        <v>9066500</v>
      </c>
      <c r="T38" s="202">
        <f>SUM(T35:T37)</f>
        <v>1</v>
      </c>
      <c r="U38" s="205">
        <f>+'[3]Key parameters rpt'!C51*T35+'[3]Key parameters rpt'!C52*T36+'[3]Key parameters rpt'!C53*T37</f>
        <v>0.7593781697905182</v>
      </c>
      <c r="W38" s="52"/>
      <c r="X38" s="92"/>
      <c r="Y38" s="92"/>
      <c r="AJ38" s="159"/>
      <c r="AK38" s="159"/>
      <c r="AL38" s="159"/>
      <c r="AM38" s="170"/>
    </row>
    <row r="39" spans="1:39">
      <c r="A39" s="171" t="s">
        <v>304</v>
      </c>
      <c r="B39" s="172">
        <v>583037</v>
      </c>
      <c r="C39" s="162">
        <f>+D39*1000000/B39</f>
        <v>11067.190050365894</v>
      </c>
      <c r="D39" s="173">
        <v>6452.5812853951802</v>
      </c>
      <c r="E39" s="206">
        <f>+B39*0.12/B41</f>
        <v>0.10675579711582331</v>
      </c>
      <c r="F39" s="207">
        <f>F44*E39</f>
        <v>1526.8747882490629</v>
      </c>
      <c r="G39" s="176">
        <f>'[3]Key parameters rpt'!C74</f>
        <v>0</v>
      </c>
      <c r="H39" s="177">
        <f>'[3]Key parameters rpt'!D74</f>
        <v>0</v>
      </c>
      <c r="I39" s="177">
        <f>'[3]Key parameters rpt'!E74</f>
        <v>0</v>
      </c>
      <c r="J39" s="178">
        <f>(1+((L39-D39)/D39))*B39/(1+'[3]Key parameters rpt'!C74)</f>
        <v>393669.8447201415</v>
      </c>
      <c r="K39" s="162">
        <f>+L39*1000000/J39</f>
        <v>11067.190050365896</v>
      </c>
      <c r="L39" s="128">
        <f>(1+((N39-F39)/F39))*D39*(1+'[3]Key parameters rpt'!E74)/(1+'[3]Key parameters rpt'!D74)</f>
        <v>4356.818988615837</v>
      </c>
      <c r="M39" s="208">
        <f>'[3]Key parameters rpt'!F74</f>
        <v>0.06</v>
      </c>
      <c r="N39" s="180">
        <f>N44*'[3]Key parameters rpt'!F74</f>
        <v>1030.954400487632</v>
      </c>
      <c r="O39" s="153" t="s">
        <v>305</v>
      </c>
      <c r="P39" s="209" t="s">
        <v>306</v>
      </c>
      <c r="S39" s="183" t="s">
        <v>307</v>
      </c>
      <c r="U39" s="184"/>
      <c r="W39" s="52"/>
      <c r="Y39" s="92"/>
    </row>
    <row r="40" spans="1:39" ht="15.75" thickBot="1">
      <c r="A40" s="171" t="s">
        <v>308</v>
      </c>
      <c r="B40" s="172">
        <f>71875+67+390</f>
        <v>72332</v>
      </c>
      <c r="C40" s="162">
        <f>+D40*1000000/B40</f>
        <v>4527.4162350163833</v>
      </c>
      <c r="D40" s="173">
        <v>327.47707111120502</v>
      </c>
      <c r="E40" s="210">
        <f>0.12-E39</f>
        <v>1.3244202884176687E-2</v>
      </c>
      <c r="F40" s="211">
        <f>F44*E40</f>
        <v>189.42521175093705</v>
      </c>
      <c r="G40" s="176">
        <f>'[3]Key parameters rpt'!C75</f>
        <v>0</v>
      </c>
      <c r="H40" s="177">
        <f>'[3]Key parameters rpt'!D75</f>
        <v>0</v>
      </c>
      <c r="I40" s="177">
        <f>'[3]Key parameters rpt'!E75</f>
        <v>0</v>
      </c>
      <c r="J40" s="178">
        <f>(1+((L40-D40)/D40))*B40/(1+'[3]Key parameters rpt'!C75)</f>
        <v>65611.640786690332</v>
      </c>
      <c r="K40" s="162">
        <f>+L40*1000000/J40</f>
        <v>4527.4162350163833</v>
      </c>
      <c r="L40" s="128">
        <f>(1+((N40-F40)/F40))*D40*(1+'[3]Key parameters rpt'!E75)/(1+'[3]Key parameters rpt'!D75)</f>
        <v>297.05120770372491</v>
      </c>
      <c r="M40" s="208">
        <f>'[3]Key parameters rpt'!F75</f>
        <v>0.01</v>
      </c>
      <c r="N40" s="212">
        <f>N44*'[3]Key parameters rpt'!F75</f>
        <v>171.82573341460534</v>
      </c>
      <c r="O40" s="213" t="s">
        <v>309</v>
      </c>
      <c r="P40" s="214">
        <f>'[3]Key parameters rpt'!D5/10000</f>
        <v>249.0617</v>
      </c>
      <c r="Q40" s="215"/>
      <c r="R40" s="215"/>
      <c r="S40" s="216">
        <f>'[3]Key parameters rpt'!O5/10000</f>
        <v>623.2620948879246</v>
      </c>
      <c r="T40" s="215"/>
      <c r="U40" s="217"/>
      <c r="W40" s="52"/>
      <c r="Y40" s="92"/>
    </row>
    <row r="41" spans="1:39" ht="16.5" customHeight="1" thickBot="1">
      <c r="A41" s="218" t="s">
        <v>310</v>
      </c>
      <c r="B41" s="192">
        <f>SUM(B39:B40)</f>
        <v>655369</v>
      </c>
      <c r="C41" s="193"/>
      <c r="D41" s="193">
        <f>SUM(D39:D40)</f>
        <v>6780.0583565063853</v>
      </c>
      <c r="E41" s="163">
        <f>F41/$F$44</f>
        <v>0.11962943541338927</v>
      </c>
      <c r="F41" s="219">
        <v>1711</v>
      </c>
      <c r="G41" s="196"/>
      <c r="H41" s="197"/>
      <c r="I41" s="197"/>
      <c r="J41" s="198">
        <f>SUM(J39:J40)</f>
        <v>459281.48550683184</v>
      </c>
      <c r="K41" s="193"/>
      <c r="L41" s="198">
        <f>SUM(L39:L40)</f>
        <v>4653.8701963195617</v>
      </c>
      <c r="M41" s="199">
        <f>SUM(M39:M40)</f>
        <v>6.9999999999999993E-2</v>
      </c>
      <c r="N41" s="200">
        <f>SUM(N39:N40)</f>
        <v>1202.7801339022374</v>
      </c>
      <c r="O41" s="220" t="s">
        <v>311</v>
      </c>
      <c r="U41" s="184"/>
      <c r="W41" s="52"/>
      <c r="X41" s="92"/>
      <c r="Y41" s="92"/>
    </row>
    <row r="42" spans="1:39" ht="15.75" thickTop="1">
      <c r="A42" s="171" t="s">
        <v>312</v>
      </c>
      <c r="B42" s="221"/>
      <c r="C42" s="162"/>
      <c r="D42" s="222">
        <v>322.25599999999997</v>
      </c>
      <c r="E42" s="174">
        <f t="shared" si="0"/>
        <v>0.37502534521936726</v>
      </c>
      <c r="F42" s="223">
        <v>5363.8</v>
      </c>
      <c r="G42" s="176">
        <f>'[3]Key parameters rpt'!C77</f>
        <v>0</v>
      </c>
      <c r="H42" s="177">
        <f>'[3]Key parameters rpt'!D77</f>
        <v>0</v>
      </c>
      <c r="I42" s="177">
        <f>'[3]Key parameters rpt'!E77</f>
        <v>0</v>
      </c>
      <c r="J42" s="178">
        <f>(1+((L42-D42)/D42))*B42*(1+'[3]Key parameters rpt'!C77)</f>
        <v>0</v>
      </c>
      <c r="K42" s="162"/>
      <c r="L42" s="128">
        <f>(1+((N42-F42)/F42))*D42*(1+'[3]Key parameters rpt'!E77)/(1+'[3]Key parameters rpt'!D77)</f>
        <v>433.57669730131556</v>
      </c>
      <c r="M42" s="179">
        <f>'[3]Key parameters rpt'!F77</f>
        <v>0.42</v>
      </c>
      <c r="N42" s="180">
        <f>$N$44*'[3]Key parameters rpt'!F77</f>
        <v>7216.6808034134247</v>
      </c>
      <c r="O42" s="224" t="s">
        <v>313</v>
      </c>
      <c r="U42" s="225">
        <f>-1+S38/P38</f>
        <v>0.27395739658273377</v>
      </c>
      <c r="Y42" s="92"/>
    </row>
    <row r="43" spans="1:39">
      <c r="A43" s="171" t="s">
        <v>314</v>
      </c>
      <c r="B43" s="226"/>
      <c r="C43" s="162"/>
      <c r="D43" s="227">
        <f>'[3]Marine VKM'!H27/1000000</f>
        <v>3.2721155</v>
      </c>
      <c r="E43" s="174">
        <f t="shared" si="0"/>
        <v>9.1452543261667553E-3</v>
      </c>
      <c r="F43" s="228">
        <v>130.80000000000001</v>
      </c>
      <c r="G43" s="176">
        <f>'[3]Key parameters rpt'!C78</f>
        <v>0</v>
      </c>
      <c r="H43" s="177">
        <f>'[3]Key parameters rpt'!D78</f>
        <v>0</v>
      </c>
      <c r="I43" s="177">
        <f>'[3]Key parameters rpt'!E78</f>
        <v>0</v>
      </c>
      <c r="J43" s="178">
        <f>(1+((L43-D43)/D43))*B43*(1+'[3]Key parameters rpt'!C78)</f>
        <v>0</v>
      </c>
      <c r="K43" s="162"/>
      <c r="L43" s="128">
        <f>(1+((N43-F43)/F43))*D43*(1+'[3]Key parameters rpt'!E78)/(1+'[3]Key parameters rpt'!D78)</f>
        <v>2.1492111835045797</v>
      </c>
      <c r="M43" s="229">
        <f>'[3]Key parameters rpt'!F78</f>
        <v>5.0000000000000001E-3</v>
      </c>
      <c r="N43" s="230">
        <f>N44*'[3]Key parameters rpt'!F78</f>
        <v>85.912866707302669</v>
      </c>
      <c r="O43" s="224" t="s">
        <v>315</v>
      </c>
      <c r="U43" s="231">
        <f>'[3]Key parameters rpt'!$C$56</f>
        <v>0.02</v>
      </c>
      <c r="Y43" s="92"/>
    </row>
    <row r="44" spans="1:39" ht="15.75" thickBot="1">
      <c r="A44" s="232" t="s">
        <v>316</v>
      </c>
      <c r="B44" s="233">
        <f>SUM(B41:B43)+B38</f>
        <v>676430</v>
      </c>
      <c r="C44" s="233"/>
      <c r="D44" s="233">
        <f>SUM(D41:D43)+D38</f>
        <v>10629.854775230382</v>
      </c>
      <c r="E44" s="234">
        <f>+E38+E41+E42+E43</f>
        <v>1</v>
      </c>
      <c r="F44" s="235">
        <f>+F38+F41+F42+F43</f>
        <v>14302.5</v>
      </c>
      <c r="G44" s="236"/>
      <c r="H44" s="233"/>
      <c r="I44" s="233"/>
      <c r="J44" s="233">
        <f>SUM(J41:J43)+J38</f>
        <v>527690.08610153734</v>
      </c>
      <c r="K44" s="233"/>
      <c r="L44" s="233">
        <f>SUM(L41:L43)+L38</f>
        <v>10306.525243871154</v>
      </c>
      <c r="M44" s="234">
        <f>'[3]Key parameters rpt'!F79</f>
        <v>0.99999999999999989</v>
      </c>
      <c r="N44" s="237">
        <f>+F44*(1+U48)</f>
        <v>17182.573341460535</v>
      </c>
      <c r="O44" s="224" t="s">
        <v>317</v>
      </c>
      <c r="U44" s="225">
        <f>-1+U38/R38</f>
        <v>-7.5469648013257951E-2</v>
      </c>
      <c r="W44" s="1"/>
      <c r="X44" s="1"/>
      <c r="Y44" s="92"/>
    </row>
    <row r="45" spans="1:39">
      <c r="A45" s="111" t="s">
        <v>318</v>
      </c>
      <c r="B45" s="238"/>
      <c r="C45" s="99"/>
      <c r="G45" s="171"/>
      <c r="I45" s="52"/>
      <c r="J45" s="99"/>
      <c r="K45" s="99"/>
      <c r="L45" s="52"/>
      <c r="M45" s="52"/>
      <c r="N45" s="184"/>
      <c r="O45" s="153" t="s">
        <v>319</v>
      </c>
      <c r="U45" s="231">
        <f>'[3]Key parameters rpt'!C58</f>
        <v>0</v>
      </c>
      <c r="Y45" s="92"/>
    </row>
    <row r="46" spans="1:39">
      <c r="A46" s="238" t="s">
        <v>320</v>
      </c>
      <c r="B46" s="172">
        <v>71856</v>
      </c>
      <c r="C46" s="239">
        <f>D46*1000000/B46</f>
        <v>28642.702070808282</v>
      </c>
      <c r="D46" s="240">
        <v>2058.15</v>
      </c>
      <c r="E46" s="241"/>
      <c r="F46" s="8"/>
      <c r="G46" s="176">
        <f>'[3]Key parameters rpt'!C81</f>
        <v>0</v>
      </c>
      <c r="H46" s="177">
        <f>'[3]Key parameters rpt'!D81</f>
        <v>0</v>
      </c>
      <c r="I46" s="177">
        <f>'[3]Key parameters rpt'!E81</f>
        <v>0</v>
      </c>
      <c r="J46" s="178">
        <f>(1+((L46-D46)/D46))*B46/(1+'[3]Key parameters rpt'!C81)</f>
        <v>125835.68369899248</v>
      </c>
      <c r="K46" s="242">
        <f>L46*1000000/J46</f>
        <v>28642.702070808285</v>
      </c>
      <c r="L46" s="128">
        <f>D46*(1+$U$53)</f>
        <v>3604.2739980667079</v>
      </c>
      <c r="M46" s="241"/>
      <c r="N46" s="243"/>
      <c r="O46" s="153" t="s">
        <v>321</v>
      </c>
      <c r="U46" s="231">
        <f>'[3]Key parameters rpt'!C59</f>
        <v>0</v>
      </c>
      <c r="Y46" s="92"/>
    </row>
    <row r="47" spans="1:39" ht="30">
      <c r="A47" s="238" t="s">
        <v>322</v>
      </c>
      <c r="B47" s="172">
        <v>11748</v>
      </c>
      <c r="C47" s="239">
        <f>D47*1000000/B47</f>
        <v>31355.975485188967</v>
      </c>
      <c r="D47" s="240">
        <v>368.37</v>
      </c>
      <c r="E47" s="241"/>
      <c r="F47" s="8"/>
      <c r="G47" s="176">
        <f>'[3]Key parameters rpt'!C82</f>
        <v>0</v>
      </c>
      <c r="H47" s="177">
        <f>'[3]Key parameters rpt'!D82</f>
        <v>0</v>
      </c>
      <c r="I47" s="177">
        <f>'[3]Key parameters rpt'!E82</f>
        <v>0</v>
      </c>
      <c r="J47" s="178">
        <f>(1+((L47-D47)/D47))*B47/(1+'[3]Key parameters rpt'!C82)</f>
        <v>20573.335728342288</v>
      </c>
      <c r="K47" s="242">
        <f>L47*1000000/J47</f>
        <v>31355.97548518897</v>
      </c>
      <c r="L47" s="128">
        <f>D47*(1+$U$53)</f>
        <v>645.09701074646318</v>
      </c>
      <c r="M47" s="241"/>
      <c r="N47" s="244"/>
      <c r="O47" s="153" t="s">
        <v>323</v>
      </c>
      <c r="U47" s="231">
        <f>'[3]Key parameters rpt'!C60</f>
        <v>0</v>
      </c>
      <c r="Y47" s="92"/>
    </row>
    <row r="48" spans="1:39">
      <c r="A48" s="238" t="s">
        <v>324</v>
      </c>
      <c r="B48" s="172">
        <v>30833</v>
      </c>
      <c r="C48" s="239">
        <f>D48*1000000/B48</f>
        <v>31356.01465961794</v>
      </c>
      <c r="D48" s="245">
        <v>966.8</v>
      </c>
      <c r="E48" s="241"/>
      <c r="F48" s="8"/>
      <c r="G48" s="176">
        <f>'[3]Key parameters rpt'!C83</f>
        <v>0</v>
      </c>
      <c r="H48" s="177">
        <f>'[3]Key parameters rpt'!D83</f>
        <v>0</v>
      </c>
      <c r="I48" s="177">
        <f>'[3]Key parameters rpt'!E83</f>
        <v>0</v>
      </c>
      <c r="J48" s="178">
        <f>(1+((L48-D48)/D48))*B48/(1+'[3]Key parameters rpt'!C83)</f>
        <v>53995.374575415211</v>
      </c>
      <c r="K48" s="242">
        <f>L48*1000000/J48</f>
        <v>31356.014659617937</v>
      </c>
      <c r="L48" s="246">
        <f>D48*(1+$U$53)</f>
        <v>1693.079756738281</v>
      </c>
      <c r="M48" s="241"/>
      <c r="N48" s="243"/>
      <c r="O48" s="247" t="s">
        <v>325</v>
      </c>
      <c r="P48" s="248"/>
      <c r="Q48" s="248"/>
      <c r="R48" s="248"/>
      <c r="S48" s="248"/>
      <c r="T48" s="248"/>
      <c r="U48" s="249">
        <f>-1++(1+U42)*(1+'[3]Key parameters rpt'!C56)*(1+U44)*(1+'[3]Key parameters rpt'!C58)*(1+'[3]Key parameters rpt'!C59)*(1+'[3]Key parameters rpt'!C60)</f>
        <v>0.20136852588432341</v>
      </c>
      <c r="Y48" s="92"/>
    </row>
    <row r="49" spans="1:60">
      <c r="A49" s="250" t="s">
        <v>326</v>
      </c>
      <c r="B49" s="251">
        <v>1840</v>
      </c>
      <c r="C49" s="252"/>
      <c r="D49" s="253"/>
      <c r="E49" s="254"/>
      <c r="F49" s="255"/>
      <c r="G49" s="176">
        <f>'[3]Key parameters rpt'!C84</f>
        <v>0</v>
      </c>
      <c r="H49" s="177">
        <f>'[3]Key parameters rpt'!D84</f>
        <v>0</v>
      </c>
      <c r="I49" s="177">
        <f>'[3]Key parameters rpt'!E84</f>
        <v>0</v>
      </c>
      <c r="J49" s="178">
        <v>1840</v>
      </c>
      <c r="K49" s="242"/>
      <c r="L49" s="256"/>
      <c r="M49" s="254"/>
      <c r="N49" s="257"/>
      <c r="O49" s="220" t="s">
        <v>327</v>
      </c>
      <c r="R49" s="8"/>
      <c r="U49" s="184"/>
      <c r="Y49" s="92"/>
    </row>
    <row r="50" spans="1:60" ht="15.75" thickBot="1">
      <c r="A50" s="218" t="s">
        <v>328</v>
      </c>
      <c r="B50" s="258">
        <f>SUM(B46:B49)</f>
        <v>116277</v>
      </c>
      <c r="C50" s="259"/>
      <c r="D50" s="260">
        <f>SUM(D46:D49)</f>
        <v>3393.3199999999997</v>
      </c>
      <c r="E50" s="261"/>
      <c r="F50" s="262"/>
      <c r="G50" s="263"/>
      <c r="H50" s="262"/>
      <c r="I50" s="262"/>
      <c r="J50" s="262">
        <f>SUM(J46:J49)</f>
        <v>202244.39400274999</v>
      </c>
      <c r="K50" s="259"/>
      <c r="L50" s="262">
        <f>SUM(L46:L49)</f>
        <v>5942.4507655514517</v>
      </c>
      <c r="M50" s="261"/>
      <c r="N50" s="264"/>
      <c r="O50" s="265">
        <f>'[3]Key parameters rpt'!$C$63</f>
        <v>0.5</v>
      </c>
      <c r="P50" t="s">
        <v>329</v>
      </c>
      <c r="U50" s="266">
        <f>+'[3]Key parameters rpt'!C63*(-1+S40/P40)</f>
        <v>0.75122026969205735</v>
      </c>
      <c r="Y50" s="92"/>
    </row>
    <row r="51" spans="1:60" ht="15.75" thickTop="1">
      <c r="A51" s="171"/>
      <c r="B51" s="183"/>
      <c r="C51" s="92"/>
      <c r="D51"/>
      <c r="E51"/>
      <c r="F51"/>
      <c r="G51" s="153"/>
      <c r="H51"/>
      <c r="N51" s="184"/>
      <c r="O51" s="153" t="s">
        <v>330</v>
      </c>
      <c r="U51" s="189">
        <f>'[3]Key parameters rpt'!$C$64</f>
        <v>0</v>
      </c>
      <c r="Y51" s="92"/>
    </row>
    <row r="52" spans="1:60" ht="15.75" thickBot="1">
      <c r="A52" s="267" t="s">
        <v>331</v>
      </c>
      <c r="B52" s="204">
        <f>B38+B41+B50</f>
        <v>792707</v>
      </c>
      <c r="C52" s="233"/>
      <c r="D52" s="268">
        <f>D38+D41+D50</f>
        <v>13697.646659730382</v>
      </c>
      <c r="E52" s="269">
        <f>E38+E41</f>
        <v>0.61582940045446599</v>
      </c>
      <c r="F52" s="233">
        <f>F41+F38</f>
        <v>8807.9</v>
      </c>
      <c r="G52" s="236"/>
      <c r="H52" s="233"/>
      <c r="I52" s="233"/>
      <c r="J52" s="233"/>
      <c r="K52" s="233"/>
      <c r="L52" s="233">
        <f>L38+L41+L50</f>
        <v>15813.250100937785</v>
      </c>
      <c r="M52" s="269">
        <f>'[3]Key parameters rpt'!F73+'[3]Key parameters rpt'!F76</f>
        <v>0.57499999999999996</v>
      </c>
      <c r="N52" s="270">
        <f>N41+N38</f>
        <v>9879.9796713398082</v>
      </c>
      <c r="O52" s="153" t="s">
        <v>332</v>
      </c>
      <c r="P52" s="2"/>
      <c r="R52" s="271">
        <f>'[3]Key parameters rpt'!$C$65</f>
        <v>1</v>
      </c>
      <c r="S52" s="53" t="s">
        <v>333</v>
      </c>
      <c r="U52" s="266">
        <f>-'[3]Key parameters rpt'!C65*'[3]Key parameters rpt'!C60</f>
        <v>0</v>
      </c>
      <c r="Y52" s="92"/>
    </row>
    <row r="53" spans="1:60" ht="15" customHeight="1" thickBot="1">
      <c r="B53" s="508" t="s">
        <v>334</v>
      </c>
      <c r="C53" s="272"/>
      <c r="D53" s="52" t="s">
        <v>335</v>
      </c>
      <c r="I53" s="52"/>
      <c r="J53" s="52"/>
      <c r="K53" s="52"/>
      <c r="L53" s="52"/>
      <c r="M53" s="52"/>
      <c r="N53" s="52"/>
      <c r="O53" s="273" t="s">
        <v>336</v>
      </c>
      <c r="P53" s="274"/>
      <c r="Q53" s="274"/>
      <c r="R53" s="274"/>
      <c r="S53" s="274"/>
      <c r="T53" s="274"/>
      <c r="U53" s="275">
        <f>-1+(1+U50)*(1+'[3]Key parameters rpt'!C64)*(1+U52)</f>
        <v>0.75122026969205735</v>
      </c>
      <c r="Y53" s="92"/>
      <c r="AD53" s="276"/>
      <c r="AE53" s="105"/>
      <c r="AF53" s="105"/>
      <c r="AG53" s="92"/>
    </row>
    <row r="54" spans="1:60" ht="15" customHeight="1">
      <c r="B54" s="509"/>
      <c r="D54" t="s">
        <v>287</v>
      </c>
      <c r="I54" s="52"/>
      <c r="J54" s="52"/>
      <c r="K54" s="1"/>
      <c r="Q54" s="277"/>
      <c r="T54" s="92"/>
      <c r="Y54" s="276"/>
      <c r="Z54" s="105"/>
      <c r="AA54" s="105"/>
      <c r="AB54" s="92"/>
    </row>
    <row r="55" spans="1:60" ht="14.65" customHeight="1">
      <c r="A55" s="123"/>
      <c r="B55" s="510"/>
      <c r="C55" s="278"/>
      <c r="D55" s="279" t="s">
        <v>289</v>
      </c>
      <c r="E55" s="278"/>
      <c r="F55" s="278"/>
      <c r="G55" s="278"/>
      <c r="H55" s="278"/>
      <c r="I55" s="278"/>
      <c r="J55" s="278"/>
      <c r="K55" s="123"/>
      <c r="L55" s="123"/>
      <c r="M55" s="123"/>
      <c r="N55" s="123"/>
      <c r="O55" s="123"/>
      <c r="P55" s="123"/>
      <c r="Q55" s="123"/>
      <c r="R55" s="123"/>
      <c r="S55" s="123"/>
      <c r="T55" s="280"/>
      <c r="U55" s="123"/>
      <c r="V55" s="123"/>
      <c r="W55" s="123"/>
      <c r="X55" s="123"/>
      <c r="Y55" s="123"/>
      <c r="Z55" s="123"/>
      <c r="AA55" s="123"/>
      <c r="AB55" s="123"/>
      <c r="AC55" s="123"/>
      <c r="AD55" s="123"/>
      <c r="AE55" s="123"/>
      <c r="AF55" s="123"/>
      <c r="AG55" s="123"/>
      <c r="AH55" s="123"/>
      <c r="AI55" s="123"/>
      <c r="AJ55" s="123"/>
      <c r="AK55" s="123"/>
      <c r="AL55" s="123"/>
      <c r="AM55" s="123"/>
      <c r="AN55" s="123"/>
      <c r="AO55" s="123"/>
      <c r="AP55" s="123"/>
      <c r="AZ55" t="s">
        <v>337</v>
      </c>
    </row>
    <row r="56" spans="1:60" s="291" customFormat="1" ht="30.75" outlineLevel="1" thickBot="1">
      <c r="A56" s="281" t="s">
        <v>338</v>
      </c>
      <c r="B56" s="281"/>
      <c r="C56" s="282" t="str">
        <f>+C1</f>
        <v>Updated:</v>
      </c>
      <c r="D56" s="283">
        <f>+$D$1</f>
        <v>43599</v>
      </c>
      <c r="E56" s="284" t="s">
        <v>219</v>
      </c>
      <c r="F56" t="str">
        <f>+$F$1</f>
        <v>Core higher population</v>
      </c>
      <c r="G56" s="285"/>
      <c r="H56" s="286" t="s">
        <v>220</v>
      </c>
      <c r="I56" s="287" t="s">
        <v>221</v>
      </c>
      <c r="J56" s="288" t="s">
        <v>222</v>
      </c>
      <c r="K56" s="289" t="s">
        <v>223</v>
      </c>
      <c r="L56" s="290" t="s">
        <v>224</v>
      </c>
      <c r="O56" s="281"/>
      <c r="P56" s="281"/>
      <c r="Q56" s="281"/>
      <c r="R56" s="281"/>
      <c r="S56" s="281"/>
      <c r="T56" s="292"/>
      <c r="U56" s="292" t="s">
        <v>339</v>
      </c>
      <c r="V56" s="281" t="str">
        <f>+A56</f>
        <v>Energy and Emissions</v>
      </c>
      <c r="W56" s="281"/>
      <c r="X56" s="293" t="s">
        <v>218</v>
      </c>
      <c r="Y56" s="294">
        <f>+$D$1</f>
        <v>43599</v>
      </c>
      <c r="Z56" s="293" t="s">
        <v>219</v>
      </c>
      <c r="AA56" s="109" t="str">
        <f>+$F$1</f>
        <v>Core higher population</v>
      </c>
      <c r="AB56" s="295"/>
      <c r="AC56" s="286" t="s">
        <v>220</v>
      </c>
      <c r="AD56" s="287" t="s">
        <v>221</v>
      </c>
      <c r="AE56" s="288" t="s">
        <v>222</v>
      </c>
      <c r="AF56" s="289" t="s">
        <v>223</v>
      </c>
      <c r="AG56" s="290" t="s">
        <v>224</v>
      </c>
      <c r="AH56" s="281"/>
      <c r="AI56" s="281"/>
      <c r="AJ56" s="281"/>
      <c r="AK56" s="281"/>
      <c r="AL56" s="281"/>
      <c r="AM56" s="281"/>
      <c r="AN56" s="281"/>
      <c r="AO56" s="281"/>
      <c r="AW56" s="292" t="s">
        <v>340</v>
      </c>
    </row>
    <row r="57" spans="1:60" s="106" customFormat="1" ht="18.75" outlineLevel="1">
      <c r="A57" s="296" t="s">
        <v>341</v>
      </c>
      <c r="B57" s="297"/>
      <c r="C57" s="297"/>
      <c r="D57" s="297"/>
      <c r="E57" s="297"/>
      <c r="F57" s="297"/>
      <c r="G57" s="297"/>
      <c r="H57" s="297"/>
      <c r="I57" s="297"/>
      <c r="J57" s="297"/>
      <c r="K57" s="297"/>
      <c r="L57" s="297"/>
      <c r="M57" s="297"/>
      <c r="N57" s="297"/>
      <c r="O57" s="297"/>
      <c r="P57" s="297"/>
      <c r="Q57" s="297"/>
      <c r="R57" s="297"/>
      <c r="S57" s="297"/>
      <c r="T57" s="297"/>
      <c r="U57" s="297"/>
      <c r="V57" s="296" t="str">
        <f>+A57</f>
        <v>Module 4 Transport energy and emission forecasting (2016)</v>
      </c>
      <c r="W57" s="297"/>
      <c r="X57" s="297"/>
      <c r="Y57" s="297"/>
      <c r="Z57" s="297"/>
      <c r="AA57" s="297"/>
      <c r="AB57" s="297"/>
      <c r="AC57" s="297"/>
      <c r="AD57" s="297"/>
      <c r="AE57" s="297"/>
      <c r="AF57" s="297"/>
      <c r="AG57" s="297"/>
      <c r="AH57" s="297"/>
      <c r="AI57" s="297"/>
      <c r="AJ57" s="297"/>
      <c r="AK57" s="297"/>
      <c r="AL57" s="298"/>
      <c r="AM57" s="298"/>
      <c r="AN57" s="298"/>
      <c r="AO57" s="298"/>
      <c r="AP57" s="298"/>
      <c r="AQ57" s="298"/>
      <c r="AR57" s="298"/>
      <c r="AS57" s="298"/>
      <c r="AT57" s="298"/>
      <c r="AU57" s="298"/>
      <c r="AV57" s="298"/>
      <c r="AW57" s="299"/>
      <c r="BG57" s="300">
        <f>AV62/AU62/AT62/B62</f>
        <v>1.3180320406116822E-6</v>
      </c>
      <c r="BH57" s="301">
        <f>AW62/AU62/AT62/B62</f>
        <v>8.4135236751065428E-5</v>
      </c>
    </row>
    <row r="58" spans="1:60" s="306" customFormat="1" ht="15.75" customHeight="1" outlineLevel="1">
      <c r="A58" s="302"/>
      <c r="B58" s="511" t="s">
        <v>342</v>
      </c>
      <c r="C58" s="513" t="s">
        <v>287</v>
      </c>
      <c r="D58" s="515" t="s">
        <v>343</v>
      </c>
      <c r="E58" s="516"/>
      <c r="F58" s="516"/>
      <c r="G58" s="517"/>
      <c r="H58" s="515" t="s">
        <v>344</v>
      </c>
      <c r="I58" s="516"/>
      <c r="J58" s="516"/>
      <c r="K58" s="517"/>
      <c r="L58" s="303" t="s">
        <v>345</v>
      </c>
      <c r="M58" s="304"/>
      <c r="N58" s="304"/>
      <c r="O58" s="304"/>
      <c r="P58" s="305"/>
      <c r="Q58" s="304" t="s">
        <v>346</v>
      </c>
      <c r="R58" s="304"/>
      <c r="S58" s="304"/>
      <c r="U58" s="305"/>
      <c r="V58" s="302"/>
      <c r="W58" s="303" t="s">
        <v>347</v>
      </c>
      <c r="X58" s="304"/>
      <c r="Y58" s="304"/>
      <c r="Z58" s="307"/>
      <c r="AA58" s="304"/>
      <c r="AB58" s="303" t="s">
        <v>348</v>
      </c>
      <c r="AC58" s="304"/>
      <c r="AD58" s="304"/>
      <c r="AE58" s="304"/>
      <c r="AF58" s="305"/>
      <c r="AG58" s="304" t="s">
        <v>349</v>
      </c>
      <c r="AH58" s="304"/>
      <c r="AI58" s="304"/>
      <c r="AJ58" s="304"/>
      <c r="AK58" s="304"/>
      <c r="AL58" s="303" t="s">
        <v>350</v>
      </c>
      <c r="AM58" s="304"/>
      <c r="AN58" s="304"/>
      <c r="AO58" s="304"/>
      <c r="AP58" s="304"/>
      <c r="AQ58" s="304"/>
      <c r="AR58" s="305"/>
      <c r="AS58" s="304" t="s">
        <v>351</v>
      </c>
      <c r="AT58" s="304"/>
      <c r="AU58" s="304"/>
      <c r="AV58" s="304"/>
      <c r="AW58" s="308"/>
      <c r="AX58" s="304" t="s">
        <v>352</v>
      </c>
      <c r="AY58" s="304"/>
      <c r="AZ58" s="304"/>
      <c r="BA58" s="304"/>
      <c r="BB58" s="308"/>
      <c r="BG58" s="300">
        <f>AV63/AU63/AT63/B63</f>
        <v>2.4882069248567625E-7</v>
      </c>
      <c r="BH58" s="301">
        <f>AW63/AU63/AT63/B63</f>
        <v>1.5945056754076669E-5</v>
      </c>
    </row>
    <row r="59" spans="1:60" s="52" customFormat="1" ht="58.5" customHeight="1" outlineLevel="1">
      <c r="A59" s="309" t="s">
        <v>353</v>
      </c>
      <c r="B59" s="512"/>
      <c r="C59" s="514"/>
      <c r="D59" s="310" t="s">
        <v>354</v>
      </c>
      <c r="E59" s="311" t="s">
        <v>349</v>
      </c>
      <c r="F59" s="310" t="s">
        <v>355</v>
      </c>
      <c r="G59" s="310" t="s">
        <v>88</v>
      </c>
      <c r="H59" s="311" t="s">
        <v>354</v>
      </c>
      <c r="I59" s="311" t="s">
        <v>349</v>
      </c>
      <c r="J59" s="311" t="s">
        <v>355</v>
      </c>
      <c r="K59" s="311" t="s">
        <v>88</v>
      </c>
      <c r="L59" s="312" t="s">
        <v>356</v>
      </c>
      <c r="M59" s="312" t="s">
        <v>357</v>
      </c>
      <c r="N59" s="312" t="s">
        <v>358</v>
      </c>
      <c r="O59" s="312" t="s">
        <v>359</v>
      </c>
      <c r="P59" s="312" t="s">
        <v>360</v>
      </c>
      <c r="Q59" s="313" t="s">
        <v>356</v>
      </c>
      <c r="R59" s="312" t="s">
        <v>357</v>
      </c>
      <c r="S59" s="314" t="s">
        <v>358</v>
      </c>
      <c r="T59" s="312" t="s">
        <v>359</v>
      </c>
      <c r="U59" s="312" t="s">
        <v>360</v>
      </c>
      <c r="V59" s="153"/>
      <c r="W59" s="312" t="s">
        <v>356</v>
      </c>
      <c r="X59" s="312" t="s">
        <v>357</v>
      </c>
      <c r="Y59" s="312" t="s">
        <v>361</v>
      </c>
      <c r="Z59" s="312" t="s">
        <v>359</v>
      </c>
      <c r="AA59" s="315" t="s">
        <v>360</v>
      </c>
      <c r="AB59" s="312" t="s">
        <v>356</v>
      </c>
      <c r="AC59" s="312" t="s">
        <v>357</v>
      </c>
      <c r="AD59" s="312" t="s">
        <v>358</v>
      </c>
      <c r="AE59" s="312" t="s">
        <v>362</v>
      </c>
      <c r="AF59" s="312" t="s">
        <v>360</v>
      </c>
      <c r="AG59" s="313" t="s">
        <v>356</v>
      </c>
      <c r="AH59" s="312" t="s">
        <v>357</v>
      </c>
      <c r="AI59" s="312" t="s">
        <v>363</v>
      </c>
      <c r="AJ59" s="312" t="s">
        <v>359</v>
      </c>
      <c r="AK59" s="315" t="s">
        <v>360</v>
      </c>
      <c r="AL59" s="312" t="s">
        <v>356</v>
      </c>
      <c r="AM59" s="312" t="s">
        <v>357</v>
      </c>
      <c r="AN59" s="312" t="s">
        <v>364</v>
      </c>
      <c r="AO59" s="312" t="s">
        <v>365</v>
      </c>
      <c r="AP59" s="312" t="s">
        <v>366</v>
      </c>
      <c r="AQ59" s="312" t="s">
        <v>359</v>
      </c>
      <c r="AR59" s="312" t="s">
        <v>360</v>
      </c>
      <c r="AS59" s="313" t="s">
        <v>356</v>
      </c>
      <c r="AT59" s="312" t="s">
        <v>357</v>
      </c>
      <c r="AU59" s="312" t="s">
        <v>358</v>
      </c>
      <c r="AV59" s="312" t="s">
        <v>359</v>
      </c>
      <c r="AW59" s="316" t="s">
        <v>360</v>
      </c>
      <c r="AX59" s="313" t="s">
        <v>356</v>
      </c>
      <c r="AY59" s="312" t="s">
        <v>357</v>
      </c>
      <c r="AZ59" s="312" t="s">
        <v>367</v>
      </c>
      <c r="BA59" s="312" t="s">
        <v>359</v>
      </c>
      <c r="BB59" s="316" t="s">
        <v>360</v>
      </c>
      <c r="BG59" s="300">
        <f>AV64/AU64/AT64/B64</f>
        <v>1.3529760682854384E-4</v>
      </c>
      <c r="BH59" s="301">
        <f>AW64/AU64/AT64/B64</f>
        <v>8.6464160997277197E-3</v>
      </c>
    </row>
    <row r="60" spans="1:60" s="321" customFormat="1" ht="15.75" outlineLevel="1">
      <c r="A60" s="317" t="s">
        <v>368</v>
      </c>
      <c r="B60" s="318">
        <f>D39/C60*1000000</f>
        <v>11067.190050365894</v>
      </c>
      <c r="C60" s="319">
        <f>B39</f>
        <v>583037</v>
      </c>
      <c r="D60" s="320">
        <f t="shared" ref="D60:D68" si="1">+Z60</f>
        <v>268.00074266298708</v>
      </c>
      <c r="F60" s="322">
        <f t="shared" ref="F60:F68" si="2">+G60-E60-D60</f>
        <v>22612.999257337015</v>
      </c>
      <c r="G60" s="323">
        <f t="shared" ref="G60:G68" si="3">O60+T60++Z60+AE60+AJ60+AQ60+AV60</f>
        <v>22881</v>
      </c>
      <c r="H60" s="324">
        <f t="shared" ref="H60:H68" si="4">+AA60</f>
        <v>44235.968375621698</v>
      </c>
      <c r="I60" s="325"/>
      <c r="J60" s="322">
        <f t="shared" ref="J60:J68" si="5">+K60-I60-H60</f>
        <v>1529989.7331097727</v>
      </c>
      <c r="K60" s="323">
        <f>P60+U60++AA60+AF60+AK60+AR60+AW60</f>
        <v>1574225.7014853943</v>
      </c>
      <c r="L60" s="326">
        <f t="shared" ref="L60:L68" si="6">M60/C60</f>
        <v>0.97530345415471065</v>
      </c>
      <c r="M60" s="327">
        <v>568638</v>
      </c>
      <c r="N60" s="328">
        <v>10.600607605859013</v>
      </c>
      <c r="O60" s="329">
        <f>22881*L60</f>
        <v>22315.918334513935</v>
      </c>
      <c r="P60" s="330">
        <v>1508556.0794131418</v>
      </c>
      <c r="Q60" s="331">
        <f t="shared" ref="Q60:Q68" si="7">R60/C60</f>
        <v>1.2918562629815946E-2</v>
      </c>
      <c r="R60" s="327">
        <v>7532</v>
      </c>
      <c r="S60" s="332">
        <f>T60*1000000000/'[3]EF-1'!$B$16*'[3]EF-1'!$U$11/R60/B60*100</f>
        <v>6.9561950911381096</v>
      </c>
      <c r="T60" s="329">
        <f>22881*Q60</f>
        <v>295.58963153281866</v>
      </c>
      <c r="U60" s="323">
        <v>21433.653696630878</v>
      </c>
      <c r="V60" s="317" t="str">
        <f t="shared" ref="V60:V71" si="8">+A60</f>
        <v>Private car</v>
      </c>
      <c r="W60" s="333">
        <f t="shared" ref="W60:W68" si="9">X60/C60</f>
        <v>1.1712807248939604E-2</v>
      </c>
      <c r="X60" s="327">
        <v>6829</v>
      </c>
      <c r="Y60" s="328">
        <v>16</v>
      </c>
      <c r="Z60" s="329">
        <f>22881*W60</f>
        <v>268.00074266298708</v>
      </c>
      <c r="AA60" s="334">
        <f>Z60/3.6*1000000*[3]Electricity!$I$94/1000000*1000</f>
        <v>44235.968375621698</v>
      </c>
      <c r="AB60" s="333">
        <f t="shared" ref="AB60:AB68" si="10">AC60/C60</f>
        <v>6.517596653385634E-5</v>
      </c>
      <c r="AC60" s="327">
        <v>38</v>
      </c>
      <c r="AD60" s="328">
        <v>5</v>
      </c>
      <c r="AE60" s="335">
        <f>22881*AB60</f>
        <v>1.4912912902611668</v>
      </c>
      <c r="AF60" s="336"/>
      <c r="AG60" s="337">
        <f t="shared" ref="AG60:AG68" si="11">AH60/C60</f>
        <v>0</v>
      </c>
      <c r="AH60" s="327">
        <v>0</v>
      </c>
      <c r="AI60" s="338"/>
      <c r="AJ60" s="335">
        <f>22881*AG60</f>
        <v>0</v>
      </c>
      <c r="AK60" s="338"/>
      <c r="AL60" s="333">
        <f t="shared" ref="AL60:AL68" si="12">AM60/C60</f>
        <v>0</v>
      </c>
      <c r="AM60" s="327">
        <v>0</v>
      </c>
      <c r="AN60" s="338">
        <f>8/100</f>
        <v>0.08</v>
      </c>
      <c r="AO60" s="338"/>
      <c r="AP60" s="321">
        <v>0</v>
      </c>
      <c r="AQ60" s="335">
        <f>22881*AL60</f>
        <v>0</v>
      </c>
      <c r="AR60" s="336"/>
      <c r="AS60" s="331">
        <f t="shared" ref="AS60:AS68" si="13">AT60/C60</f>
        <v>0</v>
      </c>
      <c r="AT60" s="327">
        <v>0</v>
      </c>
      <c r="AU60" s="339">
        <v>0</v>
      </c>
      <c r="AV60" s="329">
        <f>22881*AS60</f>
        <v>0</v>
      </c>
      <c r="AW60" s="340">
        <v>0</v>
      </c>
      <c r="AX60" s="331">
        <f t="shared" ref="AX60:AX64" si="14">AY60/H60</f>
        <v>0</v>
      </c>
      <c r="AY60" s="327">
        <v>0</v>
      </c>
      <c r="AZ60" s="339">
        <v>0</v>
      </c>
      <c r="BA60" s="329">
        <f>22881*AX60</f>
        <v>0</v>
      </c>
      <c r="BB60" s="340">
        <v>0</v>
      </c>
    </row>
    <row r="61" spans="1:60" s="321" customFormat="1" ht="15.75" outlineLevel="1">
      <c r="A61" s="317" t="s">
        <v>369</v>
      </c>
      <c r="B61" s="318">
        <f>D40/C61*1000000</f>
        <v>4527.4162350163833</v>
      </c>
      <c r="C61" s="319">
        <f>B40</f>
        <v>72332</v>
      </c>
      <c r="D61" s="320">
        <f t="shared" si="1"/>
        <v>0.28804678427252117</v>
      </c>
      <c r="F61" s="322">
        <f t="shared" si="2"/>
        <v>462.71195321572748</v>
      </c>
      <c r="G61" s="323">
        <f t="shared" si="3"/>
        <v>463</v>
      </c>
      <c r="H61" s="324">
        <f t="shared" si="4"/>
        <v>47.544750485269986</v>
      </c>
      <c r="I61" s="325"/>
      <c r="J61" s="322">
        <f t="shared" si="5"/>
        <v>31279.328037383173</v>
      </c>
      <c r="K61" s="323">
        <f>P61+U61++AA61+AF61+AK61+AR61+AW61</f>
        <v>31326.872787868444</v>
      </c>
      <c r="L61" s="326">
        <f t="shared" si="6"/>
        <v>0.99937786871647405</v>
      </c>
      <c r="M61" s="327">
        <f>71830+67+390</f>
        <v>72287</v>
      </c>
      <c r="N61" s="328">
        <v>4.3309114170629348</v>
      </c>
      <c r="O61" s="329">
        <f>463*L61</f>
        <v>462.71195321572748</v>
      </c>
      <c r="P61" s="330">
        <v>31279.328037383173</v>
      </c>
      <c r="Q61" s="331">
        <f t="shared" si="7"/>
        <v>0</v>
      </c>
      <c r="R61" s="327">
        <v>0</v>
      </c>
      <c r="S61" s="332"/>
      <c r="T61" s="329">
        <f>463*Q61</f>
        <v>0</v>
      </c>
      <c r="U61" s="323">
        <v>0</v>
      </c>
      <c r="V61" s="317" t="str">
        <f t="shared" si="8"/>
        <v>Motorcycle</v>
      </c>
      <c r="W61" s="333">
        <f t="shared" si="9"/>
        <v>6.2213128352596361E-4</v>
      </c>
      <c r="X61" s="327">
        <v>45</v>
      </c>
      <c r="Y61" s="328">
        <v>2</v>
      </c>
      <c r="Z61" s="341">
        <f>463*W61</f>
        <v>0.28804678427252117</v>
      </c>
      <c r="AA61" s="334">
        <f>Z61/3.6*1000000*[3]Electricity!$I$94/1000000*1000</f>
        <v>47.544750485269986</v>
      </c>
      <c r="AB61" s="333">
        <f t="shared" si="10"/>
        <v>0</v>
      </c>
      <c r="AC61" s="327">
        <v>0</v>
      </c>
      <c r="AD61" s="328">
        <v>2</v>
      </c>
      <c r="AE61" s="335">
        <f>463*AB61</f>
        <v>0</v>
      </c>
      <c r="AF61" s="336"/>
      <c r="AG61" s="337">
        <f t="shared" si="11"/>
        <v>0</v>
      </c>
      <c r="AH61" s="327">
        <v>0</v>
      </c>
      <c r="AI61" s="338"/>
      <c r="AJ61" s="335">
        <f>463*AG61</f>
        <v>0</v>
      </c>
      <c r="AK61" s="338"/>
      <c r="AL61" s="333">
        <f t="shared" si="12"/>
        <v>0</v>
      </c>
      <c r="AM61" s="327">
        <v>0</v>
      </c>
      <c r="AN61" s="338"/>
      <c r="AO61" s="338"/>
      <c r="AP61" s="321">
        <v>0</v>
      </c>
      <c r="AQ61" s="335">
        <f>463*AL61</f>
        <v>0</v>
      </c>
      <c r="AR61" s="336"/>
      <c r="AS61" s="331">
        <f t="shared" si="13"/>
        <v>0</v>
      </c>
      <c r="AT61" s="327">
        <v>0</v>
      </c>
      <c r="AU61" s="339">
        <v>0</v>
      </c>
      <c r="AV61" s="329">
        <f>463*AS61</f>
        <v>0</v>
      </c>
      <c r="AW61" s="340">
        <v>0</v>
      </c>
      <c r="AX61" s="331">
        <f t="shared" si="14"/>
        <v>0</v>
      </c>
      <c r="AY61" s="327">
        <v>0</v>
      </c>
      <c r="AZ61" s="339">
        <v>0</v>
      </c>
      <c r="BA61" s="329">
        <f>463*AX61</f>
        <v>0</v>
      </c>
      <c r="BB61" s="340">
        <v>0</v>
      </c>
    </row>
    <row r="62" spans="1:60" s="321" customFormat="1" ht="15.75" outlineLevel="1">
      <c r="A62" s="317" t="s">
        <v>370</v>
      </c>
      <c r="B62" s="318">
        <f>SUM(D34:D36)/C62*1000000</f>
        <v>38865.533450453448</v>
      </c>
      <c r="C62" s="342">
        <f>SUM(B34:B36)</f>
        <v>21061</v>
      </c>
      <c r="D62" s="320">
        <f t="shared" si="1"/>
        <v>27.845686339679975</v>
      </c>
      <c r="F62" s="322">
        <f t="shared" si="2"/>
        <v>18971.894876786479</v>
      </c>
      <c r="G62" s="323">
        <f t="shared" si="3"/>
        <v>18999.740563126157</v>
      </c>
      <c r="H62" s="324">
        <f t="shared" si="4"/>
        <v>4596.1846526244071</v>
      </c>
      <c r="I62" s="325"/>
      <c r="J62" s="322">
        <f t="shared" si="5"/>
        <v>1340260.6584386679</v>
      </c>
      <c r="K62" s="323">
        <f>P62+U62++AA62+AF62+AK62+AR62+AW62</f>
        <v>1344856.8430912923</v>
      </c>
      <c r="L62" s="326">
        <f t="shared" si="6"/>
        <v>0</v>
      </c>
      <c r="M62" s="327">
        <v>0</v>
      </c>
      <c r="N62" s="328">
        <v>0</v>
      </c>
      <c r="O62" s="329">
        <f>18918*L62</f>
        <v>0</v>
      </c>
      <c r="P62" s="330">
        <v>0</v>
      </c>
      <c r="Q62" s="331">
        <f t="shared" si="7"/>
        <v>0.81344665495465551</v>
      </c>
      <c r="R62" s="327">
        <v>17132</v>
      </c>
      <c r="S62" s="332">
        <f>T62*1000000000/'[3]EF-1'!$B$16*'[3]EF-1'!$U$11/R62/B62*100</f>
        <v>45.337945562199863</v>
      </c>
      <c r="T62" s="329">
        <f>18918*Q62</f>
        <v>15388.783818432174</v>
      </c>
      <c r="U62" s="323">
        <v>1111536.4029493299</v>
      </c>
      <c r="V62" s="317" t="str">
        <f t="shared" si="8"/>
        <v>Bus</v>
      </c>
      <c r="W62" s="333">
        <f t="shared" si="9"/>
        <v>1.4719149138217558E-3</v>
      </c>
      <c r="X62" s="327">
        <v>31</v>
      </c>
      <c r="Y62" s="328">
        <v>100</v>
      </c>
      <c r="Z62" s="329">
        <f>18918*W62</f>
        <v>27.845686339679975</v>
      </c>
      <c r="AA62" s="334">
        <f>Z62/3.6*1000000*[3]Electricity!$I$94/1000000*1000</f>
        <v>4596.1846526244071</v>
      </c>
      <c r="AB62" s="333">
        <f t="shared" si="10"/>
        <v>0</v>
      </c>
      <c r="AC62" s="327">
        <v>0</v>
      </c>
      <c r="AD62" s="328">
        <v>50</v>
      </c>
      <c r="AE62" s="335">
        <f>18918*AB62</f>
        <v>0</v>
      </c>
      <c r="AF62" s="336"/>
      <c r="AG62" s="337">
        <f t="shared" si="11"/>
        <v>0</v>
      </c>
      <c r="AH62" s="327">
        <v>0</v>
      </c>
      <c r="AI62" s="338"/>
      <c r="AJ62" s="335">
        <f>18918*AG62</f>
        <v>0</v>
      </c>
      <c r="AK62" s="338"/>
      <c r="AL62" s="333">
        <f t="shared" si="12"/>
        <v>0</v>
      </c>
      <c r="AM62" s="327">
        <v>0</v>
      </c>
      <c r="AN62" s="338">
        <f>45/100</f>
        <v>0.45</v>
      </c>
      <c r="AO62" s="338"/>
      <c r="AP62" s="321">
        <v>0</v>
      </c>
      <c r="AQ62" s="335">
        <f>18918*AL62</f>
        <v>0</v>
      </c>
      <c r="AR62" s="336"/>
      <c r="AS62" s="331">
        <f t="shared" si="13"/>
        <v>0.18940221262048335</v>
      </c>
      <c r="AT62" s="327">
        <v>3989</v>
      </c>
      <c r="AU62" s="339">
        <v>17.534994425552124</v>
      </c>
      <c r="AV62" s="329">
        <f>18918*AS62</f>
        <v>3583.1110583543041</v>
      </c>
      <c r="AW62" s="340">
        <v>228724.25548933807</v>
      </c>
      <c r="AX62" s="331">
        <f t="shared" si="14"/>
        <v>0</v>
      </c>
      <c r="AY62" s="327">
        <v>0</v>
      </c>
      <c r="AZ62">
        <v>83.2</v>
      </c>
      <c r="BA62" s="329">
        <f>18918*AX62</f>
        <v>0</v>
      </c>
      <c r="BB62" s="340">
        <v>0</v>
      </c>
    </row>
    <row r="63" spans="1:60" s="321" customFormat="1" ht="15.75" outlineLevel="1">
      <c r="A63" s="317" t="s">
        <v>301</v>
      </c>
      <c r="B63" s="318">
        <f>D37/C63*1000000</f>
        <v>148968.85444166698</v>
      </c>
      <c r="C63" s="319">
        <f>B37</f>
        <v>18163</v>
      </c>
      <c r="D63" s="320">
        <f t="shared" si="1"/>
        <v>0.67654021912679618</v>
      </c>
      <c r="F63" s="322">
        <f t="shared" si="2"/>
        <v>12287.323459780873</v>
      </c>
      <c r="G63" s="323">
        <f t="shared" si="3"/>
        <v>12288</v>
      </c>
      <c r="H63" s="324">
        <f t="shared" si="4"/>
        <v>111.6691373343061</v>
      </c>
      <c r="I63" s="325"/>
      <c r="J63" s="322">
        <f t="shared" si="5"/>
        <v>787426.43625755259</v>
      </c>
      <c r="K63" s="323">
        <f>P63+U63++AA63+AF63+AK63+AR63+AW63</f>
        <v>787538.10539488692</v>
      </c>
      <c r="L63" s="326">
        <f t="shared" si="6"/>
        <v>5.5056983978417665E-4</v>
      </c>
      <c r="M63" s="327">
        <v>10</v>
      </c>
      <c r="N63" s="328">
        <v>10.600607605859013</v>
      </c>
      <c r="O63" s="329">
        <f>12288*L63</f>
        <v>6.7654021912679632</v>
      </c>
      <c r="P63" s="330">
        <v>457.34118812971428</v>
      </c>
      <c r="Q63" s="331">
        <f t="shared" si="7"/>
        <v>0</v>
      </c>
      <c r="R63" s="327">
        <v>0</v>
      </c>
      <c r="S63" s="332"/>
      <c r="T63" s="329">
        <f>12288*Q63</f>
        <v>0</v>
      </c>
      <c r="U63" s="323">
        <v>0</v>
      </c>
      <c r="V63" s="317" t="str">
        <f t="shared" si="8"/>
        <v>Taxi</v>
      </c>
      <c r="W63" s="333">
        <f t="shared" si="9"/>
        <v>5.5056983978417663E-5</v>
      </c>
      <c r="X63" s="327">
        <v>1</v>
      </c>
      <c r="Y63" s="328">
        <v>16</v>
      </c>
      <c r="Z63" s="329">
        <f>12288*W63</f>
        <v>0.67654021912679618</v>
      </c>
      <c r="AA63" s="334">
        <f>Z63/3.6*1000000*[3]Electricity!$I$94/1000000*1000</f>
        <v>111.6691373343061</v>
      </c>
      <c r="AB63" s="333">
        <f t="shared" si="10"/>
        <v>0</v>
      </c>
      <c r="AC63" s="327">
        <v>0</v>
      </c>
      <c r="AD63" s="328">
        <v>5</v>
      </c>
      <c r="AE63" s="335">
        <f>12288*AB63</f>
        <v>0</v>
      </c>
      <c r="AF63" s="336"/>
      <c r="AG63" s="337">
        <f t="shared" si="11"/>
        <v>0</v>
      </c>
      <c r="AH63" s="327">
        <v>0</v>
      </c>
      <c r="AI63" s="338"/>
      <c r="AJ63" s="335">
        <f>12288*AG63</f>
        <v>0</v>
      </c>
      <c r="AK63" s="338"/>
      <c r="AL63" s="333">
        <f t="shared" si="12"/>
        <v>0</v>
      </c>
      <c r="AM63" s="327">
        <v>0</v>
      </c>
      <c r="AN63" s="338">
        <f>8/100</f>
        <v>0.08</v>
      </c>
      <c r="AO63" s="338"/>
      <c r="AQ63" s="335">
        <f>12288*AL63</f>
        <v>0</v>
      </c>
      <c r="AR63" s="336"/>
      <c r="AS63" s="331">
        <f t="shared" si="13"/>
        <v>0.99939437317623736</v>
      </c>
      <c r="AT63" s="327">
        <f>15239+2838+75</f>
        <v>18152</v>
      </c>
      <c r="AU63" s="339">
        <v>18.252049891419901</v>
      </c>
      <c r="AV63" s="329">
        <f>12288*AS63</f>
        <v>12280.558057589606</v>
      </c>
      <c r="AW63" s="340">
        <v>786969.09506942285</v>
      </c>
      <c r="AX63" s="331">
        <f t="shared" si="14"/>
        <v>0</v>
      </c>
      <c r="AY63" s="327">
        <v>0</v>
      </c>
      <c r="AZ63" s="339">
        <v>18.252049891419901</v>
      </c>
      <c r="BA63" s="329">
        <f>12288*AX63</f>
        <v>0</v>
      </c>
      <c r="BB63" s="340">
        <v>0</v>
      </c>
    </row>
    <row r="64" spans="1:60" s="321" customFormat="1" ht="15.75" outlineLevel="1">
      <c r="A64" s="317" t="s">
        <v>371</v>
      </c>
      <c r="B64" s="318">
        <f>D50/C64*1000000</f>
        <v>29183.071458671962</v>
      </c>
      <c r="C64" s="343">
        <f>B50</f>
        <v>116277</v>
      </c>
      <c r="D64" s="320">
        <f t="shared" si="1"/>
        <v>38.906602337521605</v>
      </c>
      <c r="F64" s="322">
        <f t="shared" si="2"/>
        <v>24750.126800657054</v>
      </c>
      <c r="G64" s="323">
        <f t="shared" si="3"/>
        <v>24789.033402994573</v>
      </c>
      <c r="H64" s="324">
        <f t="shared" si="4"/>
        <v>6421.8897809912223</v>
      </c>
      <c r="I64" s="325"/>
      <c r="J64" s="322">
        <f t="shared" si="5"/>
        <v>1788353.3183830981</v>
      </c>
      <c r="K64" s="344">
        <f>P64+U64++AA64+AF64+AK64+AR64+AW64</f>
        <v>1794775.2081640894</v>
      </c>
      <c r="L64" s="345">
        <f t="shared" si="6"/>
        <v>8.2045460409195282E-3</v>
      </c>
      <c r="M64" s="346">
        <f>SUM(M65:M68)</f>
        <v>954</v>
      </c>
      <c r="N64" s="328">
        <v>10.600607605859013</v>
      </c>
      <c r="O64" s="347">
        <f>24721*L64</f>
        <v>202.82458267757167</v>
      </c>
      <c r="P64" s="330">
        <v>13673.31216412086</v>
      </c>
      <c r="Q64" s="348">
        <f t="shared" si="7"/>
        <v>0.99119344324328973</v>
      </c>
      <c r="R64" s="346">
        <f>SUM(R65:R68)</f>
        <v>115253</v>
      </c>
      <c r="S64" s="332">
        <f>T64*1000000000/'[3]EF-1'!$B$16*'[3]EF-1'!$U$11/R64/B64*100</f>
        <v>14.291290737790865</v>
      </c>
      <c r="T64" s="347">
        <f>24721*Q64</f>
        <v>24503.293110417366</v>
      </c>
      <c r="U64" s="344">
        <v>1771894.7054804822</v>
      </c>
      <c r="V64" s="317" t="str">
        <f t="shared" si="8"/>
        <v>Freight</v>
      </c>
      <c r="W64" s="349">
        <f t="shared" si="9"/>
        <v>1.5738280141386516E-3</v>
      </c>
      <c r="X64" s="346">
        <f>SUM(X65:X68)</f>
        <v>183</v>
      </c>
      <c r="Y64" s="350">
        <v>100</v>
      </c>
      <c r="Z64" s="347">
        <f>24721*W64</f>
        <v>38.906602337521605</v>
      </c>
      <c r="AA64" s="334">
        <f>Z64/3.6*1000000*[3]Electricity!$I$94/1000000*1000</f>
        <v>6421.8897809912223</v>
      </c>
      <c r="AB64" s="349">
        <f t="shared" si="10"/>
        <v>1.7200306165449745E-5</v>
      </c>
      <c r="AC64" s="346">
        <f>SUM(AC65:AC68)</f>
        <v>2</v>
      </c>
      <c r="AD64" s="350"/>
      <c r="AE64" s="351">
        <f>24721*AB64</f>
        <v>0.42520876871608315</v>
      </c>
      <c r="AF64" s="352"/>
      <c r="AG64" s="353">
        <f t="shared" si="11"/>
        <v>0</v>
      </c>
      <c r="AH64" s="346">
        <f>SUM(AH65:AH68)</f>
        <v>0</v>
      </c>
      <c r="AI64" s="354"/>
      <c r="AJ64" s="346">
        <f>24721*AG64</f>
        <v>0</v>
      </c>
      <c r="AK64" s="354"/>
      <c r="AL64" s="349">
        <f t="shared" si="12"/>
        <v>0</v>
      </c>
      <c r="AM64" s="346">
        <f>SUM(AM65:AM68)</f>
        <v>0</v>
      </c>
      <c r="AN64" s="354">
        <f>45/100</f>
        <v>0.45</v>
      </c>
      <c r="AO64" s="354"/>
      <c r="AP64" s="321">
        <v>0</v>
      </c>
      <c r="AQ64" s="346">
        <f>24721*AL64</f>
        <v>0</v>
      </c>
      <c r="AR64" s="352"/>
      <c r="AS64" s="348">
        <f t="shared" si="13"/>
        <v>1.7630313819585988E-3</v>
      </c>
      <c r="AT64" s="346">
        <f>SUM(AT65:AT68)</f>
        <v>205</v>
      </c>
      <c r="AU64" s="355">
        <v>5.3845709398698628E-2</v>
      </c>
      <c r="AV64" s="347">
        <f>24721*AS64</f>
        <v>43.583898793398525</v>
      </c>
      <c r="AW64" s="356">
        <v>2785.3007384949651</v>
      </c>
      <c r="AX64" s="331">
        <f t="shared" si="14"/>
        <v>0</v>
      </c>
      <c r="AY64" s="327">
        <v>0</v>
      </c>
      <c r="AZ64" s="355">
        <f>23.6/'[3]EF-1'!$U$22</f>
        <v>56.433107618487192</v>
      </c>
      <c r="BA64" s="347">
        <f>24721*AX64</f>
        <v>0</v>
      </c>
      <c r="BB64" s="356">
        <v>0</v>
      </c>
      <c r="BC64"/>
    </row>
    <row r="65" spans="1:59" s="321" customFormat="1" outlineLevel="1">
      <c r="A65" s="357" t="s">
        <v>372</v>
      </c>
      <c r="B65" s="358">
        <f>C48</f>
        <v>31356.01465961794</v>
      </c>
      <c r="C65" s="319">
        <f>B48</f>
        <v>30833</v>
      </c>
      <c r="D65" s="320">
        <f t="shared" si="1"/>
        <v>0</v>
      </c>
      <c r="F65" s="322">
        <f t="shared" si="2"/>
        <v>0</v>
      </c>
      <c r="G65" s="323">
        <f t="shared" si="3"/>
        <v>0</v>
      </c>
      <c r="H65" s="324">
        <f t="shared" si="4"/>
        <v>0</v>
      </c>
      <c r="I65" s="325"/>
      <c r="J65" s="322">
        <f t="shared" si="5"/>
        <v>0</v>
      </c>
      <c r="K65" s="336"/>
      <c r="L65" s="326">
        <f t="shared" si="6"/>
        <v>0</v>
      </c>
      <c r="M65" s="327">
        <v>0</v>
      </c>
      <c r="N65" s="359"/>
      <c r="O65" s="360"/>
      <c r="P65" s="336"/>
      <c r="Q65" s="331">
        <f t="shared" si="7"/>
        <v>0.19106152498945936</v>
      </c>
      <c r="R65" s="327">
        <v>5891</v>
      </c>
      <c r="S65" s="359"/>
      <c r="T65" s="360"/>
      <c r="U65" s="336"/>
      <c r="V65" s="357" t="str">
        <f t="shared" si="8"/>
        <v xml:space="preserve">Heavy </v>
      </c>
      <c r="W65" s="333">
        <f t="shared" si="9"/>
        <v>0</v>
      </c>
      <c r="X65" s="327">
        <v>0</v>
      </c>
      <c r="Y65" s="361"/>
      <c r="Z65" s="329"/>
      <c r="AA65" s="338"/>
      <c r="AB65" s="333">
        <f t="shared" si="10"/>
        <v>0</v>
      </c>
      <c r="AC65" s="327">
        <v>0</v>
      </c>
      <c r="AD65" s="328"/>
      <c r="AE65" s="360"/>
      <c r="AF65" s="336"/>
      <c r="AG65" s="337">
        <f t="shared" si="11"/>
        <v>0</v>
      </c>
      <c r="AH65" s="327">
        <v>0</v>
      </c>
      <c r="AI65" s="338"/>
      <c r="AJ65" s="360"/>
      <c r="AK65" s="338"/>
      <c r="AL65" s="333">
        <f t="shared" si="12"/>
        <v>0</v>
      </c>
      <c r="AM65" s="327">
        <v>0</v>
      </c>
      <c r="AN65" s="338"/>
      <c r="AO65" s="338"/>
      <c r="AP65" s="321">
        <v>0</v>
      </c>
      <c r="AQ65" s="360"/>
      <c r="AR65" s="336"/>
      <c r="AS65" s="331">
        <f t="shared" si="13"/>
        <v>0</v>
      </c>
      <c r="AT65" s="327">
        <v>0</v>
      </c>
      <c r="AU65" s="338"/>
      <c r="AV65" s="329"/>
      <c r="AW65" s="362"/>
      <c r="AX65" s="331">
        <v>0</v>
      </c>
      <c r="AY65" s="327">
        <v>0</v>
      </c>
      <c r="AZ65" s="338"/>
      <c r="BA65" s="329"/>
      <c r="BB65" s="362"/>
    </row>
    <row r="66" spans="1:59" s="321" customFormat="1" outlineLevel="1">
      <c r="A66" s="357" t="s">
        <v>373</v>
      </c>
      <c r="B66" s="363">
        <f>C47</f>
        <v>31355.975485188967</v>
      </c>
      <c r="C66" s="319">
        <f>B47</f>
        <v>11748</v>
      </c>
      <c r="D66" s="320">
        <f t="shared" si="1"/>
        <v>0</v>
      </c>
      <c r="F66" s="322">
        <f t="shared" si="2"/>
        <v>0</v>
      </c>
      <c r="G66" s="323">
        <f t="shared" si="3"/>
        <v>0</v>
      </c>
      <c r="H66" s="324">
        <f t="shared" si="4"/>
        <v>0</v>
      </c>
      <c r="I66" s="325"/>
      <c r="J66" s="322">
        <f t="shared" si="5"/>
        <v>0</v>
      </c>
      <c r="K66" s="336"/>
      <c r="L66" s="326">
        <f t="shared" si="6"/>
        <v>0</v>
      </c>
      <c r="M66" s="327">
        <v>0</v>
      </c>
      <c r="N66" s="359"/>
      <c r="O66" s="360"/>
      <c r="P66" s="336"/>
      <c r="Q66" s="331">
        <f t="shared" si="7"/>
        <v>3.1501532175689477</v>
      </c>
      <c r="R66" s="327">
        <v>37008</v>
      </c>
      <c r="S66" s="359"/>
      <c r="T66" s="360"/>
      <c r="U66" s="336"/>
      <c r="V66" s="357" t="str">
        <f t="shared" si="8"/>
        <v xml:space="preserve">Medium </v>
      </c>
      <c r="W66" s="333">
        <f t="shared" si="9"/>
        <v>1.7024174327545113E-4</v>
      </c>
      <c r="X66" s="327">
        <v>2</v>
      </c>
      <c r="Y66" s="361"/>
      <c r="Z66" s="329"/>
      <c r="AA66" s="338"/>
      <c r="AB66" s="333">
        <f t="shared" si="10"/>
        <v>0</v>
      </c>
      <c r="AC66" s="327">
        <v>0</v>
      </c>
      <c r="AD66" s="328"/>
      <c r="AE66" s="360"/>
      <c r="AF66" s="336"/>
      <c r="AG66" s="337">
        <f t="shared" si="11"/>
        <v>0</v>
      </c>
      <c r="AH66" s="327">
        <v>0</v>
      </c>
      <c r="AI66" s="338"/>
      <c r="AJ66" s="360"/>
      <c r="AK66" s="338"/>
      <c r="AL66" s="333">
        <f t="shared" si="12"/>
        <v>0</v>
      </c>
      <c r="AM66" s="327">
        <v>0</v>
      </c>
      <c r="AN66" s="338"/>
      <c r="AO66" s="338"/>
      <c r="AP66" s="321">
        <v>0</v>
      </c>
      <c r="AQ66" s="360"/>
      <c r="AR66" s="336"/>
      <c r="AS66" s="331">
        <f t="shared" si="13"/>
        <v>0</v>
      </c>
      <c r="AT66" s="327">
        <v>0</v>
      </c>
      <c r="AU66" s="338"/>
      <c r="AV66" s="329"/>
      <c r="AW66" s="362"/>
      <c r="AX66" s="331">
        <v>0</v>
      </c>
      <c r="AY66" s="327">
        <v>0</v>
      </c>
      <c r="AZ66" s="338"/>
      <c r="BA66" s="329"/>
      <c r="BB66" s="362"/>
    </row>
    <row r="67" spans="1:59" s="321" customFormat="1" outlineLevel="1">
      <c r="A67" s="357" t="s">
        <v>374</v>
      </c>
      <c r="B67" s="358">
        <f>C46</f>
        <v>28642.702070808282</v>
      </c>
      <c r="C67" s="319">
        <f>B46</f>
        <v>71856</v>
      </c>
      <c r="D67" s="320">
        <f t="shared" si="1"/>
        <v>0</v>
      </c>
      <c r="F67" s="322">
        <f t="shared" si="2"/>
        <v>0</v>
      </c>
      <c r="G67" s="323">
        <f t="shared" si="3"/>
        <v>0</v>
      </c>
      <c r="H67" s="324">
        <f t="shared" si="4"/>
        <v>0</v>
      </c>
      <c r="I67" s="325"/>
      <c r="J67" s="322">
        <f t="shared" si="5"/>
        <v>0</v>
      </c>
      <c r="K67" s="336"/>
      <c r="L67" s="326">
        <f t="shared" si="6"/>
        <v>1.2065798263193053E-2</v>
      </c>
      <c r="M67" s="327">
        <v>867</v>
      </c>
      <c r="N67" s="359"/>
      <c r="O67" s="360"/>
      <c r="P67" s="336"/>
      <c r="Q67" s="331">
        <f t="shared" si="7"/>
        <v>0.98690436428412376</v>
      </c>
      <c r="R67" s="327">
        <v>70915</v>
      </c>
      <c r="S67" s="359"/>
      <c r="T67" s="360"/>
      <c r="U67" s="336"/>
      <c r="V67" s="357" t="str">
        <f t="shared" si="8"/>
        <v xml:space="preserve">Light </v>
      </c>
      <c r="W67" s="333">
        <f t="shared" si="9"/>
        <v>1.029837452683144E-3</v>
      </c>
      <c r="X67" s="327">
        <v>74</v>
      </c>
      <c r="Y67" s="328">
        <v>16</v>
      </c>
      <c r="Z67" s="329"/>
      <c r="AA67" s="338"/>
      <c r="AB67" s="333">
        <f t="shared" si="10"/>
        <v>0</v>
      </c>
      <c r="AC67" s="327">
        <v>0</v>
      </c>
      <c r="AD67" s="328"/>
      <c r="AE67" s="360"/>
      <c r="AF67" s="336"/>
      <c r="AG67" s="337">
        <f t="shared" si="11"/>
        <v>0</v>
      </c>
      <c r="AH67" s="327">
        <v>0</v>
      </c>
      <c r="AI67" s="338"/>
      <c r="AJ67" s="360"/>
      <c r="AK67" s="338"/>
      <c r="AL67" s="333">
        <f t="shared" si="12"/>
        <v>0</v>
      </c>
      <c r="AM67" s="327">
        <v>0</v>
      </c>
      <c r="AN67" s="338"/>
      <c r="AO67" s="338"/>
      <c r="AP67" s="321">
        <v>0</v>
      </c>
      <c r="AQ67" s="360"/>
      <c r="AR67" s="336"/>
      <c r="AS67" s="331">
        <f t="shared" si="13"/>
        <v>0</v>
      </c>
      <c r="AT67" s="327">
        <v>0</v>
      </c>
      <c r="AU67" s="338"/>
      <c r="AV67" s="329"/>
      <c r="AW67" s="362"/>
      <c r="AX67" s="331">
        <v>0</v>
      </c>
      <c r="AY67" s="327">
        <v>0</v>
      </c>
      <c r="AZ67" s="338"/>
      <c r="BA67" s="329"/>
      <c r="BB67" s="362"/>
    </row>
    <row r="68" spans="1:59" s="321" customFormat="1" outlineLevel="1">
      <c r="A68" s="364" t="s">
        <v>375</v>
      </c>
      <c r="B68" s="365"/>
      <c r="C68" s="366">
        <f>B49</f>
        <v>1840</v>
      </c>
      <c r="D68" s="367">
        <f t="shared" si="1"/>
        <v>0</v>
      </c>
      <c r="E68" s="368"/>
      <c r="F68" s="369">
        <f t="shared" si="2"/>
        <v>0</v>
      </c>
      <c r="G68" s="370">
        <f t="shared" si="3"/>
        <v>0</v>
      </c>
      <c r="H68" s="371">
        <f t="shared" si="4"/>
        <v>0</v>
      </c>
      <c r="I68" s="372"/>
      <c r="J68" s="369">
        <f t="shared" si="5"/>
        <v>0</v>
      </c>
      <c r="K68" s="373"/>
      <c r="L68" s="374">
        <f t="shared" si="6"/>
        <v>4.7282608695652172E-2</v>
      </c>
      <c r="M68" s="375">
        <v>87</v>
      </c>
      <c r="N68" s="376"/>
      <c r="O68" s="377"/>
      <c r="P68" s="373"/>
      <c r="Q68" s="378">
        <f t="shared" si="7"/>
        <v>0.7820652173913043</v>
      </c>
      <c r="R68" s="375">
        <v>1439</v>
      </c>
      <c r="S68" s="376"/>
      <c r="T68" s="377"/>
      <c r="U68" s="373"/>
      <c r="V68" s="364" t="str">
        <f t="shared" si="8"/>
        <v>Special purpose</v>
      </c>
      <c r="W68" s="379">
        <f t="shared" si="9"/>
        <v>5.8152173913043476E-2</v>
      </c>
      <c r="X68" s="375">
        <v>107</v>
      </c>
      <c r="Y68" s="380"/>
      <c r="Z68" s="381"/>
      <c r="AA68" s="382"/>
      <c r="AB68" s="379">
        <f t="shared" si="10"/>
        <v>1.0869565217391304E-3</v>
      </c>
      <c r="AC68" s="375">
        <v>2</v>
      </c>
      <c r="AD68" s="383"/>
      <c r="AE68" s="377"/>
      <c r="AF68" s="373"/>
      <c r="AG68" s="384">
        <f t="shared" si="11"/>
        <v>0</v>
      </c>
      <c r="AH68" s="375">
        <v>0</v>
      </c>
      <c r="AI68" s="382"/>
      <c r="AJ68" s="377"/>
      <c r="AK68" s="382"/>
      <c r="AL68" s="379">
        <f t="shared" si="12"/>
        <v>0</v>
      </c>
      <c r="AM68" s="375">
        <v>0</v>
      </c>
      <c r="AN68" s="382"/>
      <c r="AO68" s="382"/>
      <c r="AP68" s="382">
        <v>0</v>
      </c>
      <c r="AQ68" s="377"/>
      <c r="AR68" s="373"/>
      <c r="AS68" s="378">
        <f t="shared" si="13"/>
        <v>0.11141304347826086</v>
      </c>
      <c r="AT68" s="375">
        <v>205</v>
      </c>
      <c r="AU68" s="382"/>
      <c r="AV68" s="381"/>
      <c r="AW68" s="385"/>
      <c r="AX68" s="331">
        <v>0</v>
      </c>
      <c r="AY68" s="327">
        <v>0</v>
      </c>
      <c r="AZ68" s="382"/>
      <c r="BA68" s="381"/>
      <c r="BB68" s="385"/>
    </row>
    <row r="69" spans="1:59" s="92" customFormat="1" outlineLevel="1">
      <c r="A69" s="171" t="s">
        <v>376</v>
      </c>
      <c r="B69" s="386"/>
      <c r="C69" s="319">
        <f t="shared" ref="C69:K69" si="15">SUM(C60:C64)</f>
        <v>810870</v>
      </c>
      <c r="D69" s="320">
        <f t="shared" si="15"/>
        <v>335.71761834358801</v>
      </c>
      <c r="E69" s="92">
        <f t="shared" si="15"/>
        <v>0</v>
      </c>
      <c r="F69" s="322">
        <f t="shared" si="15"/>
        <v>79085.056347777136</v>
      </c>
      <c r="G69" s="319">
        <f t="shared" si="15"/>
        <v>79420.773966120731</v>
      </c>
      <c r="H69" s="186">
        <f t="shared" si="15"/>
        <v>55413.256697056902</v>
      </c>
      <c r="I69" s="242">
        <f t="shared" si="15"/>
        <v>0</v>
      </c>
      <c r="J69" s="242">
        <f t="shared" si="15"/>
        <v>5477309.4742264748</v>
      </c>
      <c r="K69" s="323">
        <f t="shared" si="15"/>
        <v>5532722.7309235316</v>
      </c>
      <c r="L69" s="387"/>
      <c r="M69" s="388">
        <f>SUM(M60:M64)</f>
        <v>641889</v>
      </c>
      <c r="N69" s="109"/>
      <c r="O69" s="109">
        <f>SUM(O60:O64)</f>
        <v>22988.220272598501</v>
      </c>
      <c r="P69" s="389">
        <f>SUM(P60:P64)</f>
        <v>1553966.0608027757</v>
      </c>
      <c r="Q69"/>
      <c r="R69">
        <f>SUM(R60:R64)</f>
        <v>139917</v>
      </c>
      <c r="S69"/>
      <c r="T69">
        <f>SUM(T60:T64)</f>
        <v>40187.666560382357</v>
      </c>
      <c r="U69" s="322">
        <f>SUM(U60:U64)</f>
        <v>2904864.762126443</v>
      </c>
      <c r="V69" s="390" t="str">
        <f t="shared" si="8"/>
        <v>Sub-total road vehicle</v>
      </c>
      <c r="W69"/>
      <c r="X69">
        <f>SUM(X60:X64)</f>
        <v>7089</v>
      </c>
      <c r="Y69"/>
      <c r="Z69" s="391">
        <f>SUM(Z60:Z64)</f>
        <v>335.71761834358801</v>
      </c>
      <c r="AA69" s="128">
        <f>SUM(AA60:AA64)</f>
        <v>55413.256697056902</v>
      </c>
      <c r="AB69" s="183"/>
      <c r="AC69">
        <f>SUM(AC60:AC64)</f>
        <v>40</v>
      </c>
      <c r="AD69"/>
      <c r="AE69" s="392">
        <f>SUM(AE60:AE64)</f>
        <v>1.9165000589772498</v>
      </c>
      <c r="AF69" s="114">
        <f>SUM(AF60:AF64)</f>
        <v>0</v>
      </c>
      <c r="AG69" s="181"/>
      <c r="AH69" s="109">
        <f>SUM(AH60:AH64)</f>
        <v>0</v>
      </c>
      <c r="AI69" s="109"/>
      <c r="AJ69" s="109">
        <f>SUM(AJ60:AJ64)</f>
        <v>0</v>
      </c>
      <c r="AK69" s="110">
        <f>SUM(AK60:AK64)</f>
        <v>0</v>
      </c>
      <c r="AL69"/>
      <c r="AM69">
        <f>SUM(AM60:AM64)</f>
        <v>0</v>
      </c>
      <c r="AN69"/>
      <c r="AO69"/>
      <c r="AP69"/>
      <c r="AQ69">
        <f>SUM(AQ60:AQ64)</f>
        <v>0</v>
      </c>
      <c r="AR69">
        <f>SUM(AR60:AR64)</f>
        <v>0</v>
      </c>
      <c r="AS69"/>
      <c r="AT69" s="128">
        <f>SUM(AT60:AT64)</f>
        <v>22346</v>
      </c>
      <c r="AU69"/>
      <c r="AV69" s="128">
        <f>SUM(AV60:AV64)</f>
        <v>15907.253014737309</v>
      </c>
      <c r="AW69" s="393">
        <f>SUM(AW60:AW64)</f>
        <v>1018478.6512972559</v>
      </c>
      <c r="AX69"/>
      <c r="AY69" s="128">
        <f>SUM(AY60:AY64)</f>
        <v>0</v>
      </c>
      <c r="AZ69"/>
      <c r="BA69" s="128">
        <f>SUM(BA60:BA64)</f>
        <v>0</v>
      </c>
      <c r="BB69" s="393">
        <f>SUM(BB60:BB64)</f>
        <v>0</v>
      </c>
    </row>
    <row r="70" spans="1:59" s="92" customFormat="1" outlineLevel="1">
      <c r="A70" s="171" t="s">
        <v>377</v>
      </c>
      <c r="B70" s="386"/>
      <c r="C70" s="394"/>
      <c r="D70" s="320">
        <f>+Z70</f>
        <v>2951</v>
      </c>
      <c r="F70" s="322">
        <f>+G70-E70-D70</f>
        <v>0</v>
      </c>
      <c r="G70" s="319">
        <f>O70+T70++Z70+AE70+AJ70+AQ70+AV70</f>
        <v>2951</v>
      </c>
      <c r="H70" s="324">
        <f>+AA70</f>
        <v>500420.54001673951</v>
      </c>
      <c r="J70" s="322">
        <f>+K70-I70-H70</f>
        <v>0</v>
      </c>
      <c r="K70" s="323">
        <f>P70+U70++AA70+AF70+AK70+AR70+AW70</f>
        <v>500420.54001673951</v>
      </c>
      <c r="L70" s="238"/>
      <c r="M70" s="52"/>
      <c r="N70"/>
      <c r="O70" s="57"/>
      <c r="P70" s="114"/>
      <c r="Q70"/>
      <c r="R70"/>
      <c r="S70"/>
      <c r="T70"/>
      <c r="U70" s="322"/>
      <c r="V70" s="395" t="str">
        <f t="shared" si="8"/>
        <v>MTR &amp; tram</v>
      </c>
      <c r="W70"/>
      <c r="X70"/>
      <c r="Y70"/>
      <c r="Z70" s="396">
        <v>2951</v>
      </c>
      <c r="AA70" s="128">
        <f>+Z70*[3]Electricity!J96*1000</f>
        <v>500420.54001673951</v>
      </c>
      <c r="AB70" s="183"/>
      <c r="AC70"/>
      <c r="AD70"/>
      <c r="AE70"/>
      <c r="AF70" s="114"/>
      <c r="AG70" s="183"/>
      <c r="AH70"/>
      <c r="AI70"/>
      <c r="AJ70"/>
      <c r="AK70" s="114"/>
      <c r="AL70"/>
      <c r="AM70"/>
      <c r="AN70"/>
      <c r="AO70"/>
      <c r="AQ70"/>
      <c r="AR70"/>
      <c r="AS70"/>
      <c r="AT70"/>
      <c r="AU70"/>
      <c r="AV70"/>
      <c r="AW70" s="184"/>
      <c r="AX70"/>
      <c r="AY70"/>
      <c r="AZ70"/>
      <c r="BA70"/>
      <c r="BB70" s="184"/>
    </row>
    <row r="71" spans="1:59" s="92" customFormat="1" outlineLevel="1">
      <c r="A71" s="171" t="s">
        <v>378</v>
      </c>
      <c r="B71" s="386"/>
      <c r="C71" s="394"/>
      <c r="D71" s="320">
        <f>+Z71</f>
        <v>0</v>
      </c>
      <c r="F71" s="322">
        <f>+G71-E71-D71</f>
        <v>4636</v>
      </c>
      <c r="G71" s="319">
        <f>O71+T71++Z71+AE71+AJ71+AQ71+AV71</f>
        <v>4636</v>
      </c>
      <c r="H71" s="397"/>
      <c r="J71" s="322">
        <f>+K71-I71-H71</f>
        <v>336163.41013824876</v>
      </c>
      <c r="K71" s="323">
        <f>P71+U71++AA71+AF71+AK71+AR71+AW71</f>
        <v>336163.41013824876</v>
      </c>
      <c r="L71" s="238"/>
      <c r="M71" s="52"/>
      <c r="N71"/>
      <c r="O71"/>
      <c r="P71" s="114"/>
      <c r="Q71"/>
      <c r="R71"/>
      <c r="S71"/>
      <c r="T71">
        <v>4636</v>
      </c>
      <c r="U71" s="322">
        <v>336163.41013824876</v>
      </c>
      <c r="V71" s="395" t="str">
        <f t="shared" si="8"/>
        <v>Ferry &amp; internal air - pax</v>
      </c>
      <c r="W71"/>
      <c r="X71"/>
      <c r="Y71"/>
      <c r="Z71" s="396">
        <v>0</v>
      </c>
      <c r="AA71" s="128"/>
      <c r="AB71" s="183"/>
      <c r="AC71"/>
      <c r="AD71"/>
      <c r="AE71"/>
      <c r="AF71" s="114"/>
      <c r="AG71" s="183"/>
      <c r="AH71"/>
      <c r="AI71"/>
      <c r="AJ71"/>
      <c r="AK71" s="114"/>
      <c r="AL71"/>
      <c r="AM71"/>
      <c r="AN71"/>
      <c r="AO71"/>
      <c r="AQ71"/>
      <c r="AR71"/>
      <c r="AS71"/>
      <c r="AT71"/>
      <c r="AU71"/>
      <c r="AV71"/>
      <c r="AW71" s="184"/>
      <c r="AX71"/>
      <c r="AY71"/>
      <c r="AZ71"/>
      <c r="BA71"/>
      <c r="BB71" s="184"/>
    </row>
    <row r="72" spans="1:59" ht="30" outlineLevel="1">
      <c r="A72" s="398" t="s">
        <v>379</v>
      </c>
      <c r="B72" s="399"/>
      <c r="C72" s="400"/>
      <c r="D72" s="367">
        <f>+Z72</f>
        <v>0</v>
      </c>
      <c r="E72" s="278"/>
      <c r="F72" s="369">
        <f>+G72-E72-D72</f>
        <v>2961</v>
      </c>
      <c r="G72" s="366">
        <f>O72+T72++Z72+AE72+AJ72+AQ72+AV72</f>
        <v>2961</v>
      </c>
      <c r="H72" s="401"/>
      <c r="I72" s="123"/>
      <c r="J72" s="369">
        <f>+K72-I72-H72</f>
        <v>214706.61290322576</v>
      </c>
      <c r="K72" s="370">
        <f>P72+U72++AA72+AF72+AK72+AR72+AW72</f>
        <v>214706.61290322576</v>
      </c>
      <c r="L72" s="250"/>
      <c r="M72" s="278"/>
      <c r="N72" s="123"/>
      <c r="O72" s="123"/>
      <c r="P72" s="124"/>
      <c r="Q72" s="123"/>
      <c r="R72" s="123"/>
      <c r="S72" s="123"/>
      <c r="T72" s="123">
        <v>2961</v>
      </c>
      <c r="U72" s="322">
        <f>'[3]EF-1'!$K$16*[3]Transport!T72</f>
        <v>214706.61290322576</v>
      </c>
      <c r="V72" s="402" t="str">
        <f>+A72</f>
        <v>Ferry &amp; internal air - freight</v>
      </c>
      <c r="W72" s="123"/>
      <c r="X72" s="123"/>
      <c r="Y72" s="123"/>
      <c r="Z72" s="396">
        <v>0</v>
      </c>
      <c r="AA72" s="403"/>
      <c r="AB72" s="401"/>
      <c r="AC72" s="123"/>
      <c r="AD72" s="123"/>
      <c r="AE72" s="123"/>
      <c r="AF72" s="124"/>
      <c r="AG72" s="401"/>
      <c r="AH72" s="123"/>
      <c r="AI72" s="123"/>
      <c r="AJ72" s="123"/>
      <c r="AK72" s="124"/>
      <c r="AL72" s="123"/>
      <c r="AM72" s="123"/>
      <c r="AN72" s="123"/>
      <c r="AQ72" s="123"/>
      <c r="AR72" s="124"/>
      <c r="AS72" s="123"/>
      <c r="AT72" s="123"/>
      <c r="AU72" s="123"/>
      <c r="AV72" s="123"/>
      <c r="AW72" s="404"/>
      <c r="AX72" s="123"/>
      <c r="AY72" s="123"/>
      <c r="AZ72" s="123"/>
      <c r="BA72" s="123"/>
      <c r="BB72" s="404"/>
    </row>
    <row r="73" spans="1:59" ht="15.75" outlineLevel="1" thickBot="1">
      <c r="A73" s="405" t="s">
        <v>380</v>
      </c>
      <c r="B73" s="406"/>
      <c r="C73" s="407"/>
      <c r="D73" s="408">
        <f t="shared" ref="D73:K73" si="16">SUM(D69:D72)</f>
        <v>3286.7176183435881</v>
      </c>
      <c r="E73" s="409">
        <f t="shared" si="16"/>
        <v>0</v>
      </c>
      <c r="F73" s="409">
        <f t="shared" si="16"/>
        <v>86682.056347777136</v>
      </c>
      <c r="G73" s="407">
        <f t="shared" si="16"/>
        <v>89968.773966120731</v>
      </c>
      <c r="H73" s="408">
        <f t="shared" si="16"/>
        <v>555833.79671379644</v>
      </c>
      <c r="I73" s="409">
        <f t="shared" si="16"/>
        <v>0</v>
      </c>
      <c r="J73" s="409">
        <f t="shared" si="16"/>
        <v>6028179.4972679494</v>
      </c>
      <c r="K73" s="407">
        <f t="shared" si="16"/>
        <v>6584013.2939817458</v>
      </c>
      <c r="L73" s="410"/>
      <c r="M73" s="411"/>
      <c r="N73" s="412"/>
      <c r="O73" s="413">
        <f>SUM(O69:O72)</f>
        <v>22988.220272598501</v>
      </c>
      <c r="P73" s="414">
        <f>SUM(P69:P72)</f>
        <v>1553966.0608027757</v>
      </c>
      <c r="Q73" s="412"/>
      <c r="R73" s="412"/>
      <c r="S73" s="412"/>
      <c r="T73" s="413">
        <f>SUM(T69:T72)</f>
        <v>47784.666560382357</v>
      </c>
      <c r="U73" s="414">
        <f>SUM(U69:U72)</f>
        <v>3455734.7851679176</v>
      </c>
      <c r="V73" s="415" t="str">
        <f>+A73</f>
        <v>TOTAL</v>
      </c>
      <c r="W73" s="416"/>
      <c r="X73" s="412"/>
      <c r="Y73" s="412"/>
      <c r="Z73" s="413">
        <f>SUM(Z69:Z72)</f>
        <v>3286.7176183435881</v>
      </c>
      <c r="AA73" s="413">
        <f>SUM(AA69:AA72)</f>
        <v>555833.79671379644</v>
      </c>
      <c r="AB73" s="416"/>
      <c r="AC73" s="412"/>
      <c r="AD73" s="412"/>
      <c r="AE73" s="413">
        <f>SUM(AE69:AE72)</f>
        <v>1.9165000589772498</v>
      </c>
      <c r="AF73" s="414">
        <f>SUM(AF69:AF72)</f>
        <v>0</v>
      </c>
      <c r="AG73" s="416"/>
      <c r="AH73" s="412"/>
      <c r="AI73" s="412"/>
      <c r="AJ73" s="413">
        <f>SUM(AJ69:AJ72)</f>
        <v>0</v>
      </c>
      <c r="AK73" s="414">
        <f>SUM(AK69:AK72)</f>
        <v>0</v>
      </c>
      <c r="AL73" s="412"/>
      <c r="AM73" s="412"/>
      <c r="AN73" s="412"/>
      <c r="AO73" s="412"/>
      <c r="AP73" s="412"/>
      <c r="AQ73" s="413">
        <f>SUM(AQ69:AQ72)</f>
        <v>0</v>
      </c>
      <c r="AR73" s="413">
        <f>SUM(AR69:AR72)</f>
        <v>0</v>
      </c>
      <c r="AS73" s="412"/>
      <c r="AT73" s="412"/>
      <c r="AU73" s="412"/>
      <c r="AV73" s="413">
        <f>SUM(AV69:AV72)</f>
        <v>15907.253014737309</v>
      </c>
      <c r="AW73" s="417">
        <f>SUM(AW69:AW72)</f>
        <v>1018478.6512972559</v>
      </c>
      <c r="AX73" s="412"/>
      <c r="AY73" s="412"/>
      <c r="AZ73" s="412"/>
      <c r="BA73" s="413">
        <f>SUM(BA69:BA72)</f>
        <v>0</v>
      </c>
      <c r="BB73" s="417">
        <f>SUM(BB69:BB72)</f>
        <v>0</v>
      </c>
    </row>
    <row r="74" spans="1:59" outlineLevel="1">
      <c r="A74" s="52"/>
      <c r="B74"/>
      <c r="G74" s="418"/>
      <c r="H74"/>
      <c r="K74" s="418"/>
      <c r="L74" s="52"/>
      <c r="M74" s="52"/>
      <c r="V74" s="52"/>
    </row>
    <row r="75" spans="1:59" s="106" customFormat="1" ht="19.5" outlineLevel="1" thickBot="1">
      <c r="A75" s="419" t="s">
        <v>381</v>
      </c>
      <c r="B75" s="137"/>
      <c r="C75" s="137"/>
      <c r="D75" s="420"/>
      <c r="E75" s="420"/>
      <c r="F75" s="420"/>
      <c r="G75" s="137"/>
      <c r="K75" s="137"/>
      <c r="L75" s="137"/>
      <c r="M75" s="137"/>
      <c r="N75" s="137"/>
      <c r="O75" s="137"/>
      <c r="P75" s="137"/>
      <c r="Q75" s="137"/>
      <c r="R75" s="137"/>
      <c r="S75" s="137"/>
      <c r="T75" s="137"/>
      <c r="U75" s="137"/>
      <c r="V75" s="419" t="str">
        <f>+A75</f>
        <v>Module 6 Transport energy and emission forecasting (2050)</v>
      </c>
      <c r="W75" s="137"/>
      <c r="X75" s="137"/>
      <c r="Y75" s="137"/>
      <c r="Z75" s="137"/>
      <c r="AA75" s="137"/>
      <c r="AB75" s="137"/>
      <c r="AC75" s="137"/>
      <c r="AD75" s="137"/>
      <c r="AE75" s="137"/>
      <c r="AF75" s="137"/>
      <c r="AG75" s="137"/>
      <c r="AH75" s="137"/>
      <c r="AI75" s="137"/>
      <c r="AJ75" s="137"/>
      <c r="AK75" s="137"/>
      <c r="AL75" s="137"/>
      <c r="AM75" s="137"/>
      <c r="AN75" s="137"/>
      <c r="AO75" s="137"/>
      <c r="AQ75" s="137"/>
      <c r="AR75" s="137"/>
      <c r="AS75" s="137"/>
      <c r="AT75" s="137"/>
      <c r="AU75" s="137"/>
      <c r="AV75" s="137"/>
      <c r="AW75" s="137"/>
      <c r="AX75" s="137"/>
    </row>
    <row r="76" spans="1:59" s="306" customFormat="1" ht="15.75" customHeight="1" outlineLevel="1">
      <c r="A76" s="421"/>
      <c r="B76" s="518" t="s">
        <v>382</v>
      </c>
      <c r="C76" s="519" t="s">
        <v>287</v>
      </c>
      <c r="D76" s="520" t="s">
        <v>343</v>
      </c>
      <c r="E76" s="521"/>
      <c r="F76" s="521"/>
      <c r="G76" s="522"/>
      <c r="H76" s="520" t="s">
        <v>344</v>
      </c>
      <c r="I76" s="521"/>
      <c r="J76" s="521"/>
      <c r="K76" s="522"/>
      <c r="L76" s="422" t="s">
        <v>345</v>
      </c>
      <c r="M76" s="423"/>
      <c r="N76" s="423"/>
      <c r="O76" s="423"/>
      <c r="P76" s="424"/>
      <c r="Q76" s="423" t="s">
        <v>346</v>
      </c>
      <c r="R76" s="423"/>
      <c r="S76" s="423"/>
      <c r="T76" s="423"/>
      <c r="U76" s="423"/>
      <c r="V76" s="421"/>
      <c r="W76" s="422" t="s">
        <v>347</v>
      </c>
      <c r="X76" s="423"/>
      <c r="Y76" s="423"/>
      <c r="Z76" s="423"/>
      <c r="AA76" s="423"/>
      <c r="AB76" s="422" t="s">
        <v>348</v>
      </c>
      <c r="AC76" s="423"/>
      <c r="AD76" s="423"/>
      <c r="AE76" s="423"/>
      <c r="AF76" s="424"/>
      <c r="AG76" s="423" t="s">
        <v>349</v>
      </c>
      <c r="AH76" s="423"/>
      <c r="AI76" s="423"/>
      <c r="AJ76" s="423"/>
      <c r="AK76" s="423"/>
      <c r="AL76" s="422" t="s">
        <v>350</v>
      </c>
      <c r="AM76" s="423"/>
      <c r="AN76" s="423"/>
      <c r="AO76" s="423"/>
      <c r="AP76" s="423"/>
      <c r="AQ76" s="423"/>
      <c r="AR76" s="424"/>
      <c r="AS76" s="423" t="s">
        <v>352</v>
      </c>
      <c r="AT76" s="423"/>
      <c r="AU76" s="423"/>
      <c r="AV76" s="423"/>
      <c r="AW76" s="425"/>
      <c r="BG76" s="426" t="s">
        <v>383</v>
      </c>
    </row>
    <row r="77" spans="1:59" ht="51.75" outlineLevel="1">
      <c r="A77" s="309"/>
      <c r="B77" s="512"/>
      <c r="C77" s="514"/>
      <c r="D77" s="310" t="s">
        <v>354</v>
      </c>
      <c r="E77" s="311" t="s">
        <v>349</v>
      </c>
      <c r="F77" s="310" t="s">
        <v>355</v>
      </c>
      <c r="G77" s="310" t="s">
        <v>88</v>
      </c>
      <c r="H77" s="311" t="s">
        <v>354</v>
      </c>
      <c r="I77" s="311" t="s">
        <v>349</v>
      </c>
      <c r="J77" s="311" t="s">
        <v>355</v>
      </c>
      <c r="K77" s="311" t="s">
        <v>88</v>
      </c>
      <c r="L77" s="312" t="s">
        <v>356</v>
      </c>
      <c r="M77" s="312" t="s">
        <v>357</v>
      </c>
      <c r="N77" s="312" t="s">
        <v>358</v>
      </c>
      <c r="O77" s="312" t="s">
        <v>359</v>
      </c>
      <c r="P77" s="312" t="s">
        <v>360</v>
      </c>
      <c r="Q77" s="313" t="s">
        <v>356</v>
      </c>
      <c r="R77" s="312" t="s">
        <v>357</v>
      </c>
      <c r="S77" s="312" t="s">
        <v>358</v>
      </c>
      <c r="T77" s="312" t="s">
        <v>359</v>
      </c>
      <c r="U77" s="315" t="s">
        <v>360</v>
      </c>
      <c r="V77" s="427"/>
      <c r="W77" s="312" t="s">
        <v>356</v>
      </c>
      <c r="X77" s="312" t="s">
        <v>357</v>
      </c>
      <c r="Y77" s="312" t="s">
        <v>384</v>
      </c>
      <c r="Z77" s="312" t="s">
        <v>359</v>
      </c>
      <c r="AA77" s="315" t="s">
        <v>360</v>
      </c>
      <c r="AB77" s="312" t="s">
        <v>356</v>
      </c>
      <c r="AC77" s="312" t="s">
        <v>357</v>
      </c>
      <c r="AD77" s="312" t="s">
        <v>358</v>
      </c>
      <c r="AE77" s="312" t="s">
        <v>359</v>
      </c>
      <c r="AF77" s="312" t="s">
        <v>360</v>
      </c>
      <c r="AG77" s="313" t="s">
        <v>356</v>
      </c>
      <c r="AH77" s="312" t="s">
        <v>357</v>
      </c>
      <c r="AI77" s="312" t="s">
        <v>363</v>
      </c>
      <c r="AJ77" s="312" t="s">
        <v>359</v>
      </c>
      <c r="AK77" s="315" t="s">
        <v>360</v>
      </c>
      <c r="AL77" s="312" t="s">
        <v>356</v>
      </c>
      <c r="AM77" s="312" t="s">
        <v>357</v>
      </c>
      <c r="AN77" s="312" t="s">
        <v>385</v>
      </c>
      <c r="AO77" s="312" t="s">
        <v>365</v>
      </c>
      <c r="AP77" s="312" t="s">
        <v>366</v>
      </c>
      <c r="AQ77" s="312" t="s">
        <v>359</v>
      </c>
      <c r="AR77" s="312" t="s">
        <v>360</v>
      </c>
      <c r="AS77" s="313" t="s">
        <v>356</v>
      </c>
      <c r="AT77" s="312" t="s">
        <v>357</v>
      </c>
      <c r="AU77" s="312" t="s">
        <v>358</v>
      </c>
      <c r="AV77" s="312" t="s">
        <v>359</v>
      </c>
      <c r="AW77" s="316" t="s">
        <v>360</v>
      </c>
      <c r="BG77" s="426"/>
    </row>
    <row r="78" spans="1:59" outlineLevel="1">
      <c r="A78" s="317" t="s">
        <v>368</v>
      </c>
      <c r="B78" s="318">
        <f>K39</f>
        <v>11067.190050365896</v>
      </c>
      <c r="C78" s="319">
        <f>J39</f>
        <v>393669.8447201415</v>
      </c>
      <c r="D78" s="320">
        <f>Z78</f>
        <v>1493.1690037784194</v>
      </c>
      <c r="E78" s="321"/>
      <c r="F78" s="322">
        <f>+G78-E78-D78</f>
        <v>1582.1224572046419</v>
      </c>
      <c r="G78" s="323">
        <f>O78+T78++Z78+AE78+AJ78+AQ78+AV78</f>
        <v>3075.2914609830614</v>
      </c>
      <c r="H78" s="324">
        <f>+AA78</f>
        <v>3635.4679431741424</v>
      </c>
      <c r="I78" s="325"/>
      <c r="J78" s="322">
        <f>+K78-I78-H78</f>
        <v>106951.47810703376</v>
      </c>
      <c r="K78" s="323">
        <f>P78+U78++AA78+AF78+AK78+AR78+AW78</f>
        <v>110586.9460502079</v>
      </c>
      <c r="L78" s="428">
        <f>'[3]Key parameters rpt'!C88</f>
        <v>0.15</v>
      </c>
      <c r="M78" s="429">
        <f t="shared" ref="M78:M86" si="17">C78*L78</f>
        <v>59050.476708021219</v>
      </c>
      <c r="N78" s="430">
        <f>N60*(1-'[3]Key parameters rpt'!C94)</f>
        <v>7.4204253241013083</v>
      </c>
      <c r="O78" s="431">
        <f>$B78/100*M78*N78*'[3]EF-1'!$R$9/1000/1000/1000/1000</f>
        <v>1582.1224572046417</v>
      </c>
      <c r="P78" s="323">
        <f>O78*'[3]EF-1'!$K$14</f>
        <v>106951.47810703376</v>
      </c>
      <c r="Q78" s="432">
        <f>'[3]Key parameters rpt'!D88</f>
        <v>0</v>
      </c>
      <c r="R78" s="429">
        <f>C78*Q78</f>
        <v>0</v>
      </c>
      <c r="S78" s="433">
        <f>S60*(1-'[3]Key parameters rpt'!D94)</f>
        <v>4.8693365637966766</v>
      </c>
      <c r="T78" s="431">
        <f>B78*R78*S78/100/'[3]EF-1'!$U$11*'[3]EF-1'!$B$16/1000000000</f>
        <v>0</v>
      </c>
      <c r="U78" s="322">
        <f>'[3]EF-1'!$K$16*[3]Transport!T78</f>
        <v>0</v>
      </c>
      <c r="V78" s="317" t="str">
        <f t="shared" ref="V78:V91" si="18">+A78</f>
        <v>Private car</v>
      </c>
      <c r="W78" s="428">
        <f>'[3]Key parameters rpt'!E88</f>
        <v>0.85</v>
      </c>
      <c r="X78" s="429">
        <f>C78*W78</f>
        <v>334619.36801212025</v>
      </c>
      <c r="Y78" s="434">
        <f>Y60*(1-'[3]Key parameters rpt'!E94)</f>
        <v>11.2</v>
      </c>
      <c r="Z78" s="431">
        <f>IF([3]Transport!W78=W60,[3]Transport!Z60,$B78*X78*Y78/100*3.6/1000/1000)</f>
        <v>1493.1690037784194</v>
      </c>
      <c r="AA78" s="322">
        <f>IF(W78&lt;0.2,AA60,Z78/3.6*1000000*[3]Electricity!$R$19/1000000*1000)</f>
        <v>3635.4679431741424</v>
      </c>
      <c r="AB78" s="435">
        <f>'[3]Key parameters rpt'!F88</f>
        <v>0</v>
      </c>
      <c r="AC78" s="429">
        <f>C78*AB78</f>
        <v>0</v>
      </c>
      <c r="AD78" s="436">
        <f>AD60*(1-'[3]Key parameters rpt'!F94)</f>
        <v>3.5</v>
      </c>
      <c r="AE78" s="431">
        <f>$B78/100*AC78*AD78*'[3]EF-1'!$R$9/1000/1000/1000/1000</f>
        <v>0</v>
      </c>
      <c r="AF78" s="336">
        <v>0</v>
      </c>
      <c r="AG78" s="437">
        <f>'[3]Key parameters rpt'!G88</f>
        <v>0</v>
      </c>
      <c r="AH78" s="429">
        <f>C78*AG78</f>
        <v>0</v>
      </c>
      <c r="AI78" s="438">
        <f>'[3]Key parameters rpt'!G94</f>
        <v>0.3</v>
      </c>
      <c r="AJ78" s="431">
        <f>$B78/1000*AH78*AI78/3.6/1000</f>
        <v>0</v>
      </c>
      <c r="AK78" s="338">
        <v>0</v>
      </c>
      <c r="AL78" s="435">
        <f>'[3]Key parameters rpt'!H88</f>
        <v>0</v>
      </c>
      <c r="AM78" s="429">
        <f>C78*AL78</f>
        <v>0</v>
      </c>
      <c r="AN78" s="438">
        <f>AN60*(1-'[3]Key parameters rpt'!H94)</f>
        <v>5.5999999999999994E-2</v>
      </c>
      <c r="AO78" s="439">
        <f t="shared" ref="AO78:AO81" si="19">AQ78-AP78</f>
        <v>0</v>
      </c>
      <c r="AP78">
        <v>0</v>
      </c>
      <c r="AQ78" s="322">
        <f>AN78*B78*AM78*'[3]EF-1'!$R$25/1000/1000</f>
        <v>0</v>
      </c>
      <c r="AR78" s="431">
        <f>AQ78*'[3]EF-1'!$K$30</f>
        <v>0</v>
      </c>
      <c r="AS78" s="437">
        <f>+'[3]Key parameters rpt'!I88</f>
        <v>0</v>
      </c>
      <c r="AT78" s="429">
        <f>C78*AS78</f>
        <v>0</v>
      </c>
      <c r="AU78" s="440">
        <f>IF('[3]Key parameters rpt'!$O$4='[3]Key parameters rpt'!$D$4,[3]Transport!AU60,[3]Transport!AZ60*(1-'[3]Key parameters rpt'!I94))</f>
        <v>0</v>
      </c>
      <c r="AV78" s="322">
        <f>IF('[3]Key parameters rpt'!$O$4='[3]Key parameters rpt'!$D$4,BG55*B78*AT78*AU78*(1-'[3]Key parameters rpt'!I94),B78*AT78*AU78/100*'[3]EF-1'!$R$22/1000/1000)</f>
        <v>0</v>
      </c>
      <c r="AW78" s="340">
        <f>IF('[3]Key parameters rpt'!$O$4='[3]Key parameters rpt'!$D$4,BH55*B78*AT78*AU78*(1-'[3]Key parameters rpt'!I94), AV78*'[3]EF-1'!K26)</f>
        <v>0</v>
      </c>
      <c r="BG78" s="163">
        <f>L78+Q78+W78+AB78+AG78+AL78+AS78</f>
        <v>1</v>
      </c>
    </row>
    <row r="79" spans="1:59" outlineLevel="1">
      <c r="A79" s="317" t="s">
        <v>369</v>
      </c>
      <c r="B79" s="318">
        <f>K40</f>
        <v>4527.4162350163833</v>
      </c>
      <c r="C79" s="319">
        <f>J40</f>
        <v>65611.640786690332</v>
      </c>
      <c r="D79" s="320">
        <f t="shared" ref="D79:D86" si="20">+Z79</f>
        <v>12.725673738027576</v>
      </c>
      <c r="E79" s="321"/>
      <c r="F79" s="322">
        <f t="shared" ref="F79:F86" si="21">+G79-E79-D79</f>
        <v>44.070750131619654</v>
      </c>
      <c r="G79" s="323">
        <f>O79+T79++Z79+AE79+AJ79+AQ79+AV79</f>
        <v>56.796423869647228</v>
      </c>
      <c r="H79" s="324">
        <f t="shared" ref="H79:H86" si="22">+AA79</f>
        <v>30.983618607688207</v>
      </c>
      <c r="I79" s="325"/>
      <c r="J79" s="322">
        <f t="shared" ref="J79:J86" si="23">+K79-I79-H79</f>
        <v>2979.1827088974883</v>
      </c>
      <c r="K79" s="323">
        <f>P79+U79++AA79+AF79+AK79+AR79+AW79</f>
        <v>3010.1663275051765</v>
      </c>
      <c r="L79" s="428">
        <f>'[3]Key parameters rpt'!C89</f>
        <v>0.15</v>
      </c>
      <c r="M79" s="429">
        <f t="shared" si="17"/>
        <v>9841.7461180035498</v>
      </c>
      <c r="N79" s="430">
        <f>N61*(1-'[3]Key parameters rpt'!C95)</f>
        <v>3.0316379919440544</v>
      </c>
      <c r="O79" s="431">
        <f>$B79/100*M79*N79*'[3]EF-1'!$R$9/1000/1000/1000/1000</f>
        <v>44.070750131619654</v>
      </c>
      <c r="P79" s="323">
        <f>O79*'[3]EF-1'!$K$14</f>
        <v>2979.1827088974883</v>
      </c>
      <c r="Q79" s="432">
        <f>'[3]Key parameters rpt'!D89</f>
        <v>0</v>
      </c>
      <c r="R79" s="429">
        <f>C79*Q79</f>
        <v>0</v>
      </c>
      <c r="S79" s="441">
        <f>S61*(1-'[3]Key parameters rpt'!D95)</f>
        <v>0</v>
      </c>
      <c r="T79" s="431">
        <f>B79*R79*S79/100/'[3]EF-1'!$U$11*'[3]EF-1'!$B$16/1000000000</f>
        <v>0</v>
      </c>
      <c r="U79" s="322">
        <f>'[3]EF-1'!$K$16*[3]Transport!T79</f>
        <v>0</v>
      </c>
      <c r="V79" s="317" t="str">
        <f t="shared" si="18"/>
        <v>Motorcycle</v>
      </c>
      <c r="W79" s="428">
        <f>'[3]Key parameters rpt'!E89</f>
        <v>0.85</v>
      </c>
      <c r="X79" s="429">
        <f>C79*W79</f>
        <v>55769.894668686778</v>
      </c>
      <c r="Y79" s="434">
        <f>Y61*(1-'[3]Key parameters rpt'!E95)</f>
        <v>1.4</v>
      </c>
      <c r="Z79" s="431">
        <f>IF([3]Transport!W79=W61,[3]Transport!Z61,$B79*X79*Y79/100*3.6/1000/1000)</f>
        <v>12.725673738027576</v>
      </c>
      <c r="AA79" s="322">
        <f>IF(W79&lt;0.2,AA61,Z79/3.6*1000000*[3]Electricity!$R$19/1000000*1000)</f>
        <v>30.983618607688207</v>
      </c>
      <c r="AB79" s="435">
        <f>'[3]Key parameters rpt'!F89</f>
        <v>0</v>
      </c>
      <c r="AC79" s="429">
        <f>C79*AB79</f>
        <v>0</v>
      </c>
      <c r="AD79" s="436">
        <f>AD61*(1-'[3]Key parameters rpt'!F95)</f>
        <v>1.4</v>
      </c>
      <c r="AE79" s="431">
        <f>$B79/100*AC79*AD79*'[3]EF-1'!$R$9/1000/1000/1000/1000</f>
        <v>0</v>
      </c>
      <c r="AF79" s="336">
        <v>0</v>
      </c>
      <c r="AG79" s="437">
        <f>'[3]Key parameters rpt'!G89</f>
        <v>0</v>
      </c>
      <c r="AH79" s="429">
        <f>C79*AG79</f>
        <v>0</v>
      </c>
      <c r="AI79" s="438">
        <f>'[3]Key parameters rpt'!G95</f>
        <v>0.3</v>
      </c>
      <c r="AJ79" s="431">
        <f t="shared" ref="AJ79:AJ82" si="24">$B79/1000*AH79*AI79/3.6/1000</f>
        <v>0</v>
      </c>
      <c r="AK79" s="338">
        <v>0</v>
      </c>
      <c r="AL79" s="435">
        <f>'[3]Key parameters rpt'!H89</f>
        <v>0</v>
      </c>
      <c r="AM79" s="429">
        <f>C79*AL79</f>
        <v>0</v>
      </c>
      <c r="AN79" s="442">
        <f>AN61*(1-'[3]Key parameters rpt'!H95)</f>
        <v>0</v>
      </c>
      <c r="AO79" s="439">
        <f t="shared" si="19"/>
        <v>0</v>
      </c>
      <c r="AP79">
        <v>0</v>
      </c>
      <c r="AQ79" s="322">
        <f>AN79*B79*AM79*'[3]EF-1'!$R$25/1000/1000</f>
        <v>0</v>
      </c>
      <c r="AR79" s="431">
        <f>AQ79*'[3]EF-1'!$K$30</f>
        <v>0</v>
      </c>
      <c r="AS79" s="437">
        <f>+'[3]Key parameters rpt'!I89</f>
        <v>0</v>
      </c>
      <c r="AT79" s="429">
        <f>C79*AS79</f>
        <v>0</v>
      </c>
      <c r="AU79" s="440">
        <f>IF('[3]Key parameters rpt'!$O$4='[3]Key parameters rpt'!$D$4,[3]Transport!AU61,[3]Transport!AZ61*(1-'[3]Key parameters rpt'!I95))</f>
        <v>0</v>
      </c>
      <c r="AV79" s="322">
        <f>IF('[3]Key parameters rpt'!$O$4='[3]Key parameters rpt'!$D$4,BG56*B79*AT79*AU79*(1-'[3]Key parameters rpt'!I95),B79*AT79*AU79/100*'[3]EF-1'!$R$22/1000/1000)</f>
        <v>0</v>
      </c>
      <c r="AW79" s="340">
        <f>IF('[3]Key parameters rpt'!$O$4='[3]Key parameters rpt'!$D$4,BH56*B79*AT79*AU79*(1-'[3]Key parameters rpt'!I95), AV79*'[3]EF-1'!K27)</f>
        <v>0</v>
      </c>
      <c r="BG79" s="163">
        <f>L79+Q79+W79+AB79+AG79+AL79+AS79</f>
        <v>1</v>
      </c>
    </row>
    <row r="80" spans="1:59" outlineLevel="1">
      <c r="A80" s="317" t="s">
        <v>370</v>
      </c>
      <c r="B80" s="318">
        <f>+(L34+L35+L36)*1000000/(J34+J35+J36)</f>
        <v>24558.857862711571</v>
      </c>
      <c r="C80" s="319">
        <f>SUM(J34:J36)</f>
        <v>39979.277085884816</v>
      </c>
      <c r="D80" s="320">
        <f t="shared" si="20"/>
        <v>1237.1251830918206</v>
      </c>
      <c r="E80" s="321"/>
      <c r="F80" s="322">
        <f t="shared" si="21"/>
        <v>110625.55206440364</v>
      </c>
      <c r="G80" s="323">
        <f>O80+T80++Z80+AE80+AJ80+AR80+AV80</f>
        <v>111862.67724749546</v>
      </c>
      <c r="H80" s="324">
        <f t="shared" si="22"/>
        <v>3012.0695871953494</v>
      </c>
      <c r="I80" s="325"/>
      <c r="J80" s="322">
        <f>+K80-I80-H80</f>
        <v>110625.55206440364</v>
      </c>
      <c r="K80" s="323">
        <f>P80+U80++AA80+AF80+AK80+AR80+AW80</f>
        <v>113637.62165159899</v>
      </c>
      <c r="L80" s="428">
        <f>'[3]Key parameters rpt'!C90</f>
        <v>0</v>
      </c>
      <c r="M80" s="429">
        <f t="shared" si="17"/>
        <v>0</v>
      </c>
      <c r="N80" s="430">
        <f>N62*(1-'[3]Key parameters rpt'!C96)</f>
        <v>0</v>
      </c>
      <c r="O80" s="431">
        <f>$B80/100*M80*N80*'[3]EF-1'!$R$9/1000/1000/1000/1000</f>
        <v>0</v>
      </c>
      <c r="P80" s="323">
        <f>O80*'[3]EF-1'!$K$14</f>
        <v>0</v>
      </c>
      <c r="Q80" s="432">
        <f>'[3]Key parameters rpt'!D90</f>
        <v>0</v>
      </c>
      <c r="R80" s="429">
        <f>C80*Q80</f>
        <v>0</v>
      </c>
      <c r="S80" s="441">
        <f>S62*(1-'[3]Key parameters rpt'!D96)</f>
        <v>31.736561893539903</v>
      </c>
      <c r="T80" s="431">
        <f>B80*R80*S80/100/'[3]EF-1'!$U$11*'[3]EF-1'!$B$16/1000000000</f>
        <v>0</v>
      </c>
      <c r="U80" s="322">
        <f>'[3]EF-1'!$K$16*[3]Transport!T80</f>
        <v>0</v>
      </c>
      <c r="V80" s="317" t="str">
        <f t="shared" si="18"/>
        <v>Bus</v>
      </c>
      <c r="W80" s="428">
        <f>'[3]Key parameters rpt'!E90</f>
        <v>0.5</v>
      </c>
      <c r="X80" s="429">
        <f>C80*W80</f>
        <v>19989.638542942408</v>
      </c>
      <c r="Y80" s="434">
        <f>Y62*(1-'[3]Key parameters rpt'!E96)</f>
        <v>70</v>
      </c>
      <c r="Z80" s="431">
        <f>IF([3]Transport!W80=W62,[3]Transport!Z62,$B80*X80*Y80/100*3.6/1000/1000)</f>
        <v>1237.1251830918206</v>
      </c>
      <c r="AA80" s="322">
        <f>IF(W80&lt;0.2,AA62,Z80/3.6*1000000*[3]Electricity!$R$19/1000000*1000)</f>
        <v>3012.0695871953494</v>
      </c>
      <c r="AB80" s="435">
        <f>'[3]Key parameters rpt'!F90</f>
        <v>0</v>
      </c>
      <c r="AC80" s="429">
        <f>C80*AB80</f>
        <v>0</v>
      </c>
      <c r="AD80" s="436">
        <f>AD62*(1-'[3]Key parameters rpt'!F96)</f>
        <v>35</v>
      </c>
      <c r="AE80" s="431">
        <f>$B80/100*AC80*AD80*'[3]EF-1'!$R$9/1000/1000/1000/1000</f>
        <v>0</v>
      </c>
      <c r="AF80" s="336">
        <v>0</v>
      </c>
      <c r="AG80" s="437">
        <f>'[3]Key parameters rpt'!G90</f>
        <v>0</v>
      </c>
      <c r="AH80" s="429">
        <f>C80*AG80</f>
        <v>0</v>
      </c>
      <c r="AI80" s="438">
        <f>'[3]Key parameters rpt'!G96</f>
        <v>0.3</v>
      </c>
      <c r="AJ80" s="431">
        <f t="shared" si="24"/>
        <v>0</v>
      </c>
      <c r="AK80" s="338">
        <v>0</v>
      </c>
      <c r="AL80" s="435">
        <f>'[3]Key parameters rpt'!H90</f>
        <v>0.5</v>
      </c>
      <c r="AM80" s="429">
        <f>C80*AL80</f>
        <v>19989.638542942408</v>
      </c>
      <c r="AN80" s="438">
        <f>AN62*(1-'[3]Key parameters rpt'!H96)</f>
        <v>0.315</v>
      </c>
      <c r="AO80" s="439">
        <f>AQ80-AP80</f>
        <v>5761.7475033543569</v>
      </c>
      <c r="AP80">
        <v>0</v>
      </c>
      <c r="AQ80" s="322">
        <f>AN80*B80*AM80*'[3]EF-1'!$R$25/1000/1000</f>
        <v>5761.7475033543569</v>
      </c>
      <c r="AR80" s="431">
        <f>AQ80*'[3]EF-1'!$K$30</f>
        <v>110625.55206440364</v>
      </c>
      <c r="AS80" s="437">
        <f>+'[3]Key parameters rpt'!I90</f>
        <v>0</v>
      </c>
      <c r="AT80" s="429">
        <f>C80*AS80</f>
        <v>0</v>
      </c>
      <c r="AU80" s="440">
        <f>IF('[3]Key parameters rpt'!$O$4='[3]Key parameters rpt'!$D$4,[3]Transport!AU62,[3]Transport!AZ62*(1-'[3]Key parameters rpt'!I96))</f>
        <v>58.239999999999995</v>
      </c>
      <c r="AV80" s="322">
        <f>IF('[3]Key parameters rpt'!$O$4='[3]Key parameters rpt'!$D$4,BG57*B80*AT80*AU80*(1-'[3]Key parameters rpt'!I96),B80*AT80*AU80/100*'[3]EF-1'!$R$22/1000/1000)</f>
        <v>0</v>
      </c>
      <c r="AW80" s="340">
        <f>IF('[3]Key parameters rpt'!$O$4='[3]Key parameters rpt'!$D$4,BH57*B80*AT80*AU80*(1-'[3]Key parameters rpt'!I96), AV80*'[3]EF-1'!K28)</f>
        <v>0</v>
      </c>
      <c r="BG80" s="163">
        <f>L80+Q80+W80+AB80+AG80+AL80+AS80</f>
        <v>1</v>
      </c>
    </row>
    <row r="81" spans="1:59" outlineLevel="1">
      <c r="A81" s="317" t="s">
        <v>301</v>
      </c>
      <c r="B81" s="318">
        <f>K37</f>
        <v>148968.85444166698</v>
      </c>
      <c r="C81" s="319">
        <f>J37</f>
        <v>28429.323508820653</v>
      </c>
      <c r="D81" s="320">
        <f t="shared" si="20"/>
        <v>1707.5857702823398</v>
      </c>
      <c r="E81" s="321"/>
      <c r="F81" s="322">
        <f t="shared" si="21"/>
        <v>0</v>
      </c>
      <c r="G81" s="323">
        <f>O81+T81++Z81+AE81+AJ81+AQ81+AV81</f>
        <v>1707.5857702823398</v>
      </c>
      <c r="H81" s="324">
        <f t="shared" si="22"/>
        <v>4157.515533990415</v>
      </c>
      <c r="I81" s="325"/>
      <c r="J81" s="322">
        <f t="shared" si="23"/>
        <v>0</v>
      </c>
      <c r="K81" s="323">
        <f>P81+U81++AA81+AF81+AK81+AR81+AW81</f>
        <v>4157.515533990415</v>
      </c>
      <c r="L81" s="428">
        <f>'[3]Key parameters rpt'!C91</f>
        <v>0</v>
      </c>
      <c r="M81" s="429">
        <f t="shared" si="17"/>
        <v>0</v>
      </c>
      <c r="N81" s="430">
        <f>N63*(1-'[3]Key parameters rpt'!C97)</f>
        <v>7.4204253241013083</v>
      </c>
      <c r="O81" s="431">
        <f>$B81/100*M81*N81*'[3]EF-1'!$R$9/1000/1000/1000/1000</f>
        <v>0</v>
      </c>
      <c r="P81" s="323">
        <f>O81*'[3]EF-1'!$K$14</f>
        <v>0</v>
      </c>
      <c r="Q81" s="432">
        <f>'[3]Key parameters rpt'!D91</f>
        <v>0</v>
      </c>
      <c r="R81" s="429">
        <f>C81*Q81</f>
        <v>0</v>
      </c>
      <c r="S81" s="441">
        <f>S63*(1-'[3]Key parameters rpt'!D97)</f>
        <v>0</v>
      </c>
      <c r="T81" s="431">
        <f>B81*R81*S81/100/'[3]EF-1'!$U$11*'[3]EF-1'!$B$16/1000000000</f>
        <v>0</v>
      </c>
      <c r="U81" s="322">
        <f>'[3]EF-1'!$K$16*[3]Transport!T81</f>
        <v>0</v>
      </c>
      <c r="V81" s="317" t="str">
        <f t="shared" si="18"/>
        <v>Taxi</v>
      </c>
      <c r="W81" s="428">
        <f>'[3]Key parameters rpt'!E91</f>
        <v>1</v>
      </c>
      <c r="X81" s="429">
        <f>C81*W81</f>
        <v>28429.323508820653</v>
      </c>
      <c r="Y81" s="434">
        <f>Y63*(1-'[3]Key parameters rpt'!E97)</f>
        <v>11.2</v>
      </c>
      <c r="Z81" s="431">
        <f>IF([3]Transport!W81=W63,[3]Transport!Z63,$B81*X81*Y81/100*3.6/1000/1000)</f>
        <v>1707.5857702823398</v>
      </c>
      <c r="AA81" s="322">
        <f>IF(W81&lt;0.2,AA63,Z81/3.6*1000000*[3]Electricity!$R$19/1000000*1000)</f>
        <v>4157.515533990415</v>
      </c>
      <c r="AB81" s="435">
        <f>'[3]Key parameters rpt'!F91</f>
        <v>0</v>
      </c>
      <c r="AC81" s="429">
        <f>C81*AB81</f>
        <v>0</v>
      </c>
      <c r="AD81" s="436">
        <f>AD63*(1-'[3]Key parameters rpt'!F97)</f>
        <v>3.5</v>
      </c>
      <c r="AE81" s="431">
        <f>$B81/100*AC81*AD81*'[3]EF-1'!$R$9/1000/1000/1000/1000</f>
        <v>0</v>
      </c>
      <c r="AF81" s="336">
        <v>0</v>
      </c>
      <c r="AG81" s="437">
        <f>'[3]Key parameters rpt'!G91</f>
        <v>0</v>
      </c>
      <c r="AH81" s="429">
        <f>C81*AG81</f>
        <v>0</v>
      </c>
      <c r="AI81" s="438">
        <f>'[3]Key parameters rpt'!G97</f>
        <v>0.3</v>
      </c>
      <c r="AJ81" s="431">
        <f t="shared" si="24"/>
        <v>0</v>
      </c>
      <c r="AK81" s="338">
        <v>0</v>
      </c>
      <c r="AL81" s="435">
        <f>'[3]Key parameters rpt'!H91</f>
        <v>0</v>
      </c>
      <c r="AM81" s="429">
        <f>C81*AL81</f>
        <v>0</v>
      </c>
      <c r="AN81" s="438">
        <f>AN63*(1-'[3]Key parameters rpt'!H97)</f>
        <v>5.5999999999999994E-2</v>
      </c>
      <c r="AO81" s="439">
        <f t="shared" si="19"/>
        <v>0</v>
      </c>
      <c r="AP81">
        <v>0</v>
      </c>
      <c r="AQ81" s="322">
        <f>AN81*B81*AM81*'[3]EF-1'!$R$25/1000/1000</f>
        <v>0</v>
      </c>
      <c r="AR81" s="431">
        <f>AQ81*'[3]EF-1'!$K$30</f>
        <v>0</v>
      </c>
      <c r="AS81" s="437">
        <f>+'[3]Key parameters rpt'!I91</f>
        <v>0</v>
      </c>
      <c r="AT81" s="429">
        <f>C81*AS81</f>
        <v>0</v>
      </c>
      <c r="AU81" s="440">
        <f>IF('[3]Key parameters rpt'!$O$4='[3]Key parameters rpt'!$D$4,[3]Transport!AU63,[3]Transport!AZ63*(1-'[3]Key parameters rpt'!I97))</f>
        <v>12.77643492399393</v>
      </c>
      <c r="AV81" s="322">
        <f>IF('[3]Key parameters rpt'!$O$4='[3]Key parameters rpt'!$D$4,BG58*B81*AT81*AU81*(1-'[3]Key parameters rpt'!I97),B81*AT81*AU81/100*'[3]EF-1'!$R$22/1000/1000)</f>
        <v>0</v>
      </c>
      <c r="AW81" s="340">
        <f>IF('[3]Key parameters rpt'!$O$4='[3]Key parameters rpt'!$D$4,BH58*B81*AT81*AU81*(1-'[3]Key parameters rpt'!I97), AV81*'[3]EF-1'!K29)</f>
        <v>0</v>
      </c>
      <c r="BG81" s="163">
        <f>L81+Q81+W81+AB81+AG81+AL81+AS81</f>
        <v>1</v>
      </c>
    </row>
    <row r="82" spans="1:59" outlineLevel="1">
      <c r="A82" s="317" t="s">
        <v>371</v>
      </c>
      <c r="B82" s="318">
        <f>SUM(L46:L48)*1000000/SUM(B46:B48)</f>
        <v>51927.704899214863</v>
      </c>
      <c r="C82" s="443">
        <f>SUM(J46:J49)</f>
        <v>202244.39400274999</v>
      </c>
      <c r="D82" s="320">
        <f t="shared" si="20"/>
        <v>1323.2629883712132</v>
      </c>
      <c r="E82" s="321"/>
      <c r="F82" s="322">
        <f t="shared" si="21"/>
        <v>103155.21105690586</v>
      </c>
      <c r="G82" s="323">
        <f>O82+T82++Z82+AE82+AJ82+AQ82+AV82</f>
        <v>104478.47404527706</v>
      </c>
      <c r="H82" s="324">
        <f>+AA82</f>
        <v>6421.8897809912223</v>
      </c>
      <c r="I82" s="325"/>
      <c r="J82" s="322">
        <f t="shared" si="23"/>
        <v>2551619.2822668902</v>
      </c>
      <c r="K82" s="344">
        <f>P82+U82++AA82+AF82+AK82+AR82+AW82</f>
        <v>2558041.1720478814</v>
      </c>
      <c r="L82" s="428">
        <f>'[3]Key parameters rpt'!C92</f>
        <v>0</v>
      </c>
      <c r="M82" s="429">
        <f>C82*L82</f>
        <v>0</v>
      </c>
      <c r="N82" s="430">
        <f>S64*(1-'[3]Key parameters rpt'!C98)</f>
        <v>10.003903516453605</v>
      </c>
      <c r="O82" s="431">
        <f>$B82/100*M82*N82*'[3]EF-1'!$R$9/1000/1000/1000/1000</f>
        <v>0</v>
      </c>
      <c r="P82" s="323">
        <f>O82*'[3]EF-1'!$K$14</f>
        <v>0</v>
      </c>
      <c r="Q82" s="432">
        <f>'[3]Key parameters rpt'!D92</f>
        <v>0.2</v>
      </c>
      <c r="R82" s="429">
        <f>C82*Q82</f>
        <v>40448.878800550003</v>
      </c>
      <c r="S82" s="441">
        <f>S64*(1-'[3]Key parameters rpt'!D98)</f>
        <v>10.003903516453605</v>
      </c>
      <c r="T82" s="431">
        <f>B82*R82*S82/100/'[3]EF-1'!$U$11*'[3]EF-1'!$B$16/1000000000</f>
        <v>10711.366362777053</v>
      </c>
      <c r="U82" s="322">
        <f>'[3]EF-1'!$K$16*[3]Transport!T82</f>
        <v>776697.46413961705</v>
      </c>
      <c r="V82" s="317" t="str">
        <f t="shared" si="18"/>
        <v>Freight</v>
      </c>
      <c r="W82" s="428">
        <f>'[3]Key parameters rpt'!E92</f>
        <v>0.05</v>
      </c>
      <c r="X82" s="429">
        <f>C82*W82</f>
        <v>10112.219700137501</v>
      </c>
      <c r="Y82" s="434">
        <f>Y64*(1-'[3]Key parameters rpt'!E98)</f>
        <v>70</v>
      </c>
      <c r="Z82" s="431">
        <f>IF([3]Transport!W82=W64,[3]Transport!Z64,$B82*X82*Y82/100*3.6/1000/1000)</f>
        <v>1323.2629883712132</v>
      </c>
      <c r="AA82" s="322">
        <f>IF(W82&lt;0.2,AA64,Z82/3.6*1000000*[3]Electricity!$R$19/1000000*1000)</f>
        <v>6421.8897809912223</v>
      </c>
      <c r="AB82" s="435">
        <f>'[3]Key parameters rpt'!F92</f>
        <v>0</v>
      </c>
      <c r="AC82" s="429">
        <f>C82*AB82</f>
        <v>0</v>
      </c>
      <c r="AD82" s="436">
        <f>AD64*(1-'[3]Key parameters rpt'!F98)</f>
        <v>0</v>
      </c>
      <c r="AE82" s="431">
        <f>$B82/100*AC82*AD82*'[3]EF-1'!$R$9/1000/1000/1000/1000</f>
        <v>0</v>
      </c>
      <c r="AF82" s="336">
        <v>0</v>
      </c>
      <c r="AG82" s="437">
        <f>'[3]Key parameters rpt'!G92</f>
        <v>0</v>
      </c>
      <c r="AH82" s="429">
        <f>C82*AG82</f>
        <v>0</v>
      </c>
      <c r="AI82" s="438">
        <f>'[3]Key parameters rpt'!G98</f>
        <v>0.3</v>
      </c>
      <c r="AJ82" s="431">
        <f t="shared" si="24"/>
        <v>0</v>
      </c>
      <c r="AK82" s="338">
        <v>0</v>
      </c>
      <c r="AL82" s="435">
        <f>'[3]Key parameters rpt'!H92</f>
        <v>0.75</v>
      </c>
      <c r="AM82" s="429">
        <f>C82*AL82</f>
        <v>151683.29550206248</v>
      </c>
      <c r="AN82" s="438">
        <f>AN64*(1-'[3]Key parameters rpt'!H98)</f>
        <v>0.315</v>
      </c>
      <c r="AO82" s="439">
        <f>AQ82-AP82</f>
        <v>92443.844694128798</v>
      </c>
      <c r="AP82">
        <f>'[3]EF-1'!B31*[3]Waste!N6*1000/1000/1000/1000*'[3]Key parameters rpt'!C67</f>
        <v>0</v>
      </c>
      <c r="AQ82" s="322">
        <f>AN82*B82*AM82*'[3]EF-1'!$R$25/1000/1000</f>
        <v>92443.844694128798</v>
      </c>
      <c r="AR82" s="431">
        <f>AQ82*'[3]EF-1'!$K$30</f>
        <v>1774921.8181272729</v>
      </c>
      <c r="AS82" s="432">
        <f>'[3]Key parameters rpt'!I92</f>
        <v>0</v>
      </c>
      <c r="AT82" s="429">
        <f>C82*AS82</f>
        <v>0</v>
      </c>
      <c r="AU82" s="440">
        <f>IF('[3]Key parameters rpt'!$O$4='[3]Key parameters rpt'!$D$4,[3]Transport!AU64,[3]Transport!AZ64*(1-'[3]Key parameters rpt'!I98))</f>
        <v>39.503175332941034</v>
      </c>
      <c r="AV82" s="322">
        <f>IF('[3]Key parameters rpt'!$O$4='[3]Key parameters rpt'!$D$4,BG59*B82*AT82*AU82*(1-'[3]Key parameters rpt'!I98),B82*AT82*AU82/100*'[3]EF-1'!$R$22/1000/1000)</f>
        <v>0</v>
      </c>
      <c r="AW82" s="340">
        <f>IF('[3]Key parameters rpt'!$O$4='[3]Key parameters rpt'!$D$4,BH59*B82*AT82*AU82*(1-'[3]Key parameters rpt'!I98), AV82*'[3]EF-1'!K30)</f>
        <v>0</v>
      </c>
      <c r="AX82" s="128"/>
      <c r="BG82" s="163">
        <f>L82+Q82+W82+AB82+AG82+AL82+AS82</f>
        <v>1</v>
      </c>
    </row>
    <row r="83" spans="1:59" ht="15" customHeight="1" outlineLevel="1">
      <c r="A83" s="357" t="s">
        <v>372</v>
      </c>
      <c r="B83" s="358">
        <f>K48</f>
        <v>31356.014659617937</v>
      </c>
      <c r="C83" s="319">
        <f>J48</f>
        <v>53995.374575415211</v>
      </c>
      <c r="D83" s="320">
        <f>+Z78</f>
        <v>1493.1690037784194</v>
      </c>
      <c r="E83" s="321"/>
      <c r="F83" s="322">
        <f t="shared" si="21"/>
        <v>0</v>
      </c>
      <c r="G83" s="323">
        <f>O83+T83++Z78+AE83+AJ83+AQ83+AV83</f>
        <v>1493.1690037784194</v>
      </c>
      <c r="H83" s="324">
        <f t="shared" si="22"/>
        <v>0</v>
      </c>
      <c r="I83" s="325"/>
      <c r="J83" s="322">
        <f t="shared" si="23"/>
        <v>0</v>
      </c>
      <c r="K83" s="336"/>
      <c r="L83" s="444">
        <v>0</v>
      </c>
      <c r="M83" s="429">
        <f t="shared" si="17"/>
        <v>0</v>
      </c>
      <c r="N83" s="338"/>
      <c r="O83" s="338"/>
      <c r="P83" s="336"/>
      <c r="Q83" s="331"/>
      <c r="R83" s="429"/>
      <c r="S83" s="445"/>
      <c r="T83" s="338"/>
      <c r="U83" s="322"/>
      <c r="V83" s="357" t="str">
        <f t="shared" si="18"/>
        <v xml:space="preserve">Heavy </v>
      </c>
      <c r="W83" s="333"/>
      <c r="X83" s="429"/>
      <c r="Y83" s="338"/>
      <c r="AA83" s="322">
        <f>Z83/3.6*1000000*[3]Electricity!$R$19/1000000</f>
        <v>0</v>
      </c>
      <c r="AB83" s="446"/>
      <c r="AC83" s="429"/>
      <c r="AD83" s="447"/>
      <c r="AE83" s="338"/>
      <c r="AF83" s="336"/>
      <c r="AG83" s="337"/>
      <c r="AH83" s="429"/>
      <c r="AI83" s="338"/>
      <c r="AJ83" s="338"/>
      <c r="AK83" s="338"/>
      <c r="AL83" s="448"/>
      <c r="AM83" s="429"/>
      <c r="AN83" s="338"/>
      <c r="AO83" s="338"/>
      <c r="AQ83" s="338"/>
      <c r="AR83" s="431">
        <f>$B83*AM83*AN83*'[3]EF-1'!$I$30/1000</f>
        <v>0</v>
      </c>
      <c r="AS83" s="449"/>
      <c r="AT83" s="429"/>
      <c r="AU83" s="338"/>
      <c r="AV83" s="338"/>
      <c r="AW83" s="362"/>
      <c r="AX83" s="450"/>
    </row>
    <row r="84" spans="1:59" ht="15" customHeight="1" outlineLevel="1">
      <c r="A84" s="357" t="s">
        <v>373</v>
      </c>
      <c r="B84" s="363">
        <f>K47</f>
        <v>31355.97548518897</v>
      </c>
      <c r="C84" s="319">
        <f>J47</f>
        <v>20573.335728342288</v>
      </c>
      <c r="D84" s="320">
        <f t="shared" si="20"/>
        <v>0</v>
      </c>
      <c r="E84" s="321"/>
      <c r="F84" s="322">
        <f t="shared" si="21"/>
        <v>0</v>
      </c>
      <c r="G84" s="323">
        <f>O84+T84++Z84+AE84+AJ84+AQ84+AV84</f>
        <v>0</v>
      </c>
      <c r="H84" s="324">
        <f t="shared" si="22"/>
        <v>0</v>
      </c>
      <c r="I84" s="325"/>
      <c r="J84" s="322">
        <f t="shared" si="23"/>
        <v>0</v>
      </c>
      <c r="K84" s="336"/>
      <c r="L84" s="444">
        <v>0</v>
      </c>
      <c r="M84" s="429">
        <f t="shared" si="17"/>
        <v>0</v>
      </c>
      <c r="N84" s="338"/>
      <c r="O84" s="338"/>
      <c r="P84" s="336"/>
      <c r="Q84" s="331"/>
      <c r="R84" s="429"/>
      <c r="S84" s="338"/>
      <c r="T84" s="338"/>
      <c r="U84" s="322"/>
      <c r="V84" s="357" t="str">
        <f t="shared" si="18"/>
        <v xml:space="preserve">Medium </v>
      </c>
      <c r="W84" s="333"/>
      <c r="X84" s="429"/>
      <c r="Y84" s="338"/>
      <c r="Z84" s="338"/>
      <c r="AA84" s="322">
        <f>Z84/3.6*1000000*[3]Electricity!$R$19/1000000</f>
        <v>0</v>
      </c>
      <c r="AB84" s="446"/>
      <c r="AC84" s="429"/>
      <c r="AD84" s="451"/>
      <c r="AE84" s="338"/>
      <c r="AF84" s="336"/>
      <c r="AG84" s="337"/>
      <c r="AH84" s="429"/>
      <c r="AI84" s="338"/>
      <c r="AJ84" s="338"/>
      <c r="AK84" s="338"/>
      <c r="AL84" s="448"/>
      <c r="AM84" s="429"/>
      <c r="AN84" s="338"/>
      <c r="AO84" s="338"/>
      <c r="AQ84" s="452"/>
      <c r="AR84" s="431">
        <f>$B84*AM84*AN84*'[3]EF-1'!$I$30/1000</f>
        <v>0</v>
      </c>
      <c r="AS84" s="449"/>
      <c r="AT84" s="429"/>
      <c r="AU84" s="338"/>
      <c r="AV84" s="338"/>
      <c r="AW84" s="362"/>
      <c r="AX84" s="57"/>
    </row>
    <row r="85" spans="1:59" ht="15" customHeight="1" outlineLevel="1">
      <c r="A85" s="357" t="s">
        <v>374</v>
      </c>
      <c r="B85" s="358">
        <f>K46</f>
        <v>28642.702070808285</v>
      </c>
      <c r="C85" s="319">
        <f>J46</f>
        <v>125835.68369899248</v>
      </c>
      <c r="D85" s="320">
        <f t="shared" si="20"/>
        <v>0</v>
      </c>
      <c r="E85" s="321"/>
      <c r="F85" s="322">
        <f t="shared" si="21"/>
        <v>0</v>
      </c>
      <c r="G85" s="323">
        <f>O85+T85++Z85+AE85+AJ85+AQ85+AV85</f>
        <v>0</v>
      </c>
      <c r="H85" s="324">
        <f t="shared" si="22"/>
        <v>0</v>
      </c>
      <c r="I85" s="325"/>
      <c r="J85" s="322">
        <f t="shared" si="23"/>
        <v>0</v>
      </c>
      <c r="K85" s="336"/>
      <c r="L85" s="444">
        <v>0</v>
      </c>
      <c r="M85" s="429">
        <f t="shared" si="17"/>
        <v>0</v>
      </c>
      <c r="N85" s="338"/>
      <c r="O85" s="338"/>
      <c r="P85" s="336"/>
      <c r="Q85" s="331"/>
      <c r="R85" s="429"/>
      <c r="S85" s="338"/>
      <c r="T85" s="338"/>
      <c r="U85" s="322"/>
      <c r="V85" s="357" t="str">
        <f t="shared" si="18"/>
        <v xml:space="preserve">Light </v>
      </c>
      <c r="W85" s="333"/>
      <c r="X85" s="429"/>
      <c r="Y85" s="451"/>
      <c r="Z85" s="338"/>
      <c r="AA85" s="322">
        <f>Z85/3.6*1000000*[3]Electricity!$R$19/1000000</f>
        <v>0</v>
      </c>
      <c r="AB85" s="446"/>
      <c r="AC85" s="429"/>
      <c r="AD85" s="451"/>
      <c r="AE85" s="338"/>
      <c r="AF85" s="336"/>
      <c r="AG85" s="337"/>
      <c r="AH85" s="429"/>
      <c r="AI85" s="338"/>
      <c r="AJ85" s="338"/>
      <c r="AK85" s="338"/>
      <c r="AL85" s="448"/>
      <c r="AM85" s="429"/>
      <c r="AN85" s="338"/>
      <c r="AO85" s="338"/>
      <c r="AQ85" s="338"/>
      <c r="AR85" s="431">
        <f>$B85*AM85*AN85*'[3]EF-1'!$I$30/1000</f>
        <v>0</v>
      </c>
      <c r="AS85" s="449"/>
      <c r="AT85" s="429"/>
      <c r="AU85" s="338"/>
      <c r="AV85" s="338"/>
      <c r="AW85" s="362"/>
    </row>
    <row r="86" spans="1:59" ht="15" customHeight="1" outlineLevel="1">
      <c r="A86" s="364" t="s">
        <v>375</v>
      </c>
      <c r="B86" s="365"/>
      <c r="C86" s="366"/>
      <c r="D86" s="320">
        <f t="shared" si="20"/>
        <v>0</v>
      </c>
      <c r="E86" s="321"/>
      <c r="F86" s="322">
        <f t="shared" si="21"/>
        <v>0</v>
      </c>
      <c r="G86" s="323">
        <f>O86+T86++Z86+AE86+AJ86+AQ86+AV86</f>
        <v>0</v>
      </c>
      <c r="H86" s="324">
        <f t="shared" si="22"/>
        <v>0</v>
      </c>
      <c r="I86" s="325"/>
      <c r="J86" s="322">
        <f t="shared" si="23"/>
        <v>0</v>
      </c>
      <c r="K86" s="336"/>
      <c r="L86" s="444">
        <v>0</v>
      </c>
      <c r="M86" s="429">
        <f t="shared" si="17"/>
        <v>0</v>
      </c>
      <c r="N86" s="338"/>
      <c r="O86" s="338"/>
      <c r="P86" s="336"/>
      <c r="Q86" s="331"/>
      <c r="R86" s="429"/>
      <c r="S86" s="338"/>
      <c r="T86" s="338"/>
      <c r="U86" s="322"/>
      <c r="V86" s="357" t="str">
        <f t="shared" si="18"/>
        <v>Special purpose</v>
      </c>
      <c r="W86" s="333"/>
      <c r="X86" s="429"/>
      <c r="Y86" s="338"/>
      <c r="Z86" s="338"/>
      <c r="AA86" s="322">
        <f>Z86/3.6*1000000*[3]Electricity!$R$19/1000000</f>
        <v>0</v>
      </c>
      <c r="AB86" s="446"/>
      <c r="AC86" s="429"/>
      <c r="AD86" s="451"/>
      <c r="AE86" s="338"/>
      <c r="AF86" s="336"/>
      <c r="AG86" s="337"/>
      <c r="AH86" s="429"/>
      <c r="AI86" s="338"/>
      <c r="AJ86" s="338"/>
      <c r="AK86" s="338"/>
      <c r="AL86" s="448"/>
      <c r="AM86" s="429"/>
      <c r="AN86" s="338"/>
      <c r="AO86" s="338"/>
      <c r="AQ86" s="338"/>
      <c r="AR86" s="431">
        <f>$B86*AM86*AN86*'[3]EF-1'!$I$30/1000</f>
        <v>0</v>
      </c>
      <c r="AS86" s="449"/>
      <c r="AU86" s="338"/>
      <c r="AV86" s="338"/>
      <c r="AW86" s="362"/>
    </row>
    <row r="87" spans="1:59" outlineLevel="1">
      <c r="A87" s="171" t="s">
        <v>386</v>
      </c>
      <c r="B87" s="386"/>
      <c r="C87" s="319">
        <f t="shared" ref="C87:K87" si="25">SUM(C78:C82)</f>
        <v>729934.48010428739</v>
      </c>
      <c r="D87" s="453">
        <f>SUM(D78:D82)</f>
        <v>5773.8686192618206</v>
      </c>
      <c r="E87" s="454">
        <f t="shared" si="25"/>
        <v>0</v>
      </c>
      <c r="F87" s="455">
        <f t="shared" si="25"/>
        <v>215406.95632864576</v>
      </c>
      <c r="G87" s="456">
        <f t="shared" si="25"/>
        <v>221180.82494790759</v>
      </c>
      <c r="H87" s="457">
        <f t="shared" si="25"/>
        <v>17257.926463958818</v>
      </c>
      <c r="I87" s="198">
        <f t="shared" si="25"/>
        <v>0</v>
      </c>
      <c r="J87" s="198">
        <f>SUM(J78+J79+J80+J81+J82)</f>
        <v>2772175.495147225</v>
      </c>
      <c r="K87" s="458">
        <f t="shared" si="25"/>
        <v>2789433.4216111838</v>
      </c>
      <c r="L87" s="453"/>
      <c r="M87" s="459">
        <f>SUM(M78:M82)</f>
        <v>68892.222826024765</v>
      </c>
      <c r="N87" s="459"/>
      <c r="O87" s="459">
        <f>SUM(O78:O82)</f>
        <v>1626.1932073362614</v>
      </c>
      <c r="P87" s="456">
        <f>SUM(P78:P82)</f>
        <v>109930.66081593125</v>
      </c>
      <c r="Q87" s="459"/>
      <c r="R87" s="459">
        <f>SUM(R78:R82)</f>
        <v>40448.878800550003</v>
      </c>
      <c r="S87" s="459"/>
      <c r="T87" s="459">
        <f>SUM(T78:T82)</f>
        <v>10711.366362777053</v>
      </c>
      <c r="U87" s="455">
        <f>SUM(U78:U82)</f>
        <v>776697.46413961705</v>
      </c>
      <c r="V87" s="460" t="str">
        <f t="shared" si="18"/>
        <v>sub-total (vehicle)</v>
      </c>
      <c r="W87" s="453"/>
      <c r="X87" s="459">
        <f>SUM(X78:X82)</f>
        <v>448920.44443270762</v>
      </c>
      <c r="Y87" s="459"/>
      <c r="Z87" s="459">
        <f>SUM(Z78:Z82)</f>
        <v>5773.8686192618206</v>
      </c>
      <c r="AA87" s="459">
        <f>SUM(AA78:AA82)</f>
        <v>17257.926463958818</v>
      </c>
      <c r="AB87" s="453"/>
      <c r="AC87" s="459">
        <f>SUM(AC78:AC82)</f>
        <v>0</v>
      </c>
      <c r="AD87" s="459"/>
      <c r="AE87" s="459">
        <f>SUM(AE78:AE82)</f>
        <v>0</v>
      </c>
      <c r="AF87" s="456">
        <f>SUM(AF78:AF82)</f>
        <v>0</v>
      </c>
      <c r="AG87" s="459"/>
      <c r="AH87" s="459">
        <f>SUM(AH78:AH82)</f>
        <v>0</v>
      </c>
      <c r="AI87" s="459"/>
      <c r="AJ87" s="459">
        <f>SUM(AJ78:AJ82)</f>
        <v>0</v>
      </c>
      <c r="AK87" s="459">
        <f>SUM(AK78:AK82)</f>
        <v>0</v>
      </c>
      <c r="AL87" s="453"/>
      <c r="AM87" s="459">
        <f>SUM(AM78:AM82)</f>
        <v>171672.93404500489</v>
      </c>
      <c r="AN87" s="459"/>
      <c r="AO87" s="459"/>
      <c r="AP87" s="459">
        <f>SUM(AP78:AP82)</f>
        <v>0</v>
      </c>
      <c r="AQ87" s="459">
        <f>SUM(AQ78:AQ82)</f>
        <v>98205.592197483158</v>
      </c>
      <c r="AR87" s="456">
        <f>SUM(AR78:AR82)</f>
        <v>1885547.3701916765</v>
      </c>
      <c r="AS87" s="453"/>
      <c r="AT87" s="459">
        <f>SUM(AT78:AT82)</f>
        <v>0</v>
      </c>
      <c r="AU87" s="459"/>
      <c r="AV87" s="459">
        <f>SUM(AV78:AV82)</f>
        <v>0</v>
      </c>
      <c r="AW87" s="456">
        <f>SUM(AW78:AW82)</f>
        <v>0</v>
      </c>
    </row>
    <row r="88" spans="1:59" outlineLevel="1">
      <c r="A88" s="171" t="s">
        <v>377</v>
      </c>
      <c r="B88" s="386"/>
      <c r="C88" s="394"/>
      <c r="D88" s="320">
        <f t="shared" ref="D88:D90" si="26">+Z88</f>
        <v>3573.3589145355368</v>
      </c>
      <c r="E88" s="92"/>
      <c r="F88" s="322">
        <f t="shared" ref="F88" si="27">+G88-E88-D88</f>
        <v>0</v>
      </c>
      <c r="G88" s="319">
        <f>O88+T88++Z88+AE88+AJ88+AQ88+AV88</f>
        <v>3573.3589145355368</v>
      </c>
      <c r="H88" s="324">
        <f>+AA88</f>
        <v>8700.1750976457333</v>
      </c>
      <c r="I88" s="92"/>
      <c r="J88" s="322">
        <f t="shared" ref="J88:J89" si="28">+K88-I88-H88</f>
        <v>0</v>
      </c>
      <c r="K88" s="323">
        <f>P88+U88++AA88+AF88+AK88+AR88+AW88</f>
        <v>8700.1750976457333</v>
      </c>
      <c r="L88" s="461"/>
      <c r="M88" s="462"/>
      <c r="N88" s="99"/>
      <c r="O88" s="99"/>
      <c r="P88" s="394"/>
      <c r="Q88" s="463"/>
      <c r="R88" s="462"/>
      <c r="S88" s="99"/>
      <c r="T88" s="99"/>
      <c r="U88" s="464"/>
      <c r="V88" s="465" t="str">
        <f t="shared" si="18"/>
        <v>MTR &amp; tram</v>
      </c>
      <c r="W88" s="461"/>
      <c r="X88" s="462"/>
      <c r="Y88" s="99"/>
      <c r="Z88" s="429">
        <f>+Z70*(1-'[3]Key parameters rpt'!E99)*[3]Transport!N42/[3]Transport!F42</f>
        <v>3573.3589145355368</v>
      </c>
      <c r="AA88" s="322">
        <f>Z88*[3]Electricity!$S$19*1000</f>
        <v>8700.1750976457333</v>
      </c>
      <c r="AB88" s="466"/>
      <c r="AC88" s="462"/>
      <c r="AD88" s="99"/>
      <c r="AE88" s="99"/>
      <c r="AF88" s="394"/>
      <c r="AG88" s="467"/>
      <c r="AH88" s="462"/>
      <c r="AI88" s="99"/>
      <c r="AJ88" s="99"/>
      <c r="AK88" s="99"/>
      <c r="AL88" s="466"/>
      <c r="AM88" s="462"/>
      <c r="AN88" s="99"/>
      <c r="AO88" s="468"/>
      <c r="AQ88" s="99"/>
      <c r="AR88" s="394"/>
      <c r="AS88" s="469"/>
      <c r="AT88" s="470"/>
      <c r="AU88" s="471"/>
      <c r="AV88" s="471"/>
      <c r="AW88" s="472"/>
    </row>
    <row r="89" spans="1:59" outlineLevel="1">
      <c r="A89" s="171" t="s">
        <v>387</v>
      </c>
      <c r="B89" s="386"/>
      <c r="C89" s="394"/>
      <c r="D89" s="473">
        <f t="shared" si="26"/>
        <v>0</v>
      </c>
      <c r="E89"/>
      <c r="F89" s="347">
        <f>+G89-E89-D89</f>
        <v>2534.6479357798157</v>
      </c>
      <c r="G89" s="343">
        <f>(O89+T89++Z89+AE89+AJ89+AQ89+AV89)*(1-(([3]Transport!E43-[3]Transport!M43)/[3]Transport!E43))</f>
        <v>2534.6479357798157</v>
      </c>
      <c r="H89" s="183"/>
      <c r="J89" s="347">
        <f t="shared" si="28"/>
        <v>336163.41013824876</v>
      </c>
      <c r="K89" s="344">
        <f>P89+U89++AA89+AF89+AK89+AR89+AW89</f>
        <v>336163.41013824876</v>
      </c>
      <c r="L89" s="474"/>
      <c r="M89" s="418"/>
      <c r="N89" s="52"/>
      <c r="O89" s="52"/>
      <c r="P89" s="285"/>
      <c r="Q89" s="475"/>
      <c r="R89" s="418"/>
      <c r="S89" s="52"/>
      <c r="T89" s="52">
        <v>4636</v>
      </c>
      <c r="U89" s="322">
        <f>'[3]EF-1'!$K$16*[3]Transport!T89</f>
        <v>336163.41013824876</v>
      </c>
      <c r="V89" s="171" t="s">
        <v>387</v>
      </c>
      <c r="W89" s="474"/>
      <c r="X89" s="418"/>
      <c r="Y89" s="52"/>
      <c r="Z89" s="346"/>
      <c r="AA89" s="347"/>
      <c r="AB89" s="476"/>
      <c r="AC89" s="418"/>
      <c r="AD89" s="52"/>
      <c r="AE89" s="52"/>
      <c r="AF89" s="285"/>
      <c r="AG89" s="477"/>
      <c r="AH89" s="418"/>
      <c r="AI89" s="52"/>
      <c r="AJ89" s="52"/>
      <c r="AK89" s="52"/>
      <c r="AL89" s="476"/>
      <c r="AM89" s="418"/>
      <c r="AN89" s="52"/>
      <c r="AO89" s="52"/>
      <c r="AQ89" s="52"/>
      <c r="AR89" s="285"/>
      <c r="AS89" s="478"/>
      <c r="AT89" s="418"/>
      <c r="AU89" s="52"/>
      <c r="AV89" s="52"/>
      <c r="AW89" s="479"/>
    </row>
    <row r="90" spans="1:59" ht="30" outlineLevel="1">
      <c r="A90" s="398" t="s">
        <v>379</v>
      </c>
      <c r="B90" s="399"/>
      <c r="C90" s="400"/>
      <c r="D90" s="367">
        <f t="shared" si="26"/>
        <v>0</v>
      </c>
      <c r="E90" s="278"/>
      <c r="F90" s="369">
        <v>2961</v>
      </c>
      <c r="G90" s="366">
        <v>2961</v>
      </c>
      <c r="H90" s="401"/>
      <c r="I90" s="123"/>
      <c r="J90" s="369"/>
      <c r="K90" s="370"/>
      <c r="L90" s="250"/>
      <c r="M90" s="278"/>
      <c r="N90" s="123"/>
      <c r="O90" s="123"/>
      <c r="P90" s="124"/>
      <c r="Q90" s="123"/>
      <c r="R90" s="123"/>
      <c r="S90" s="123"/>
      <c r="T90" s="480">
        <v>2961</v>
      </c>
      <c r="U90" s="322">
        <f>'[3]EF-1'!$K$16*[3]Transport!T90</f>
        <v>214706.61290322576</v>
      </c>
      <c r="V90" s="398" t="str">
        <f t="shared" si="18"/>
        <v>Ferry &amp; internal air - freight</v>
      </c>
      <c r="W90" s="481"/>
      <c r="X90" s="280"/>
      <c r="Y90" s="280"/>
      <c r="Z90" s="280"/>
      <c r="AA90" s="280"/>
      <c r="AB90" s="401"/>
      <c r="AC90" s="123"/>
      <c r="AD90" s="123"/>
      <c r="AE90" s="123"/>
      <c r="AF90" s="124"/>
      <c r="AG90" s="123"/>
      <c r="AH90" s="123"/>
      <c r="AI90" s="123"/>
      <c r="AJ90" s="123"/>
      <c r="AK90" s="123"/>
      <c r="AL90" s="401"/>
      <c r="AM90" s="123"/>
      <c r="AN90" s="123"/>
      <c r="AQ90" s="123"/>
      <c r="AR90" s="124"/>
      <c r="AS90" s="123"/>
      <c r="AT90" s="123"/>
      <c r="AU90" s="123"/>
      <c r="AV90" s="123"/>
      <c r="AW90" s="404"/>
    </row>
    <row r="91" spans="1:59" ht="15.75" outlineLevel="1" thickBot="1">
      <c r="A91" s="405" t="s">
        <v>380</v>
      </c>
      <c r="B91" s="406"/>
      <c r="C91" s="407"/>
      <c r="D91" s="408">
        <f>SUM(D87:D90)</f>
        <v>9347.227533797357</v>
      </c>
      <c r="E91" s="409">
        <f t="shared" ref="E91:K91" si="29">SUM(E87:E90)</f>
        <v>0</v>
      </c>
      <c r="F91" s="409">
        <f t="shared" si="29"/>
        <v>220902.60426442558</v>
      </c>
      <c r="G91" s="407">
        <f t="shared" si="29"/>
        <v>230249.83179822296</v>
      </c>
      <c r="H91" s="408">
        <f>SUM(H87:H90)</f>
        <v>25958.101561604552</v>
      </c>
      <c r="I91" s="409">
        <f t="shared" si="29"/>
        <v>0</v>
      </c>
      <c r="J91" s="409">
        <f t="shared" si="29"/>
        <v>3108338.9052854739</v>
      </c>
      <c r="K91" s="407">
        <f t="shared" si="29"/>
        <v>3134297.0068470784</v>
      </c>
      <c r="L91" s="410"/>
      <c r="M91" s="411"/>
      <c r="N91" s="412"/>
      <c r="O91" s="413">
        <f>SUM(O87:O90)</f>
        <v>1626.1932073362614</v>
      </c>
      <c r="P91" s="414">
        <f>SUM(P87:P90)</f>
        <v>109930.66081593125</v>
      </c>
      <c r="Q91" s="412"/>
      <c r="R91" s="412"/>
      <c r="S91" s="412"/>
      <c r="T91" s="413">
        <f>SUM(T87:T90)</f>
        <v>18308.366362777051</v>
      </c>
      <c r="U91" s="482">
        <f>SUM(U87:U90)</f>
        <v>1327567.4871810914</v>
      </c>
      <c r="V91" s="415" t="str">
        <f t="shared" si="18"/>
        <v>TOTAL</v>
      </c>
      <c r="W91" s="416"/>
      <c r="X91" s="412"/>
      <c r="Y91" s="412"/>
      <c r="Z91" s="413">
        <f>SUM(Z87:Z90)</f>
        <v>9347.227533797357</v>
      </c>
      <c r="AA91" s="413">
        <f>SUM(AA87:AA90)</f>
        <v>25958.101561604552</v>
      </c>
      <c r="AB91" s="416"/>
      <c r="AC91" s="412"/>
      <c r="AD91" s="412"/>
      <c r="AE91" s="413">
        <f>SUM(AE87:AE90)</f>
        <v>0</v>
      </c>
      <c r="AF91" s="413">
        <f>SUM(AF87:AF90)</f>
        <v>0</v>
      </c>
      <c r="AG91" s="416"/>
      <c r="AH91" s="412"/>
      <c r="AI91" s="412"/>
      <c r="AJ91" s="413">
        <f>SUM(AJ87:AJ90)</f>
        <v>0</v>
      </c>
      <c r="AK91" s="414">
        <f>SUM(AK87:AK90)</f>
        <v>0</v>
      </c>
      <c r="AL91" s="416"/>
      <c r="AM91" s="412"/>
      <c r="AN91" s="412"/>
      <c r="AO91" s="412"/>
      <c r="AP91" s="412"/>
      <c r="AQ91" s="413">
        <f>SUM(AQ87:AQ90)</f>
        <v>98205.592197483158</v>
      </c>
      <c r="AR91" s="413">
        <f>SUM(AR87:AR90)</f>
        <v>1885547.3701916765</v>
      </c>
      <c r="AS91" s="412"/>
      <c r="AT91" s="412"/>
      <c r="AU91" s="412"/>
      <c r="AV91" s="413">
        <f>SUM(AV87:AV90)</f>
        <v>0</v>
      </c>
      <c r="AW91" s="483">
        <f>SUM(AW87:AW90)</f>
        <v>0</v>
      </c>
    </row>
    <row r="92" spans="1:59" s="92" customFormat="1" ht="23.25">
      <c r="A92" s="484" t="s">
        <v>338</v>
      </c>
      <c r="B92" s="484"/>
      <c r="C92" s="99"/>
      <c r="D92" s="99"/>
      <c r="E92" s="99"/>
      <c r="F92" s="99"/>
      <c r="G92" s="99"/>
      <c r="H92" s="99"/>
      <c r="U92" s="242"/>
      <c r="V92" s="484" t="s">
        <v>338</v>
      </c>
      <c r="AA92" s="242">
        <f>Z78*1000*[3]Electricity!S19*1000*1000/X78/B78</f>
        <v>0.9816843712792046</v>
      </c>
    </row>
  </sheetData>
  <mergeCells count="26">
    <mergeCell ref="B76:B77"/>
    <mergeCell ref="C76:C77"/>
    <mergeCell ref="D76:G76"/>
    <mergeCell ref="H76:K76"/>
    <mergeCell ref="A15:F16"/>
    <mergeCell ref="O19:P21"/>
    <mergeCell ref="A24:F24"/>
    <mergeCell ref="G31:N31"/>
    <mergeCell ref="B53:B55"/>
    <mergeCell ref="B58:B59"/>
    <mergeCell ref="C58:C59"/>
    <mergeCell ref="D58:G58"/>
    <mergeCell ref="H58:K58"/>
    <mergeCell ref="Q6:R7"/>
    <mergeCell ref="A7:A8"/>
    <mergeCell ref="H8:I9"/>
    <mergeCell ref="A9:B10"/>
    <mergeCell ref="D9:E10"/>
    <mergeCell ref="O9:P10"/>
    <mergeCell ref="A5:B6"/>
    <mergeCell ref="D5:E6"/>
    <mergeCell ref="G5:H6"/>
    <mergeCell ref="K5:L6"/>
    <mergeCell ref="O5:P6"/>
    <mergeCell ref="I6:J7"/>
    <mergeCell ref="M6:N8"/>
  </mergeCells>
  <hyperlinks>
    <hyperlink ref="I15" r:id="rId1" display="https://www.td.gov.hk/filemanager/en/content_4854/table21s.pdf" xr:uid="{8CB8AFC4-F6B9-4016-BD5C-1AFE21AA9D19}"/>
    <hyperlink ref="I16" r:id="rId2" xr:uid="{2C4AE128-BD62-48E5-B701-944D67BEA5DB}"/>
    <hyperlink ref="I17" r:id="rId3" xr:uid="{1C82B72C-3BC1-4704-8969-E076D7FFB5B7}"/>
    <hyperlink ref="I18" r:id="rId4" xr:uid="{875A3CEF-6301-4A2A-8A2D-E988B875E236}"/>
    <hyperlink ref="I19" r:id="rId5" xr:uid="{611E326F-EDCD-4B5E-A058-633D53BD27E9}"/>
    <hyperlink ref="I20" r:id="rId6" xr:uid="{52C23794-1108-487B-89C8-E49E86379A55}"/>
    <hyperlink ref="I21" r:id="rId7" display="Hong Kong Population Projections 2017-2066" xr:uid="{DA62D5B9-8F48-4F89-BD14-02407C7C7001}"/>
    <hyperlink ref="J29" r:id="rId8" xr:uid="{B1756B6C-DA8D-4F29-B582-E7062B1F4751}"/>
    <hyperlink ref="M29" r:id="rId9" xr:uid="{0634C4E8-8283-41B3-A3DE-0BFDADD9B7F4}"/>
  </hyperlinks>
  <pageMargins left="0.7" right="0.7" top="0.75" bottom="0.75" header="0.3" footer="0.3"/>
  <drawing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D693-C678-412D-AFA4-ABCA8DF692FB}">
  <dimension ref="A1:F12"/>
  <sheetViews>
    <sheetView workbookViewId="0">
      <selection activeCell="G8" sqref="G8"/>
    </sheetView>
  </sheetViews>
  <sheetFormatPr defaultRowHeight="15"/>
  <cols>
    <col min="1" max="1" width="16.7109375" customWidth="1"/>
    <col min="3" max="3" width="21" customWidth="1"/>
    <col min="4" max="4" width="16.42578125" customWidth="1"/>
    <col min="5" max="5" width="16" customWidth="1"/>
    <col min="6" max="6" width="16.7109375" customWidth="1"/>
    <col min="7" max="7" width="11.42578125" customWidth="1"/>
    <col min="8" max="8" width="11" customWidth="1"/>
  </cols>
  <sheetData>
    <row r="1" spans="1:6" ht="25.5">
      <c r="A1" s="26"/>
      <c r="B1" s="27"/>
      <c r="C1" s="28" t="s">
        <v>142</v>
      </c>
      <c r="D1" s="28" t="s">
        <v>143</v>
      </c>
      <c r="E1" s="28" t="s">
        <v>144</v>
      </c>
      <c r="F1" s="28" t="s">
        <v>145</v>
      </c>
    </row>
    <row r="2" spans="1:6" s="29" customFormat="1">
      <c r="A2" s="30" t="s">
        <v>146</v>
      </c>
      <c r="B2" s="13"/>
      <c r="C2" s="31">
        <v>596000000</v>
      </c>
      <c r="D2" s="13">
        <v>194</v>
      </c>
      <c r="E2" s="13">
        <f>C2/D2</f>
        <v>3072164.9484536084</v>
      </c>
      <c r="F2" s="29">
        <f>E2*0.621371</f>
        <v>1908954.2061855672</v>
      </c>
    </row>
    <row r="3" spans="1:6" s="29" customFormat="1">
      <c r="A3" s="30" t="s">
        <v>140</v>
      </c>
      <c r="B3" s="13"/>
      <c r="C3" s="31">
        <v>596000000</v>
      </c>
      <c r="D3" s="13">
        <v>194</v>
      </c>
      <c r="E3" s="13">
        <f>C3/D3</f>
        <v>3072164.9484536084</v>
      </c>
      <c r="F3" s="29">
        <f>E3*0.621371</f>
        <v>1908954.2061855672</v>
      </c>
    </row>
    <row r="4" spans="1:6" s="29" customFormat="1">
      <c r="A4" s="29" t="s">
        <v>147</v>
      </c>
      <c r="C4" s="31"/>
    </row>
    <row r="5" spans="1:6">
      <c r="A5" s="17"/>
      <c r="B5" s="17"/>
      <c r="C5" s="17"/>
      <c r="D5" s="17"/>
    </row>
    <row r="6" spans="1:6">
      <c r="A6" s="17"/>
      <c r="B6" s="17"/>
      <c r="C6" s="17"/>
      <c r="D6" s="17"/>
    </row>
    <row r="7" spans="1:6">
      <c r="A7" s="17" t="s">
        <v>148</v>
      </c>
      <c r="B7" s="17"/>
      <c r="C7" s="33"/>
      <c r="D7" s="17"/>
    </row>
    <row r="8" spans="1:6">
      <c r="A8" s="17"/>
      <c r="B8" s="17"/>
      <c r="C8" s="17"/>
      <c r="D8" s="17"/>
    </row>
    <row r="9" spans="1:6">
      <c r="A9" s="17"/>
      <c r="B9" s="17"/>
      <c r="C9" s="17"/>
      <c r="D9" s="17"/>
    </row>
    <row r="10" spans="1:6">
      <c r="A10" s="17"/>
      <c r="B10" s="17"/>
      <c r="C10" s="17"/>
      <c r="D10" s="17"/>
    </row>
    <row r="11" spans="1:6">
      <c r="A11" s="17"/>
      <c r="B11" s="17"/>
      <c r="C11" s="17"/>
      <c r="D11" s="17"/>
    </row>
    <row r="12" spans="1:6">
      <c r="A12" s="17"/>
      <c r="B12" s="17"/>
      <c r="C12" s="17"/>
      <c r="D12"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93C7A-E7B7-4DC7-93ED-3ECF9A66A2FD}">
  <sheetPr codeName="Module___2">
    <tabColor theme="5" tint="-0.499984740745262"/>
  </sheetPr>
  <dimension ref="A1:AD34"/>
  <sheetViews>
    <sheetView zoomScaleNormal="100" workbookViewId="0">
      <selection activeCell="J14" sqref="J14"/>
    </sheetView>
  </sheetViews>
  <sheetFormatPr defaultRowHeight="12.75"/>
  <cols>
    <col min="1" max="1" width="9.28515625" style="526" customWidth="1"/>
    <col min="2" max="2" width="8.42578125" style="526" customWidth="1"/>
    <col min="3" max="3" width="17" style="526" customWidth="1"/>
    <col min="4" max="4" width="8.85546875" style="532" customWidth="1"/>
    <col min="5" max="5" width="1.5703125" style="529" customWidth="1"/>
    <col min="6" max="6" width="7.5703125" style="531" customWidth="1"/>
    <col min="7" max="7" width="1.5703125" style="528" customWidth="1"/>
    <col min="8" max="8" width="7.5703125" style="531" customWidth="1"/>
    <col min="9" max="9" width="1.5703125" style="528" customWidth="1"/>
    <col min="10" max="10" width="8.85546875" style="530" customWidth="1"/>
    <col min="11" max="11" width="1.5703125" style="529" customWidth="1"/>
    <col min="12" max="12" width="7.5703125" style="526" customWidth="1"/>
    <col min="13" max="13" width="1.5703125" style="526" customWidth="1"/>
    <col min="14" max="14" width="7.5703125" style="526" customWidth="1"/>
    <col min="15" max="15" width="1.85546875" style="526" customWidth="1"/>
    <col min="16" max="16" width="11" style="528" customWidth="1"/>
    <col min="17" max="17" width="12.7109375" style="526" customWidth="1"/>
    <col min="18" max="18" width="8.85546875" style="526" customWidth="1"/>
    <col min="19" max="19" width="1.5703125" style="527" customWidth="1"/>
    <col min="20" max="20" width="9.28515625" style="526" customWidth="1"/>
    <col min="21" max="21" width="0.85546875" style="526" customWidth="1"/>
    <col min="22" max="22" width="9.28515625" style="526" customWidth="1"/>
    <col min="23" max="23" width="0.85546875" style="528" customWidth="1"/>
    <col min="24" max="24" width="9.7109375" style="526" customWidth="1"/>
    <col min="25" max="25" width="1.5703125" style="527" customWidth="1"/>
    <col min="26" max="26" width="9.28515625" style="526" customWidth="1"/>
    <col min="27" max="27" width="0.85546875" style="526" customWidth="1"/>
    <col min="28" max="28" width="9.28515625" style="526" customWidth="1"/>
    <col min="29" max="29" width="0.85546875" style="526" customWidth="1"/>
    <col min="30" max="30" width="5" style="526" customWidth="1"/>
    <col min="31" max="16384" width="9.140625" style="526"/>
  </cols>
  <sheetData>
    <row r="1" spans="1:30" ht="15.6" customHeight="1">
      <c r="A1" s="734" t="s">
        <v>467</v>
      </c>
      <c r="B1" s="733" t="s">
        <v>466</v>
      </c>
    </row>
    <row r="2" spans="1:30" ht="15.6" customHeight="1">
      <c r="A2" s="732" t="s">
        <v>465</v>
      </c>
      <c r="B2" s="731" t="s">
        <v>464</v>
      </c>
      <c r="AB2" s="730">
        <v>7</v>
      </c>
    </row>
    <row r="3" spans="1:30" ht="5.25" customHeight="1"/>
    <row r="4" spans="1:30" ht="14.25" customHeight="1">
      <c r="A4" s="717" t="s">
        <v>463</v>
      </c>
      <c r="B4" s="729"/>
      <c r="C4" s="729"/>
      <c r="D4" s="726" t="s">
        <v>462</v>
      </c>
      <c r="E4" s="725"/>
      <c r="F4" s="725"/>
      <c r="G4" s="725"/>
      <c r="H4" s="725"/>
      <c r="I4" s="724"/>
      <c r="J4" s="726" t="s">
        <v>461</v>
      </c>
      <c r="K4" s="725"/>
      <c r="L4" s="725"/>
      <c r="M4" s="725"/>
      <c r="N4" s="725"/>
      <c r="O4" s="728"/>
      <c r="P4" s="727" t="s">
        <v>460</v>
      </c>
      <c r="Q4" s="725"/>
      <c r="R4" s="725"/>
      <c r="S4" s="725"/>
      <c r="T4" s="725"/>
      <c r="U4" s="725"/>
      <c r="V4" s="725"/>
      <c r="W4" s="724"/>
      <c r="X4" s="726" t="s">
        <v>459</v>
      </c>
      <c r="Y4" s="725"/>
      <c r="Z4" s="725"/>
      <c r="AA4" s="725"/>
      <c r="AB4" s="725"/>
      <c r="AC4" s="724"/>
    </row>
    <row r="5" spans="1:30" ht="17.100000000000001" customHeight="1">
      <c r="A5" s="723"/>
      <c r="B5" s="723"/>
      <c r="C5" s="723"/>
      <c r="D5" s="720"/>
      <c r="E5" s="719"/>
      <c r="F5" s="719"/>
      <c r="G5" s="719"/>
      <c r="H5" s="719"/>
      <c r="I5" s="718"/>
      <c r="J5" s="720"/>
      <c r="K5" s="719"/>
      <c r="L5" s="719"/>
      <c r="M5" s="719"/>
      <c r="N5" s="719"/>
      <c r="O5" s="722"/>
      <c r="P5" s="721"/>
      <c r="Q5" s="719"/>
      <c r="R5" s="719"/>
      <c r="S5" s="719"/>
      <c r="T5" s="719"/>
      <c r="U5" s="719"/>
      <c r="V5" s="719"/>
      <c r="W5" s="718"/>
      <c r="X5" s="720"/>
      <c r="Y5" s="719"/>
      <c r="Z5" s="719"/>
      <c r="AA5" s="719"/>
      <c r="AB5" s="719"/>
      <c r="AC5" s="718"/>
    </row>
    <row r="6" spans="1:30" ht="12" customHeight="1">
      <c r="A6" s="717" t="s">
        <v>458</v>
      </c>
      <c r="B6" s="716" t="s">
        <v>457</v>
      </c>
      <c r="C6" s="693"/>
      <c r="D6" s="707" t="s">
        <v>456</v>
      </c>
      <c r="E6" s="705"/>
      <c r="F6" s="707" t="s">
        <v>453</v>
      </c>
      <c r="G6" s="706"/>
      <c r="H6" s="706"/>
      <c r="I6" s="705"/>
      <c r="J6" s="715" t="s">
        <v>456</v>
      </c>
      <c r="K6" s="714"/>
      <c r="L6" s="707" t="s">
        <v>453</v>
      </c>
      <c r="M6" s="706"/>
      <c r="N6" s="706"/>
      <c r="O6" s="713"/>
      <c r="P6" s="712" t="s">
        <v>455</v>
      </c>
      <c r="Q6" s="711"/>
      <c r="R6" s="711"/>
      <c r="S6" s="710"/>
      <c r="T6" s="707" t="s">
        <v>453</v>
      </c>
      <c r="U6" s="706"/>
      <c r="V6" s="706"/>
      <c r="W6" s="705"/>
      <c r="X6" s="709" t="s">
        <v>454</v>
      </c>
      <c r="Y6" s="708"/>
      <c r="Z6" s="707" t="s">
        <v>453</v>
      </c>
      <c r="AA6" s="706"/>
      <c r="AB6" s="706"/>
      <c r="AC6" s="705"/>
    </row>
    <row r="7" spans="1:30" ht="24">
      <c r="A7" s="694"/>
      <c r="B7" s="693"/>
      <c r="C7" s="693"/>
      <c r="D7" s="704" t="s">
        <v>452</v>
      </c>
      <c r="E7" s="703"/>
      <c r="F7" s="697" t="s">
        <v>450</v>
      </c>
      <c r="G7" s="696"/>
      <c r="H7" s="696"/>
      <c r="I7" s="695"/>
      <c r="J7" s="702" t="s">
        <v>452</v>
      </c>
      <c r="K7" s="701"/>
      <c r="L7" s="697" t="s">
        <v>450</v>
      </c>
      <c r="M7" s="696"/>
      <c r="N7" s="696"/>
      <c r="O7" s="700"/>
      <c r="P7" s="699"/>
      <c r="Q7" s="698" t="s">
        <v>451</v>
      </c>
      <c r="R7" s="686"/>
      <c r="S7" s="685"/>
      <c r="T7" s="697" t="s">
        <v>450</v>
      </c>
      <c r="U7" s="696"/>
      <c r="V7" s="696"/>
      <c r="W7" s="695"/>
      <c r="X7" s="684"/>
      <c r="Y7" s="683"/>
      <c r="Z7" s="697" t="s">
        <v>450</v>
      </c>
      <c r="AA7" s="696"/>
      <c r="AB7" s="696"/>
      <c r="AC7" s="695"/>
    </row>
    <row r="8" spans="1:30" ht="12.6" customHeight="1">
      <c r="A8" s="694"/>
      <c r="B8" s="693"/>
      <c r="C8" s="693"/>
      <c r="D8" s="692"/>
      <c r="E8" s="690"/>
      <c r="F8" s="682" t="s">
        <v>448</v>
      </c>
      <c r="G8" s="681"/>
      <c r="H8" s="682" t="s">
        <v>447</v>
      </c>
      <c r="I8" s="681"/>
      <c r="J8" s="691"/>
      <c r="K8" s="690"/>
      <c r="L8" s="682" t="s">
        <v>448</v>
      </c>
      <c r="M8" s="681"/>
      <c r="N8" s="682" t="s">
        <v>447</v>
      </c>
      <c r="O8" s="689"/>
      <c r="P8" s="688" t="s">
        <v>449</v>
      </c>
      <c r="Q8" s="687"/>
      <c r="R8" s="686"/>
      <c r="S8" s="685"/>
      <c r="T8" s="682" t="s">
        <v>448</v>
      </c>
      <c r="U8" s="681"/>
      <c r="V8" s="682" t="s">
        <v>447</v>
      </c>
      <c r="W8" s="681"/>
      <c r="X8" s="684"/>
      <c r="Y8" s="683"/>
      <c r="Z8" s="682" t="s">
        <v>448</v>
      </c>
      <c r="AA8" s="681"/>
      <c r="AB8" s="682" t="s">
        <v>447</v>
      </c>
      <c r="AC8" s="681"/>
    </row>
    <row r="9" spans="1:30" ht="12.6" customHeight="1">
      <c r="A9" s="680"/>
      <c r="B9" s="679"/>
      <c r="C9" s="679"/>
      <c r="D9" s="678" t="s">
        <v>446</v>
      </c>
      <c r="E9" s="677"/>
      <c r="F9" s="667" t="s">
        <v>445</v>
      </c>
      <c r="G9" s="666"/>
      <c r="H9" s="667" t="s">
        <v>444</v>
      </c>
      <c r="I9" s="666"/>
      <c r="J9" s="676" t="s">
        <v>446</v>
      </c>
      <c r="K9" s="675"/>
      <c r="L9" s="667" t="s">
        <v>445</v>
      </c>
      <c r="M9" s="666"/>
      <c r="N9" s="667" t="s">
        <v>444</v>
      </c>
      <c r="O9" s="674"/>
      <c r="P9" s="673"/>
      <c r="Q9" s="672"/>
      <c r="R9" s="671"/>
      <c r="S9" s="670"/>
      <c r="T9" s="667" t="s">
        <v>445</v>
      </c>
      <c r="U9" s="666"/>
      <c r="V9" s="667" t="s">
        <v>444</v>
      </c>
      <c r="W9" s="666"/>
      <c r="X9" s="669"/>
      <c r="Y9" s="668"/>
      <c r="Z9" s="667" t="s">
        <v>445</v>
      </c>
      <c r="AA9" s="666"/>
      <c r="AB9" s="667" t="s">
        <v>444</v>
      </c>
      <c r="AC9" s="666"/>
    </row>
    <row r="10" spans="1:30" s="566" customFormat="1" ht="14.25" customHeight="1">
      <c r="A10" s="665" t="s">
        <v>443</v>
      </c>
      <c r="B10" s="664"/>
      <c r="C10" s="663"/>
      <c r="D10" s="662">
        <v>4197.107</v>
      </c>
      <c r="E10" s="651"/>
      <c r="F10" s="618">
        <v>-0.14025689257346144</v>
      </c>
      <c r="G10" s="590"/>
      <c r="H10" s="618">
        <v>-3.0679807083178039</v>
      </c>
      <c r="I10" s="590"/>
      <c r="J10" s="616">
        <v>494.58459999999997</v>
      </c>
      <c r="K10" s="649"/>
      <c r="L10" s="660">
        <v>-0.73388164886437401</v>
      </c>
      <c r="M10" s="661"/>
      <c r="N10" s="660">
        <v>2.6847308282821487</v>
      </c>
      <c r="O10" s="659"/>
      <c r="P10" s="594" t="s">
        <v>437</v>
      </c>
      <c r="Q10" s="658"/>
      <c r="R10" s="657">
        <v>144</v>
      </c>
      <c r="S10" s="645"/>
      <c r="T10" s="586" t="s">
        <v>439</v>
      </c>
      <c r="U10" s="587"/>
      <c r="V10" s="586" t="s">
        <v>439</v>
      </c>
      <c r="W10" s="587"/>
      <c r="X10" s="657">
        <v>16985</v>
      </c>
      <c r="Y10" s="645"/>
      <c r="Z10" s="586" t="s">
        <v>439</v>
      </c>
      <c r="AA10" s="587"/>
      <c r="AB10" s="586" t="s">
        <v>439</v>
      </c>
      <c r="AC10" s="656"/>
      <c r="AD10" s="584">
        <f>X10/R10</f>
        <v>117.95138888888889</v>
      </c>
    </row>
    <row r="11" spans="1:30" s="566" customFormat="1" ht="14.1" customHeight="1">
      <c r="A11" s="655" t="s">
        <v>442</v>
      </c>
      <c r="B11" s="654"/>
      <c r="C11" s="653"/>
      <c r="D11" s="652"/>
      <c r="E11" s="651"/>
      <c r="F11" s="639"/>
      <c r="G11" s="638"/>
      <c r="H11" s="639"/>
      <c r="I11" s="638"/>
      <c r="J11" s="650"/>
      <c r="K11" s="649"/>
      <c r="L11" s="643"/>
      <c r="M11" s="638"/>
      <c r="N11" s="643"/>
      <c r="O11" s="648"/>
      <c r="P11" s="647" t="s">
        <v>441</v>
      </c>
      <c r="Q11" s="646"/>
      <c r="R11" s="628">
        <v>133</v>
      </c>
      <c r="S11" s="645"/>
      <c r="T11" s="591" t="s">
        <v>439</v>
      </c>
      <c r="U11" s="590"/>
      <c r="V11" s="591" t="s">
        <v>439</v>
      </c>
      <c r="W11" s="590"/>
      <c r="X11" s="628"/>
      <c r="Y11" s="645"/>
      <c r="Z11" s="644"/>
      <c r="AA11" s="638"/>
      <c r="AB11" s="643"/>
      <c r="AC11" s="585"/>
      <c r="AD11" s="584">
        <f>X11/R11</f>
        <v>0</v>
      </c>
    </row>
    <row r="12" spans="1:30" s="566" customFormat="1" ht="14.1" customHeight="1">
      <c r="A12" s="642"/>
      <c r="B12" s="630"/>
      <c r="C12" s="624"/>
      <c r="D12" s="641"/>
      <c r="E12" s="640"/>
      <c r="F12" s="639"/>
      <c r="G12" s="638"/>
      <c r="H12" s="637"/>
      <c r="I12" s="626"/>
      <c r="J12" s="636"/>
      <c r="K12" s="635"/>
      <c r="L12" s="633"/>
      <c r="M12" s="634"/>
      <c r="N12" s="633"/>
      <c r="O12" s="632"/>
      <c r="P12" s="631" t="s">
        <v>440</v>
      </c>
      <c r="Q12" s="630"/>
      <c r="R12" s="629">
        <v>11</v>
      </c>
      <c r="S12" s="607"/>
      <c r="T12" s="591" t="s">
        <v>439</v>
      </c>
      <c r="U12" s="590"/>
      <c r="V12" s="591" t="s">
        <v>439</v>
      </c>
      <c r="W12" s="590"/>
      <c r="X12" s="628"/>
      <c r="Y12" s="607"/>
      <c r="Z12" s="627"/>
      <c r="AA12" s="626"/>
      <c r="AB12" s="625"/>
      <c r="AC12" s="624"/>
      <c r="AD12" s="584">
        <f>X12/R12</f>
        <v>0</v>
      </c>
    </row>
    <row r="13" spans="1:30" s="566" customFormat="1" ht="15.6" customHeight="1">
      <c r="A13" s="623" t="s">
        <v>438</v>
      </c>
      <c r="B13" s="622"/>
      <c r="C13" s="622"/>
      <c r="D13" s="621">
        <v>6548.8130000000001</v>
      </c>
      <c r="E13" s="620" t="s">
        <v>431</v>
      </c>
      <c r="F13" s="619">
        <v>-3.8875929707521713</v>
      </c>
      <c r="G13" s="617" t="s">
        <v>431</v>
      </c>
      <c r="H13" s="618">
        <v>-1.2382295727032673</v>
      </c>
      <c r="I13" s="617" t="s">
        <v>431</v>
      </c>
      <c r="J13" s="616">
        <v>3113.28</v>
      </c>
      <c r="K13" s="615" t="s">
        <v>431</v>
      </c>
      <c r="L13" s="614">
        <v>-0.16790037312618811</v>
      </c>
      <c r="M13" s="615" t="s">
        <v>431</v>
      </c>
      <c r="N13" s="614">
        <v>3.9039750626188043</v>
      </c>
      <c r="O13" s="613" t="s">
        <v>431</v>
      </c>
      <c r="P13" s="612" t="s">
        <v>437</v>
      </c>
      <c r="Q13" s="611"/>
      <c r="R13" s="608">
        <v>1092</v>
      </c>
      <c r="S13" s="607"/>
      <c r="T13" s="610">
        <v>3.7037037037037033</v>
      </c>
      <c r="U13" s="609"/>
      <c r="V13" s="610">
        <v>1.1111111111111112</v>
      </c>
      <c r="W13" s="609"/>
      <c r="X13" s="608">
        <v>53546</v>
      </c>
      <c r="Y13" s="607"/>
      <c r="Z13" s="586">
        <v>4.7108747091147309</v>
      </c>
      <c r="AA13" s="587"/>
      <c r="AB13" s="586">
        <v>1.4839944658188502</v>
      </c>
      <c r="AC13" s="585"/>
      <c r="AD13" s="584">
        <f>X13/R13</f>
        <v>49.034798534798533</v>
      </c>
    </row>
    <row r="14" spans="1:30" s="566" customFormat="1" ht="15.95" customHeight="1" thickBot="1">
      <c r="A14" s="606" t="s">
        <v>436</v>
      </c>
      <c r="B14" s="605"/>
      <c r="C14" s="604"/>
      <c r="D14" s="603">
        <v>26760.547092000001</v>
      </c>
      <c r="E14" s="602" t="s">
        <v>431</v>
      </c>
      <c r="F14" s="601">
        <v>-3.2677220554915696</v>
      </c>
      <c r="G14" s="600" t="s">
        <v>431</v>
      </c>
      <c r="H14" s="601">
        <v>1.7764163533925206</v>
      </c>
      <c r="I14" s="600" t="s">
        <v>431</v>
      </c>
      <c r="J14" s="599" t="s">
        <v>435</v>
      </c>
      <c r="K14" s="598"/>
      <c r="L14" s="596" t="s">
        <v>435</v>
      </c>
      <c r="M14" s="597"/>
      <c r="N14" s="596" t="s">
        <v>435</v>
      </c>
      <c r="O14" s="595"/>
      <c r="P14" s="594" t="s">
        <v>434</v>
      </c>
      <c r="Q14" s="593"/>
      <c r="R14" s="589">
        <v>18137</v>
      </c>
      <c r="S14" s="588"/>
      <c r="T14" s="591">
        <v>-5.5105527084366557E-2</v>
      </c>
      <c r="U14" s="592"/>
      <c r="V14" s="591" t="s">
        <v>433</v>
      </c>
      <c r="W14" s="590"/>
      <c r="X14" s="589">
        <v>78744</v>
      </c>
      <c r="Y14" s="588"/>
      <c r="Z14" s="586">
        <v>-1.6634197512363256</v>
      </c>
      <c r="AA14" s="587"/>
      <c r="AB14" s="586">
        <v>-9.3887183130756932E-2</v>
      </c>
      <c r="AC14" s="585"/>
      <c r="AD14" s="584">
        <f>X14/R14</f>
        <v>4.3416220984727349</v>
      </c>
    </row>
    <row r="15" spans="1:30" s="566" customFormat="1" ht="15.95" customHeight="1" thickTop="1" thickBot="1">
      <c r="A15" s="583" t="s">
        <v>432</v>
      </c>
      <c r="B15" s="575"/>
      <c r="C15" s="567"/>
      <c r="D15" s="582">
        <v>391378.51509200002</v>
      </c>
      <c r="E15" s="580" t="s">
        <v>431</v>
      </c>
      <c r="F15" s="581">
        <v>-0.64082103357988085</v>
      </c>
      <c r="G15" s="580" t="s">
        <v>431</v>
      </c>
      <c r="H15" s="581">
        <v>1.4031939584678075</v>
      </c>
      <c r="I15" s="580" t="s">
        <v>431</v>
      </c>
      <c r="J15" s="579"/>
      <c r="K15" s="574"/>
      <c r="L15" s="578"/>
      <c r="M15" s="578"/>
      <c r="N15" s="578"/>
      <c r="O15" s="577"/>
      <c r="P15" s="576"/>
      <c r="Q15" s="575"/>
      <c r="R15" s="575"/>
      <c r="S15" s="574"/>
      <c r="T15" s="573"/>
      <c r="U15" s="573"/>
      <c r="V15" s="573"/>
      <c r="W15" s="572"/>
      <c r="X15" s="571">
        <v>1730759</v>
      </c>
      <c r="Y15" s="570"/>
      <c r="Z15" s="568">
        <v>1.5517698637338702</v>
      </c>
      <c r="AA15" s="569"/>
      <c r="AB15" s="568">
        <v>5.7811521720655887E-2</v>
      </c>
      <c r="AC15" s="567"/>
    </row>
    <row r="16" spans="1:30" ht="6" customHeight="1" thickTop="1"/>
    <row r="17" spans="1:28" s="531" customFormat="1" ht="14.1" customHeight="1">
      <c r="A17" s="565" t="s">
        <v>430</v>
      </c>
      <c r="B17" s="562" t="s">
        <v>429</v>
      </c>
      <c r="D17" s="532"/>
      <c r="E17" s="529"/>
      <c r="G17" s="552"/>
      <c r="I17" s="552"/>
      <c r="J17" s="530"/>
      <c r="K17" s="529"/>
      <c r="L17" s="564" t="s">
        <v>428</v>
      </c>
      <c r="M17" s="564"/>
      <c r="N17" s="558"/>
      <c r="O17" s="558"/>
      <c r="P17" s="558" t="s">
        <v>427</v>
      </c>
      <c r="S17" s="527"/>
      <c r="W17" s="552"/>
      <c r="Y17" s="527"/>
    </row>
    <row r="18" spans="1:28" s="531" customFormat="1" ht="15.75" customHeight="1">
      <c r="A18" s="550" t="s">
        <v>426</v>
      </c>
      <c r="B18" s="562" t="s">
        <v>425</v>
      </c>
      <c r="C18" s="556"/>
      <c r="D18" s="561"/>
      <c r="E18" s="560"/>
      <c r="F18" s="559"/>
      <c r="G18" s="557"/>
      <c r="H18" s="559"/>
      <c r="I18" s="557"/>
      <c r="J18" s="530"/>
      <c r="K18" s="529"/>
      <c r="N18" s="549" t="s">
        <v>424</v>
      </c>
      <c r="O18" s="549"/>
      <c r="P18" s="563" t="s">
        <v>423</v>
      </c>
      <c r="Q18" s="563"/>
      <c r="R18" s="563"/>
      <c r="S18" s="563"/>
      <c r="T18" s="563"/>
      <c r="U18" s="563"/>
      <c r="V18" s="563"/>
      <c r="W18" s="563"/>
      <c r="X18" s="563"/>
      <c r="Y18" s="563"/>
      <c r="Z18" s="563"/>
      <c r="AA18" s="563"/>
      <c r="AB18" s="563"/>
    </row>
    <row r="19" spans="1:28" ht="15.75" customHeight="1">
      <c r="A19" s="550" t="s">
        <v>421</v>
      </c>
      <c r="B19" s="562" t="s">
        <v>422</v>
      </c>
      <c r="C19" s="556"/>
      <c r="D19" s="561"/>
      <c r="E19" s="560"/>
      <c r="F19" s="559"/>
      <c r="G19" s="557"/>
      <c r="H19" s="559"/>
      <c r="I19" s="557"/>
      <c r="N19" s="549" t="s">
        <v>421</v>
      </c>
      <c r="O19" s="549"/>
      <c r="P19" s="558" t="s">
        <v>420</v>
      </c>
      <c r="Q19" s="556"/>
      <c r="R19" s="556"/>
      <c r="S19" s="553"/>
      <c r="T19" s="556"/>
      <c r="U19" s="556"/>
      <c r="V19" s="556"/>
      <c r="W19" s="557"/>
      <c r="X19" s="556"/>
      <c r="Y19" s="553"/>
      <c r="Z19" s="556"/>
      <c r="AA19" s="556"/>
      <c r="AB19" s="556"/>
    </row>
    <row r="20" spans="1:28" s="531" customFormat="1" ht="15" customHeight="1">
      <c r="A20" s="550"/>
      <c r="B20" s="555" t="s">
        <v>419</v>
      </c>
      <c r="C20" s="555"/>
      <c r="D20" s="555"/>
      <c r="E20" s="529"/>
      <c r="G20" s="552"/>
      <c r="I20" s="552"/>
      <c r="J20" s="530"/>
      <c r="K20" s="529"/>
      <c r="N20" s="549"/>
      <c r="O20" s="549"/>
      <c r="P20" s="554" t="s">
        <v>418</v>
      </c>
      <c r="Q20" s="554"/>
      <c r="R20" s="554"/>
      <c r="S20" s="554"/>
      <c r="T20" s="554"/>
      <c r="U20" s="553"/>
      <c r="W20" s="552"/>
      <c r="Y20" s="527"/>
    </row>
    <row r="21" spans="1:28" ht="13.5" customHeight="1">
      <c r="A21" s="550" t="s">
        <v>416</v>
      </c>
      <c r="B21" s="536" t="s">
        <v>417</v>
      </c>
      <c r="C21" s="533"/>
      <c r="D21" s="533"/>
      <c r="E21" s="533"/>
      <c r="F21" s="533"/>
      <c r="G21" s="533"/>
      <c r="H21" s="533"/>
      <c r="I21" s="533"/>
      <c r="J21" s="533"/>
      <c r="K21" s="535"/>
      <c r="L21" s="551"/>
      <c r="M21" s="551"/>
      <c r="N21" s="549" t="s">
        <v>416</v>
      </c>
      <c r="O21" s="549"/>
      <c r="P21" s="533" t="s">
        <v>415</v>
      </c>
      <c r="Q21" s="533"/>
      <c r="R21" s="533"/>
      <c r="S21" s="533"/>
      <c r="T21" s="533"/>
      <c r="U21" s="533"/>
      <c r="V21" s="533"/>
      <c r="W21" s="533"/>
      <c r="X21" s="533"/>
      <c r="Y21" s="533"/>
      <c r="Z21" s="533"/>
      <c r="AA21" s="533"/>
      <c r="AB21" s="533"/>
    </row>
    <row r="22" spans="1:28" s="531" customFormat="1" ht="13.5" customHeight="1">
      <c r="A22" s="550"/>
      <c r="B22" s="533"/>
      <c r="C22" s="533"/>
      <c r="D22" s="533"/>
      <c r="E22" s="533"/>
      <c r="F22" s="533"/>
      <c r="G22" s="533"/>
      <c r="H22" s="533"/>
      <c r="I22" s="533"/>
      <c r="J22" s="533"/>
      <c r="K22" s="535"/>
      <c r="N22" s="549"/>
      <c r="O22" s="549"/>
      <c r="P22" s="533"/>
      <c r="Q22" s="533"/>
      <c r="R22" s="533"/>
      <c r="S22" s="533"/>
      <c r="T22" s="533"/>
      <c r="U22" s="533"/>
      <c r="V22" s="533"/>
      <c r="W22" s="533"/>
      <c r="X22" s="533"/>
      <c r="Y22" s="533"/>
      <c r="Z22" s="533"/>
      <c r="AA22" s="533"/>
      <c r="AB22" s="533"/>
    </row>
    <row r="23" spans="1:28" s="531" customFormat="1" ht="3.75" customHeight="1">
      <c r="A23" s="550"/>
      <c r="B23" s="533"/>
      <c r="C23" s="533"/>
      <c r="D23" s="533"/>
      <c r="E23" s="533"/>
      <c r="F23" s="533"/>
      <c r="G23" s="533"/>
      <c r="H23" s="533"/>
      <c r="I23" s="533"/>
      <c r="J23" s="533"/>
      <c r="K23" s="535"/>
      <c r="N23" s="549"/>
      <c r="O23" s="549"/>
      <c r="P23" s="533"/>
      <c r="Q23" s="533"/>
      <c r="R23" s="533"/>
      <c r="S23" s="533"/>
      <c r="T23" s="533"/>
      <c r="U23" s="533"/>
      <c r="V23" s="533"/>
      <c r="W23" s="533"/>
      <c r="X23" s="533"/>
      <c r="Y23" s="533"/>
      <c r="Z23" s="533"/>
      <c r="AA23" s="533"/>
      <c r="AB23" s="533"/>
    </row>
    <row r="24" spans="1:28" s="531" customFormat="1" ht="16.5" customHeight="1">
      <c r="A24" s="548" t="s">
        <v>413</v>
      </c>
      <c r="B24" s="547" t="s">
        <v>414</v>
      </c>
      <c r="C24" s="547"/>
      <c r="D24" s="547"/>
      <c r="E24" s="544"/>
      <c r="F24" s="544"/>
      <c r="G24" s="544"/>
      <c r="H24" s="544"/>
      <c r="I24" s="544"/>
      <c r="J24" s="544"/>
      <c r="K24" s="529"/>
      <c r="N24" s="546" t="s">
        <v>413</v>
      </c>
      <c r="O24" s="546"/>
      <c r="P24" s="545" t="s">
        <v>412</v>
      </c>
      <c r="Q24" s="545"/>
      <c r="R24" s="545"/>
      <c r="S24" s="545"/>
      <c r="T24" s="545"/>
      <c r="U24" s="545"/>
      <c r="V24" s="545"/>
      <c r="W24" s="545"/>
      <c r="X24" s="544"/>
      <c r="Y24" s="544"/>
      <c r="Z24" s="544"/>
      <c r="AA24" s="544"/>
      <c r="AB24" s="544"/>
    </row>
    <row r="25" spans="1:28" s="531" customFormat="1" ht="33" customHeight="1">
      <c r="A25" s="537" t="s">
        <v>410</v>
      </c>
      <c r="B25" s="543" t="s">
        <v>411</v>
      </c>
      <c r="C25" s="543"/>
      <c r="D25" s="543"/>
      <c r="E25" s="543"/>
      <c r="F25" s="543"/>
      <c r="G25" s="543"/>
      <c r="H25" s="543"/>
      <c r="I25" s="543"/>
      <c r="J25" s="543"/>
      <c r="K25" s="542"/>
      <c r="L25" s="542"/>
      <c r="M25" s="542"/>
      <c r="N25" s="534" t="s">
        <v>410</v>
      </c>
      <c r="O25" s="534"/>
      <c r="P25" s="541" t="s">
        <v>409</v>
      </c>
      <c r="Q25" s="541"/>
      <c r="R25" s="541"/>
      <c r="S25" s="541"/>
      <c r="T25" s="541"/>
      <c r="U25" s="541"/>
      <c r="V25" s="541"/>
      <c r="W25" s="541"/>
      <c r="X25" s="541"/>
      <c r="Y25" s="541"/>
      <c r="Z25" s="541"/>
      <c r="AA25" s="541"/>
      <c r="AB25" s="541"/>
    </row>
    <row r="26" spans="1:28" s="531" customFormat="1" ht="15.75" customHeight="1">
      <c r="A26" s="537" t="s">
        <v>407</v>
      </c>
      <c r="B26" s="536" t="s">
        <v>408</v>
      </c>
      <c r="C26" s="536"/>
      <c r="D26" s="536"/>
      <c r="E26" s="536"/>
      <c r="F26" s="536"/>
      <c r="G26" s="536"/>
      <c r="H26" s="536"/>
      <c r="I26" s="536"/>
      <c r="J26" s="536"/>
      <c r="K26" s="535"/>
      <c r="N26" s="534" t="s">
        <v>407</v>
      </c>
      <c r="O26" s="534"/>
      <c r="P26" s="533" t="s">
        <v>406</v>
      </c>
      <c r="Q26" s="533"/>
      <c r="R26" s="533"/>
      <c r="S26" s="533"/>
      <c r="T26" s="533"/>
      <c r="U26" s="533"/>
      <c r="V26" s="533"/>
      <c r="W26" s="533"/>
      <c r="X26" s="533"/>
      <c r="Y26" s="533"/>
      <c r="Z26" s="533"/>
      <c r="AA26" s="533"/>
      <c r="AB26" s="533"/>
    </row>
    <row r="27" spans="1:28" s="531" customFormat="1" ht="15.75" customHeight="1">
      <c r="A27" s="537" t="s">
        <v>404</v>
      </c>
      <c r="B27" s="536" t="s">
        <v>405</v>
      </c>
      <c r="C27" s="536"/>
      <c r="D27" s="536"/>
      <c r="E27" s="536"/>
      <c r="F27" s="536"/>
      <c r="G27" s="536"/>
      <c r="H27" s="536"/>
      <c r="I27" s="536"/>
      <c r="J27" s="536"/>
      <c r="K27" s="535"/>
      <c r="N27" s="534" t="s">
        <v>404</v>
      </c>
      <c r="O27" s="534"/>
      <c r="P27" s="533" t="s">
        <v>403</v>
      </c>
      <c r="Q27" s="533"/>
      <c r="R27" s="533"/>
      <c r="S27" s="533"/>
      <c r="T27" s="533"/>
      <c r="U27" s="533"/>
      <c r="V27" s="533"/>
      <c r="W27" s="533"/>
      <c r="X27" s="533"/>
      <c r="Y27" s="533"/>
      <c r="Z27" s="533"/>
      <c r="AA27" s="533"/>
      <c r="AB27" s="533"/>
    </row>
    <row r="28" spans="1:28" s="531" customFormat="1" ht="15.75" customHeight="1">
      <c r="A28" s="537" t="s">
        <v>401</v>
      </c>
      <c r="B28" s="536" t="s">
        <v>402</v>
      </c>
      <c r="C28" s="536"/>
      <c r="D28" s="536"/>
      <c r="E28" s="536"/>
      <c r="F28" s="536"/>
      <c r="G28" s="536"/>
      <c r="H28" s="536"/>
      <c r="I28" s="536"/>
      <c r="J28" s="536"/>
      <c r="K28" s="535"/>
      <c r="N28" s="534" t="s">
        <v>401</v>
      </c>
      <c r="O28" s="534"/>
      <c r="P28" s="533" t="s">
        <v>400</v>
      </c>
      <c r="Q28" s="533"/>
      <c r="R28" s="533"/>
      <c r="S28" s="533"/>
      <c r="T28" s="533"/>
      <c r="U28" s="533"/>
      <c r="V28" s="533"/>
      <c r="W28" s="533"/>
      <c r="X28" s="533"/>
      <c r="Y28" s="533"/>
      <c r="Z28" s="533"/>
      <c r="AA28" s="533"/>
      <c r="AB28" s="533"/>
    </row>
    <row r="29" spans="1:28" s="531" customFormat="1" ht="57" customHeight="1">
      <c r="A29" s="537" t="s">
        <v>398</v>
      </c>
      <c r="B29" s="536" t="s">
        <v>399</v>
      </c>
      <c r="C29" s="536"/>
      <c r="D29" s="536"/>
      <c r="E29" s="536"/>
      <c r="F29" s="536"/>
      <c r="G29" s="536"/>
      <c r="H29" s="536"/>
      <c r="I29" s="536"/>
      <c r="J29" s="536"/>
      <c r="K29" s="535"/>
      <c r="N29" s="534" t="s">
        <v>398</v>
      </c>
      <c r="O29" s="534"/>
      <c r="P29" s="533" t="s">
        <v>397</v>
      </c>
      <c r="Q29" s="533"/>
      <c r="R29" s="533"/>
      <c r="S29" s="533"/>
      <c r="T29" s="533"/>
      <c r="U29" s="533"/>
      <c r="V29" s="533"/>
      <c r="W29" s="533"/>
      <c r="X29" s="533"/>
      <c r="Y29" s="533"/>
      <c r="Z29" s="533"/>
      <c r="AA29" s="533"/>
      <c r="AB29" s="533"/>
    </row>
    <row r="30" spans="1:28" s="531" customFormat="1" ht="15.75" customHeight="1">
      <c r="A30" s="537" t="s">
        <v>395</v>
      </c>
      <c r="B30" s="536" t="s">
        <v>396</v>
      </c>
      <c r="C30" s="536"/>
      <c r="D30" s="536"/>
      <c r="E30" s="536"/>
      <c r="F30" s="536"/>
      <c r="G30" s="536"/>
      <c r="H30" s="536"/>
      <c r="I30" s="536"/>
      <c r="J30" s="536"/>
      <c r="K30" s="535"/>
      <c r="N30" s="534" t="s">
        <v>395</v>
      </c>
      <c r="O30" s="534"/>
      <c r="P30" s="533" t="s">
        <v>394</v>
      </c>
      <c r="Q30" s="533"/>
      <c r="R30" s="533"/>
      <c r="S30" s="533"/>
      <c r="T30" s="533"/>
      <c r="U30" s="533"/>
      <c r="V30" s="533"/>
      <c r="W30" s="533"/>
      <c r="X30" s="533"/>
      <c r="Y30" s="533"/>
      <c r="Z30" s="533"/>
      <c r="AA30" s="533"/>
      <c r="AB30" s="533"/>
    </row>
    <row r="31" spans="1:28" s="531" customFormat="1" ht="68.099999999999994" customHeight="1">
      <c r="A31" s="537" t="s">
        <v>392</v>
      </c>
      <c r="B31" s="536" t="s">
        <v>393</v>
      </c>
      <c r="C31" s="533"/>
      <c r="D31" s="533"/>
      <c r="E31" s="533"/>
      <c r="F31" s="533"/>
      <c r="G31" s="533"/>
      <c r="H31" s="533"/>
      <c r="I31" s="533"/>
      <c r="J31" s="533"/>
      <c r="K31" s="535"/>
      <c r="N31" s="534" t="s">
        <v>392</v>
      </c>
      <c r="O31" s="534"/>
      <c r="P31" s="533" t="s">
        <v>391</v>
      </c>
      <c r="Q31" s="533"/>
      <c r="R31" s="533"/>
      <c r="S31" s="533"/>
      <c r="T31" s="533"/>
      <c r="U31" s="533"/>
      <c r="V31" s="533"/>
      <c r="W31" s="533"/>
      <c r="X31" s="533"/>
      <c r="Y31" s="533"/>
      <c r="Z31" s="533"/>
      <c r="AA31" s="533"/>
      <c r="AB31" s="533"/>
    </row>
    <row r="32" spans="1:28" ht="0.75" customHeight="1">
      <c r="A32" s="540"/>
      <c r="N32" s="539"/>
      <c r="O32" s="539"/>
      <c r="P32" s="533"/>
      <c r="Q32" s="538"/>
      <c r="R32" s="538"/>
      <c r="S32" s="538"/>
      <c r="T32" s="538"/>
      <c r="U32" s="538"/>
      <c r="V32" s="538"/>
      <c r="W32" s="538"/>
      <c r="X32" s="538"/>
      <c r="Y32" s="538"/>
      <c r="Z32" s="538"/>
      <c r="AA32" s="538"/>
      <c r="AB32" s="538"/>
    </row>
    <row r="33" spans="1:28" s="531" customFormat="1" ht="24.95" customHeight="1">
      <c r="A33" s="537" t="s">
        <v>389</v>
      </c>
      <c r="B33" s="536" t="s">
        <v>390</v>
      </c>
      <c r="C33" s="536"/>
      <c r="D33" s="536"/>
      <c r="E33" s="536"/>
      <c r="F33" s="536"/>
      <c r="G33" s="536"/>
      <c r="H33" s="536"/>
      <c r="I33" s="536"/>
      <c r="J33" s="536"/>
      <c r="K33" s="535"/>
      <c r="N33" s="534" t="s">
        <v>389</v>
      </c>
      <c r="O33" s="534"/>
      <c r="P33" s="533" t="s">
        <v>388</v>
      </c>
      <c r="Q33" s="533"/>
      <c r="R33" s="533"/>
      <c r="S33" s="533"/>
      <c r="T33" s="533"/>
      <c r="U33" s="533"/>
      <c r="V33" s="533"/>
      <c r="W33" s="533"/>
      <c r="X33" s="533"/>
      <c r="Y33" s="533"/>
      <c r="Z33" s="533"/>
      <c r="AA33" s="533"/>
      <c r="AB33" s="533"/>
    </row>
    <row r="34" spans="1:28">
      <c r="P34" s="533"/>
      <c r="Q34" s="533"/>
      <c r="R34" s="533"/>
      <c r="S34" s="533"/>
      <c r="T34" s="533"/>
      <c r="U34" s="533"/>
      <c r="V34" s="533"/>
      <c r="W34" s="533"/>
      <c r="X34" s="533"/>
      <c r="Y34" s="533"/>
      <c r="Z34" s="533"/>
      <c r="AA34" s="533"/>
      <c r="AB34" s="533"/>
    </row>
  </sheetData>
  <mergeCells count="62">
    <mergeCell ref="X4:AC5"/>
    <mergeCell ref="P4:W5"/>
    <mergeCell ref="T6:W6"/>
    <mergeCell ref="T7:W7"/>
    <mergeCell ref="X6:Y9"/>
    <mergeCell ref="AB8:AC8"/>
    <mergeCell ref="AB9:AC9"/>
    <mergeCell ref="Z8:AA8"/>
    <mergeCell ref="T8:U8"/>
    <mergeCell ref="T9:U9"/>
    <mergeCell ref="V8:W8"/>
    <mergeCell ref="V9:W9"/>
    <mergeCell ref="Z7:AC7"/>
    <mergeCell ref="Z6:AC6"/>
    <mergeCell ref="J4:O5"/>
    <mergeCell ref="L6:O6"/>
    <mergeCell ref="L7:O7"/>
    <mergeCell ref="L8:M8"/>
    <mergeCell ref="L9:M9"/>
    <mergeCell ref="N8:O8"/>
    <mergeCell ref="N9:O9"/>
    <mergeCell ref="B6:C9"/>
    <mergeCell ref="D6:E6"/>
    <mergeCell ref="F8:G8"/>
    <mergeCell ref="F9:G9"/>
    <mergeCell ref="H8:I8"/>
    <mergeCell ref="H9:I9"/>
    <mergeCell ref="A4:C5"/>
    <mergeCell ref="D4:I5"/>
    <mergeCell ref="F6:I6"/>
    <mergeCell ref="F7:I7"/>
    <mergeCell ref="D7:E7"/>
    <mergeCell ref="B30:J30"/>
    <mergeCell ref="B28:J28"/>
    <mergeCell ref="B21:J23"/>
    <mergeCell ref="B20:D20"/>
    <mergeCell ref="A6:A9"/>
    <mergeCell ref="P8:Q8"/>
    <mergeCell ref="A11:C11"/>
    <mergeCell ref="B27:J27"/>
    <mergeCell ref="B31:J31"/>
    <mergeCell ref="A10:C10"/>
    <mergeCell ref="P21:AB23"/>
    <mergeCell ref="P18:AB18"/>
    <mergeCell ref="P31:AB31"/>
    <mergeCell ref="Z9:AA9"/>
    <mergeCell ref="P20:T20"/>
    <mergeCell ref="P34:AB34"/>
    <mergeCell ref="B25:J25"/>
    <mergeCell ref="B29:J29"/>
    <mergeCell ref="P26:AB26"/>
    <mergeCell ref="P30:AB30"/>
    <mergeCell ref="B33:J33"/>
    <mergeCell ref="P33:AB33"/>
    <mergeCell ref="P24:AB24"/>
    <mergeCell ref="B24:J24"/>
    <mergeCell ref="P32:AB32"/>
    <mergeCell ref="P29:AB29"/>
    <mergeCell ref="P27:AB27"/>
    <mergeCell ref="P28:AB28"/>
    <mergeCell ref="P25:AB25"/>
    <mergeCell ref="B26:J26"/>
  </mergeCells>
  <printOptions horizontalCentered="1"/>
  <pageMargins left="0.59055118110236227" right="0.59055118110236227" top="0.59055118110236227" bottom="0.39370078740157483" header="0.19685039370078741" footer="0.19685039370078741"/>
  <pageSetup paperSize="9" scale="7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93BC35-6848-4C40-AF7E-DBDC1293138B}">
  <ds:schemaRefs>
    <ds:schemaRef ds:uri="http://schemas.microsoft.com/sharepoint/v3/contenttype/forms"/>
  </ds:schemaRefs>
</ds:datastoreItem>
</file>

<file path=customXml/itemProps2.xml><?xml version="1.0" encoding="utf-8"?>
<ds:datastoreItem xmlns:ds="http://schemas.openxmlformats.org/officeDocument/2006/customXml" ds:itemID="{812B575F-D42D-4A88-A4B0-3078EB154DD0}">
  <ds:schemaRef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7889d872-e2a2-4afb-87bc-97561eced75f"/>
    <ds:schemaRef ds:uri="http://www.w3.org/XML/1998/namespace"/>
    <ds:schemaRef ds:uri="http://purl.org/dc/dcmitype/"/>
  </ds:schemaRefs>
</ds:datastoreItem>
</file>

<file path=customXml/itemProps3.xml><?xml version="1.0" encoding="utf-8"?>
<ds:datastoreItem xmlns:ds="http://schemas.openxmlformats.org/officeDocument/2006/customXml" ds:itemID="{CE64122B-8C8F-446D-8A84-108BF0669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About</vt:lpstr>
      <vt:lpstr>Ships</vt:lpstr>
      <vt:lpstr>Extra_Info</vt:lpstr>
      <vt:lpstr>Rail-MTR</vt:lpstr>
      <vt:lpstr>HK Passenger</vt:lpstr>
      <vt:lpstr>HK Freight</vt:lpstr>
      <vt:lpstr>HK Taxi</vt:lpstr>
      <vt:lpstr>HK Air</vt:lpstr>
      <vt:lpstr>T2.2 (b)</vt:lpstr>
      <vt:lpstr>Sheet1</vt:lpstr>
      <vt:lpstr>BAADTbVT-freight</vt:lpstr>
      <vt:lpstr>BAADTbVT-passengers</vt:lpstr>
      <vt:lpstr>'T2.2 (b)'!Print_Area</vt:lpstr>
      <vt:lpstr>'T2.2 (b)'!Print_Titles</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Mengpin Ge</cp:lastModifiedBy>
  <cp:revision/>
  <dcterms:created xsi:type="dcterms:W3CDTF">2015-03-31T22:53:51Z</dcterms:created>
  <dcterms:modified xsi:type="dcterms:W3CDTF">2019-10-24T22:00:26Z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6144">
    <vt:lpwstr>313</vt:lpwstr>
  </property>
  <property fmtid="{D5CDD505-2E9C-101B-9397-08002B2CF9AE}" pid="4" name="AuthorIds_UIVersion_31744">
    <vt:lpwstr>313,146</vt:lpwstr>
  </property>
</Properties>
</file>