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trans\BHNVFEAL\"/>
    </mc:Choice>
  </mc:AlternateContent>
  <xr:revisionPtr revIDLastSave="38" documentId="11_8CFD6EE51FBB95BB6910282BC9AFEBB3D5CA7923" xr6:coauthVersionLast="45" xr6:coauthVersionMax="45" xr10:uidLastSave="{C618DA82-B13C-4256-B1C5-FAD224EE5E2F}"/>
  <bookViews>
    <workbookView xWindow="-120" yWindow="-120" windowWidth="20730" windowHeight="11160" tabRatio="742" firstSheet="3" activeTab="9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HK" sheetId="26" r:id="rId5"/>
    <sheet name="BUS DIESEL" sheetId="27" r:id="rId6"/>
    <sheet name="Bus LPG" sheetId="28" r:id="rId7"/>
    <sheet name="BHNVFEAL-LDVs-psgr" sheetId="2" r:id="rId8"/>
    <sheet name="BHNVFEAL-LDVs-frgt" sheetId="5" r:id="rId9"/>
    <sheet name="BHNVFEAL-HDVs-psgr" sheetId="6" r:id="rId10"/>
    <sheet name="BHNVFEAL-HDVs-frgt" sheetId="7" r:id="rId11"/>
    <sheet name="BHNVFEAL-aircraft-psgr" sheetId="8" r:id="rId12"/>
    <sheet name="BHNVFEAL-aircraft-frgt" sheetId="9" r:id="rId13"/>
    <sheet name="BHNVFEAL-rail-psgr" sheetId="10" r:id="rId14"/>
    <sheet name="BHNVFEAL-rail-frgt" sheetId="11" r:id="rId15"/>
    <sheet name="BHNVFEAL-ships-psgr" sheetId="12" r:id="rId16"/>
    <sheet name="BHNVFEAL-ships-frgt" sheetId="13" r:id="rId17"/>
    <sheet name="BHNVFEAL-motorbikes-psgr" sheetId="14" r:id="rId18"/>
    <sheet name="BHNVFEAL-motorbikes-frgt" sheetId="15" r:id="rId19"/>
  </sheets>
  <externalReferences>
    <externalReference r:id="rId20"/>
    <externalReference r:id="rId21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C5" i="6"/>
  <c r="B5" i="6"/>
  <c r="B3" i="6" s="1"/>
  <c r="AV62" i="26"/>
  <c r="B5" i="28"/>
  <c r="B7" i="28"/>
  <c r="F5" i="28"/>
  <c r="F6" i="28" s="1"/>
  <c r="B7" i="27"/>
  <c r="B5" i="27"/>
  <c r="F5" i="27" s="1"/>
  <c r="F6" i="27" s="1"/>
  <c r="AF91" i="26"/>
  <c r="V91" i="26"/>
  <c r="E91" i="26"/>
  <c r="V90" i="26"/>
  <c r="U90" i="26"/>
  <c r="D90" i="26"/>
  <c r="U89" i="26"/>
  <c r="K89" i="26" s="1"/>
  <c r="J89" i="26" s="1"/>
  <c r="G89" i="26"/>
  <c r="F89" i="26"/>
  <c r="D89" i="26"/>
  <c r="Z88" i="26"/>
  <c r="V88" i="26"/>
  <c r="AP87" i="26"/>
  <c r="AK87" i="26"/>
  <c r="AK91" i="26" s="1"/>
  <c r="AF87" i="26"/>
  <c r="V87" i="26"/>
  <c r="I87" i="26"/>
  <c r="I91" i="26" s="1"/>
  <c r="E87" i="26"/>
  <c r="AR86" i="26"/>
  <c r="AA86" i="26"/>
  <c r="H86" i="26" s="1"/>
  <c r="J86" i="26" s="1"/>
  <c r="V86" i="26"/>
  <c r="M86" i="26"/>
  <c r="G86" i="26"/>
  <c r="F86" i="26" s="1"/>
  <c r="D86" i="26"/>
  <c r="AA85" i="26"/>
  <c r="V85" i="26"/>
  <c r="J85" i="26"/>
  <c r="H85" i="26"/>
  <c r="G85" i="26"/>
  <c r="D85" i="26"/>
  <c r="F85" i="26" s="1"/>
  <c r="AA84" i="26"/>
  <c r="H84" i="26" s="1"/>
  <c r="J84" i="26" s="1"/>
  <c r="V84" i="26"/>
  <c r="G84" i="26"/>
  <c r="F84" i="26" s="1"/>
  <c r="D84" i="26"/>
  <c r="AA83" i="26"/>
  <c r="H83" i="26" s="1"/>
  <c r="J83" i="26" s="1"/>
  <c r="V83" i="26"/>
  <c r="AU82" i="26"/>
  <c r="AS82" i="26"/>
  <c r="AP82" i="26"/>
  <c r="AN82" i="26"/>
  <c r="AL82" i="26"/>
  <c r="AI82" i="26"/>
  <c r="AG82" i="26"/>
  <c r="AD82" i="26"/>
  <c r="AB82" i="26"/>
  <c r="Y82" i="26"/>
  <c r="W82" i="26"/>
  <c r="V82" i="26"/>
  <c r="U82" i="26"/>
  <c r="U87" i="26" s="1"/>
  <c r="U91" i="26" s="1"/>
  <c r="Q82" i="26"/>
  <c r="L82" i="26"/>
  <c r="AU81" i="26"/>
  <c r="AS81" i="26"/>
  <c r="AL81" i="26"/>
  <c r="AI81" i="26"/>
  <c r="AG81" i="26"/>
  <c r="AD81" i="26"/>
  <c r="AB81" i="26"/>
  <c r="Y81" i="26"/>
  <c r="W81" i="26"/>
  <c r="V81" i="26"/>
  <c r="U81" i="26"/>
  <c r="S81" i="26"/>
  <c r="Q81" i="26"/>
  <c r="N81" i="26"/>
  <c r="L81" i="26"/>
  <c r="AU80" i="26"/>
  <c r="AS80" i="26"/>
  <c r="AL80" i="26"/>
  <c r="AI80" i="26"/>
  <c r="AG80" i="26"/>
  <c r="AD80" i="26"/>
  <c r="AB80" i="26"/>
  <c r="Y80" i="26"/>
  <c r="W80" i="26"/>
  <c r="V80" i="26"/>
  <c r="U80" i="26"/>
  <c r="Q80" i="26"/>
  <c r="N80" i="26"/>
  <c r="L80" i="26"/>
  <c r="AU79" i="26"/>
  <c r="AS79" i="26"/>
  <c r="AN79" i="26"/>
  <c r="AL79" i="26"/>
  <c r="AI79" i="26"/>
  <c r="AG79" i="26"/>
  <c r="AD79" i="26"/>
  <c r="AB79" i="26"/>
  <c r="Y79" i="26"/>
  <c r="W79" i="26"/>
  <c r="V79" i="26"/>
  <c r="U79" i="26"/>
  <c r="S79" i="26"/>
  <c r="Q79" i="26"/>
  <c r="N79" i="26"/>
  <c r="L79" i="26"/>
  <c r="BG79" i="26" s="1"/>
  <c r="AU78" i="26"/>
  <c r="AS78" i="26"/>
  <c r="AL78" i="26"/>
  <c r="AI78" i="26"/>
  <c r="AG78" i="26"/>
  <c r="AD78" i="26"/>
  <c r="AB78" i="26"/>
  <c r="Y78" i="26"/>
  <c r="W78" i="26"/>
  <c r="V78" i="26"/>
  <c r="U78" i="26"/>
  <c r="Q78" i="26"/>
  <c r="N78" i="26"/>
  <c r="L78" i="26"/>
  <c r="BG78" i="26" s="1"/>
  <c r="V75" i="26"/>
  <c r="BB73" i="26"/>
  <c r="AF73" i="26"/>
  <c r="V73" i="26"/>
  <c r="V72" i="26"/>
  <c r="U72" i="26"/>
  <c r="K72" i="26" s="1"/>
  <c r="J72" i="26"/>
  <c r="G72" i="26"/>
  <c r="F72" i="26" s="1"/>
  <c r="D72" i="26"/>
  <c r="V71" i="26"/>
  <c r="K71" i="26"/>
  <c r="J71" i="26" s="1"/>
  <c r="G71" i="26"/>
  <c r="D71" i="26"/>
  <c r="F71" i="26" s="1"/>
  <c r="AA70" i="26"/>
  <c r="V70" i="26"/>
  <c r="K70" i="26"/>
  <c r="J70" i="26"/>
  <c r="H70" i="26"/>
  <c r="G70" i="26"/>
  <c r="D70" i="26"/>
  <c r="F70" i="26" s="1"/>
  <c r="BB69" i="26"/>
  <c r="AY69" i="26"/>
  <c r="AW69" i="26"/>
  <c r="AW73" i="26" s="1"/>
  <c r="AR69" i="26"/>
  <c r="AR73" i="26" s="1"/>
  <c r="AK69" i="26"/>
  <c r="AK73" i="26" s="1"/>
  <c r="AH69" i="26"/>
  <c r="AF69" i="26"/>
  <c r="V69" i="26"/>
  <c r="U69" i="26"/>
  <c r="U73" i="26" s="1"/>
  <c r="P69" i="26"/>
  <c r="P73" i="26" s="1"/>
  <c r="I69" i="26"/>
  <c r="I73" i="26" s="1"/>
  <c r="E69" i="26"/>
  <c r="E73" i="26" s="1"/>
  <c r="AS68" i="26"/>
  <c r="W68" i="26"/>
  <c r="V68" i="26"/>
  <c r="H68" i="26"/>
  <c r="J68" i="26" s="1"/>
  <c r="G68" i="26"/>
  <c r="D68" i="26"/>
  <c r="F68" i="26" s="1"/>
  <c r="C68" i="26"/>
  <c r="AG67" i="26"/>
  <c r="AB67" i="26"/>
  <c r="V67" i="26"/>
  <c r="Q67" i="26"/>
  <c r="L67" i="26"/>
  <c r="H67" i="26"/>
  <c r="J67" i="26" s="1"/>
  <c r="G67" i="26"/>
  <c r="F67" i="26"/>
  <c r="D67" i="26"/>
  <c r="C67" i="26"/>
  <c r="AS67" i="26" s="1"/>
  <c r="B67" i="26"/>
  <c r="AS66" i="26"/>
  <c r="AG66" i="26"/>
  <c r="AB66" i="26"/>
  <c r="W66" i="26"/>
  <c r="V66" i="26"/>
  <c r="Q66" i="26"/>
  <c r="L66" i="26"/>
  <c r="J66" i="26"/>
  <c r="H66" i="26"/>
  <c r="G66" i="26"/>
  <c r="F66" i="26"/>
  <c r="D66" i="26"/>
  <c r="C66" i="26"/>
  <c r="AL66" i="26" s="1"/>
  <c r="AL65" i="26"/>
  <c r="V65" i="26"/>
  <c r="H65" i="26"/>
  <c r="J65" i="26" s="1"/>
  <c r="G65" i="26"/>
  <c r="D65" i="26"/>
  <c r="F65" i="26" s="1"/>
  <c r="C65" i="26"/>
  <c r="AZ64" i="26"/>
  <c r="AT64" i="26"/>
  <c r="AN64" i="26"/>
  <c r="AM64" i="26"/>
  <c r="AM69" i="26" s="1"/>
  <c r="AH64" i="26"/>
  <c r="AC64" i="26"/>
  <c r="X64" i="26"/>
  <c r="V64" i="26"/>
  <c r="R64" i="26"/>
  <c r="R69" i="26" s="1"/>
  <c r="M64" i="26"/>
  <c r="AT63" i="26"/>
  <c r="AN63" i="26"/>
  <c r="AN81" i="26" s="1"/>
  <c r="V63" i="26"/>
  <c r="AN62" i="26"/>
  <c r="AN80" i="26" s="1"/>
  <c r="AL62" i="26"/>
  <c r="AQ62" i="26" s="1"/>
  <c r="W62" i="26"/>
  <c r="V62" i="26"/>
  <c r="Q62" i="26"/>
  <c r="T62" i="26" s="1"/>
  <c r="C62" i="26"/>
  <c r="V61" i="26"/>
  <c r="M61" i="26"/>
  <c r="AN60" i="26"/>
  <c r="AN78" i="26" s="1"/>
  <c r="AL60" i="26"/>
  <c r="AQ60" i="26" s="1"/>
  <c r="V60" i="26"/>
  <c r="L60" i="26"/>
  <c r="O60" i="26" s="1"/>
  <c r="C60" i="26"/>
  <c r="B60" i="26"/>
  <c r="V57" i="26"/>
  <c r="V56" i="26"/>
  <c r="F56" i="26"/>
  <c r="C56" i="26"/>
  <c r="U52" i="26"/>
  <c r="R52" i="26"/>
  <c r="M52" i="26"/>
  <c r="D52" i="26"/>
  <c r="U51" i="26"/>
  <c r="O50" i="26"/>
  <c r="D50" i="26"/>
  <c r="B50" i="26"/>
  <c r="C64" i="26" s="1"/>
  <c r="I49" i="26"/>
  <c r="H49" i="26"/>
  <c r="G49" i="26"/>
  <c r="I48" i="26"/>
  <c r="H48" i="26"/>
  <c r="G48" i="26"/>
  <c r="C48" i="26"/>
  <c r="B65" i="26" s="1"/>
  <c r="U47" i="26"/>
  <c r="I47" i="26"/>
  <c r="H47" i="26"/>
  <c r="G47" i="26"/>
  <c r="C47" i="26"/>
  <c r="B66" i="26" s="1"/>
  <c r="U46" i="26"/>
  <c r="I46" i="26"/>
  <c r="H46" i="26"/>
  <c r="G46" i="26"/>
  <c r="C46" i="26"/>
  <c r="U45" i="26"/>
  <c r="M44" i="26"/>
  <c r="U43" i="26"/>
  <c r="M43" i="26"/>
  <c r="I43" i="26"/>
  <c r="H43" i="26"/>
  <c r="G43" i="26"/>
  <c r="D43" i="26"/>
  <c r="M42" i="26"/>
  <c r="I42" i="26"/>
  <c r="H42" i="26"/>
  <c r="G42" i="26"/>
  <c r="D41" i="26"/>
  <c r="D44" i="26" s="1"/>
  <c r="B41" i="26"/>
  <c r="B44" i="26" s="1"/>
  <c r="S40" i="26"/>
  <c r="P40" i="26"/>
  <c r="M40" i="26"/>
  <c r="I40" i="26"/>
  <c r="H40" i="26"/>
  <c r="G40" i="26"/>
  <c r="B40" i="26"/>
  <c r="C40" i="26" s="1"/>
  <c r="M39" i="26"/>
  <c r="M41" i="26" s="1"/>
  <c r="I39" i="26"/>
  <c r="H39" i="26"/>
  <c r="G39" i="26"/>
  <c r="E39" i="26"/>
  <c r="E40" i="26" s="1"/>
  <c r="C39" i="26"/>
  <c r="S38" i="26"/>
  <c r="U42" i="26" s="1"/>
  <c r="P38" i="26"/>
  <c r="P37" i="26" s="1"/>
  <c r="M38" i="26"/>
  <c r="F38" i="26"/>
  <c r="F44" i="26" s="1"/>
  <c r="D38" i="26"/>
  <c r="B38" i="26"/>
  <c r="B52" i="26" s="1"/>
  <c r="U37" i="26"/>
  <c r="R37" i="26"/>
  <c r="Q37" i="26"/>
  <c r="Q38" i="26" s="1"/>
  <c r="M37" i="26"/>
  <c r="I37" i="26"/>
  <c r="H37" i="26"/>
  <c r="G37" i="26"/>
  <c r="B37" i="26"/>
  <c r="C63" i="26" s="1"/>
  <c r="U36" i="26"/>
  <c r="R36" i="26"/>
  <c r="Q36" i="26"/>
  <c r="M36" i="26"/>
  <c r="I36" i="26"/>
  <c r="H36" i="26"/>
  <c r="G36" i="26"/>
  <c r="C36" i="26"/>
  <c r="U35" i="26"/>
  <c r="T37" i="26" s="1"/>
  <c r="R35" i="26"/>
  <c r="R38" i="26" s="1"/>
  <c r="Q35" i="26"/>
  <c r="M35" i="26"/>
  <c r="I35" i="26"/>
  <c r="H35" i="26"/>
  <c r="G35" i="26"/>
  <c r="C35" i="26"/>
  <c r="M34" i="26"/>
  <c r="I34" i="26"/>
  <c r="H34" i="26"/>
  <c r="G34" i="26"/>
  <c r="C34" i="26"/>
  <c r="X1" i="26"/>
  <c r="V1" i="26"/>
  <c r="F1" i="26"/>
  <c r="AA1" i="26" s="1"/>
  <c r="D1" i="26"/>
  <c r="Y56" i="26" s="1"/>
  <c r="B2" i="6" l="1"/>
  <c r="AL63" i="26"/>
  <c r="AQ63" i="26" s="1"/>
  <c r="AB63" i="26"/>
  <c r="AE63" i="26" s="1"/>
  <c r="L63" i="26"/>
  <c r="O63" i="26" s="1"/>
  <c r="B63" i="26"/>
  <c r="BH58" i="26" s="1"/>
  <c r="AS63" i="26"/>
  <c r="AV63" i="26" s="1"/>
  <c r="AG63" i="26"/>
  <c r="AJ63" i="26" s="1"/>
  <c r="Q63" i="26"/>
  <c r="T63" i="26" s="1"/>
  <c r="W63" i="26"/>
  <c r="E42" i="26"/>
  <c r="E34" i="26"/>
  <c r="F40" i="26"/>
  <c r="E36" i="26"/>
  <c r="E35" i="26"/>
  <c r="E41" i="26"/>
  <c r="E37" i="26"/>
  <c r="F39" i="26"/>
  <c r="E43" i="26"/>
  <c r="AG64" i="26"/>
  <c r="AJ64" i="26" s="1"/>
  <c r="Q64" i="26"/>
  <c r="T64" i="26" s="1"/>
  <c r="S64" i="26" s="1"/>
  <c r="AL64" i="26"/>
  <c r="AQ64" i="26" s="1"/>
  <c r="AS64" i="26"/>
  <c r="AV64" i="26" s="1"/>
  <c r="Y1" i="26"/>
  <c r="C37" i="26"/>
  <c r="F52" i="26"/>
  <c r="L64" i="26"/>
  <c r="O64" i="26" s="1"/>
  <c r="AC69" i="26"/>
  <c r="AB64" i="26"/>
  <c r="AE64" i="26" s="1"/>
  <c r="P35" i="26"/>
  <c r="P36" i="26"/>
  <c r="S37" i="26"/>
  <c r="AA56" i="26"/>
  <c r="M69" i="26"/>
  <c r="Z62" i="26"/>
  <c r="BH59" i="26"/>
  <c r="AG65" i="26"/>
  <c r="Q65" i="26"/>
  <c r="AB65" i="26"/>
  <c r="L65" i="26"/>
  <c r="AS65" i="26"/>
  <c r="AA88" i="26"/>
  <c r="D88" i="26"/>
  <c r="T35" i="26"/>
  <c r="T36" i="26"/>
  <c r="S36" i="26" s="1"/>
  <c r="B64" i="26"/>
  <c r="C61" i="26"/>
  <c r="AG68" i="26"/>
  <c r="AL68" i="26"/>
  <c r="Q68" i="26"/>
  <c r="AB68" i="26"/>
  <c r="L68" i="26"/>
  <c r="U50" i="26"/>
  <c r="U53" i="26" s="1"/>
  <c r="D56" i="26"/>
  <c r="AG60" i="26"/>
  <c r="AJ60" i="26" s="1"/>
  <c r="W60" i="26"/>
  <c r="Q60" i="26"/>
  <c r="T60" i="26" s="1"/>
  <c r="AB60" i="26"/>
  <c r="AE60" i="26" s="1"/>
  <c r="AS60" i="26"/>
  <c r="AV60" i="26" s="1"/>
  <c r="AS62" i="26"/>
  <c r="L62" i="26"/>
  <c r="O62" i="26" s="1"/>
  <c r="B62" i="26"/>
  <c r="BH57" i="26" s="1"/>
  <c r="AG62" i="26"/>
  <c r="AJ62" i="26" s="1"/>
  <c r="AB62" i="26"/>
  <c r="AE62" i="26" s="1"/>
  <c r="X69" i="26"/>
  <c r="W64" i="26"/>
  <c r="W65" i="26"/>
  <c r="G88" i="26"/>
  <c r="F88" i="26" s="1"/>
  <c r="AL67" i="26"/>
  <c r="BG80" i="26"/>
  <c r="BG81" i="26"/>
  <c r="AT69" i="26"/>
  <c r="W67" i="26"/>
  <c r="BG82" i="26"/>
  <c r="AJ6" i="15"/>
  <c r="AI6" i="15"/>
  <c r="AF6" i="15"/>
  <c r="AE6" i="15"/>
  <c r="AB6" i="15"/>
  <c r="AA6" i="15"/>
  <c r="X6" i="15"/>
  <c r="W6" i="15"/>
  <c r="T6" i="15"/>
  <c r="S6" i="15"/>
  <c r="P6" i="15"/>
  <c r="O6" i="15"/>
  <c r="L6" i="15"/>
  <c r="K6" i="15"/>
  <c r="H6" i="15"/>
  <c r="G6" i="15"/>
  <c r="D6" i="15"/>
  <c r="C6" i="15"/>
  <c r="AJ5" i="15"/>
  <c r="AI5" i="15"/>
  <c r="AH5" i="15"/>
  <c r="AF5" i="15"/>
  <c r="AE5" i="15"/>
  <c r="AD5" i="15"/>
  <c r="AB5" i="15"/>
  <c r="AA5" i="15"/>
  <c r="Z5" i="15"/>
  <c r="X5" i="15"/>
  <c r="W5" i="15"/>
  <c r="V5" i="15"/>
  <c r="T5" i="15"/>
  <c r="S5" i="15"/>
  <c r="R5" i="15"/>
  <c r="P5" i="15"/>
  <c r="O5" i="15"/>
  <c r="N5" i="15"/>
  <c r="L5" i="15"/>
  <c r="K5" i="15"/>
  <c r="J5" i="15"/>
  <c r="H5" i="15"/>
  <c r="G5" i="15"/>
  <c r="F5" i="15"/>
  <c r="D5" i="15"/>
  <c r="C5" i="15"/>
  <c r="B5" i="15"/>
  <c r="AJ4" i="15"/>
  <c r="AI4" i="15"/>
  <c r="AI3" i="15" s="1"/>
  <c r="AH4" i="15"/>
  <c r="AH6" i="15" s="1"/>
  <c r="AG4" i="15"/>
  <c r="AG5" i="15" s="1"/>
  <c r="AF4" i="15"/>
  <c r="AE4" i="15"/>
  <c r="AE3" i="15" s="1"/>
  <c r="AD4" i="15"/>
  <c r="AD6" i="15" s="1"/>
  <c r="AC4" i="15"/>
  <c r="AC5" i="15" s="1"/>
  <c r="AB4" i="15"/>
  <c r="AA4" i="15"/>
  <c r="AA3" i="15" s="1"/>
  <c r="Z4" i="15"/>
  <c r="Z6" i="15" s="1"/>
  <c r="Y4" i="15"/>
  <c r="Y5" i="15" s="1"/>
  <c r="X4" i="15"/>
  <c r="W4" i="15"/>
  <c r="W3" i="15" s="1"/>
  <c r="V4" i="15"/>
  <c r="V6" i="15" s="1"/>
  <c r="U4" i="15"/>
  <c r="U5" i="15" s="1"/>
  <c r="T4" i="15"/>
  <c r="S4" i="15"/>
  <c r="S3" i="15" s="1"/>
  <c r="R4" i="15"/>
  <c r="R6" i="15" s="1"/>
  <c r="Q4" i="15"/>
  <c r="Q5" i="15" s="1"/>
  <c r="P4" i="15"/>
  <c r="O4" i="15"/>
  <c r="O3" i="15" s="1"/>
  <c r="N4" i="15"/>
  <c r="N6" i="15" s="1"/>
  <c r="M4" i="15"/>
  <c r="M5" i="15" s="1"/>
  <c r="L4" i="15"/>
  <c r="K4" i="15"/>
  <c r="K3" i="15" s="1"/>
  <c r="J4" i="15"/>
  <c r="J6" i="15" s="1"/>
  <c r="I4" i="15"/>
  <c r="I5" i="15" s="1"/>
  <c r="H4" i="15"/>
  <c r="G4" i="15"/>
  <c r="G3" i="15" s="1"/>
  <c r="F4" i="15"/>
  <c r="F6" i="15" s="1"/>
  <c r="E4" i="15"/>
  <c r="E5" i="15" s="1"/>
  <c r="D4" i="15"/>
  <c r="C4" i="15"/>
  <c r="C3" i="15" s="1"/>
  <c r="B4" i="15"/>
  <c r="B6" i="15" s="1"/>
  <c r="AJ3" i="15"/>
  <c r="AF3" i="15"/>
  <c r="AB3" i="15"/>
  <c r="X3" i="15"/>
  <c r="T3" i="15"/>
  <c r="P3" i="15"/>
  <c r="L3" i="15"/>
  <c r="H3" i="15"/>
  <c r="D3" i="15"/>
  <c r="AJ2" i="15"/>
  <c r="AI2" i="15"/>
  <c r="AF2" i="15"/>
  <c r="AE2" i="15"/>
  <c r="AB2" i="15"/>
  <c r="AA2" i="15"/>
  <c r="X2" i="15"/>
  <c r="W2" i="15"/>
  <c r="T2" i="15"/>
  <c r="S2" i="15"/>
  <c r="P2" i="15"/>
  <c r="O2" i="15"/>
  <c r="L2" i="15"/>
  <c r="K2" i="15"/>
  <c r="H2" i="15"/>
  <c r="G2" i="15"/>
  <c r="D2" i="15"/>
  <c r="C2" i="15"/>
  <c r="AS61" i="26" l="1"/>
  <c r="AV61" i="26" s="1"/>
  <c r="AG61" i="26"/>
  <c r="AJ61" i="26" s="1"/>
  <c r="Q61" i="26"/>
  <c r="T61" i="26" s="1"/>
  <c r="T69" i="26" s="1"/>
  <c r="T73" i="26" s="1"/>
  <c r="W61" i="26"/>
  <c r="B61" i="26"/>
  <c r="AL61" i="26"/>
  <c r="AQ61" i="26" s="1"/>
  <c r="AQ69" i="26" s="1"/>
  <c r="AQ73" i="26" s="1"/>
  <c r="C69" i="26"/>
  <c r="AB61" i="26"/>
  <c r="AE61" i="26" s="1"/>
  <c r="AE69" i="26" s="1"/>
  <c r="AE73" i="26" s="1"/>
  <c r="L61" i="26"/>
  <c r="O61" i="26" s="1"/>
  <c r="S82" i="26"/>
  <c r="N82" i="26"/>
  <c r="G62" i="26"/>
  <c r="S60" i="26"/>
  <c r="S78" i="26" s="1"/>
  <c r="L46" i="26"/>
  <c r="L48" i="26"/>
  <c r="L47" i="26"/>
  <c r="G64" i="26"/>
  <c r="AV69" i="26"/>
  <c r="AV73" i="26" s="1"/>
  <c r="AJ69" i="26"/>
  <c r="AJ73" i="26" s="1"/>
  <c r="Z63" i="26"/>
  <c r="Z64" i="26"/>
  <c r="T38" i="26"/>
  <c r="U38" i="26"/>
  <c r="U44" i="26" s="1"/>
  <c r="U48" i="26" s="1"/>
  <c r="N44" i="26" s="1"/>
  <c r="AA62" i="26"/>
  <c r="D62" i="26"/>
  <c r="S35" i="26"/>
  <c r="BG57" i="26"/>
  <c r="Z60" i="26"/>
  <c r="K88" i="26"/>
  <c r="J88" i="26" s="1"/>
  <c r="H88" i="26"/>
  <c r="S62" i="26"/>
  <c r="S80" i="26" s="1"/>
  <c r="BG59" i="26"/>
  <c r="E38" i="26"/>
  <c r="BG58" i="26"/>
  <c r="E3" i="15"/>
  <c r="M3" i="15"/>
  <c r="U3" i="15"/>
  <c r="E2" i="15"/>
  <c r="M2" i="15"/>
  <c r="U2" i="15"/>
  <c r="AC2" i="15"/>
  <c r="B3" i="15"/>
  <c r="J3" i="15"/>
  <c r="R3" i="15"/>
  <c r="Z3" i="15"/>
  <c r="AH3" i="15"/>
  <c r="E6" i="15"/>
  <c r="M6" i="15"/>
  <c r="Q6" i="15"/>
  <c r="U6" i="15"/>
  <c r="Y6" i="15"/>
  <c r="AC6" i="15"/>
  <c r="AG6" i="15"/>
  <c r="I3" i="15"/>
  <c r="Q3" i="15"/>
  <c r="Y3" i="15"/>
  <c r="AC3" i="15"/>
  <c r="AG3" i="15"/>
  <c r="I2" i="15"/>
  <c r="Q2" i="15"/>
  <c r="Y2" i="15"/>
  <c r="AG2" i="15"/>
  <c r="F3" i="15"/>
  <c r="N3" i="15"/>
  <c r="V3" i="15"/>
  <c r="AD3" i="15"/>
  <c r="I6" i="15"/>
  <c r="B2" i="15"/>
  <c r="F2" i="15"/>
  <c r="J2" i="15"/>
  <c r="N2" i="15"/>
  <c r="R2" i="15"/>
  <c r="V2" i="15"/>
  <c r="Z2" i="15"/>
  <c r="AD2" i="15"/>
  <c r="AH2" i="15"/>
  <c r="AK10" i="24"/>
  <c r="AK12" i="24"/>
  <c r="S4" i="14"/>
  <c r="AL12" i="24"/>
  <c r="T4" i="14"/>
  <c r="T2" i="14"/>
  <c r="AM12" i="24"/>
  <c r="U4" i="14"/>
  <c r="U2" i="14"/>
  <c r="AN12" i="24"/>
  <c r="AO12" i="24"/>
  <c r="W4" i="14"/>
  <c r="AP12" i="24"/>
  <c r="X4" i="14"/>
  <c r="X2" i="14"/>
  <c r="AQ12" i="24"/>
  <c r="Y4" i="14"/>
  <c r="Y2" i="14"/>
  <c r="AR12" i="24"/>
  <c r="AS12" i="24"/>
  <c r="AA4" i="14"/>
  <c r="AT12" i="24"/>
  <c r="AB4" i="14"/>
  <c r="AB2" i="14"/>
  <c r="AU12" i="24"/>
  <c r="AC4" i="14"/>
  <c r="AC2" i="14"/>
  <c r="AV12" i="24"/>
  <c r="AD4" i="14" s="1"/>
  <c r="AW12" i="24"/>
  <c r="AE4" i="14"/>
  <c r="AX12" i="24"/>
  <c r="AF4" i="14"/>
  <c r="AF2" i="14"/>
  <c r="AY12" i="24"/>
  <c r="AG4" i="14"/>
  <c r="AG2" i="14"/>
  <c r="AZ12" i="24"/>
  <c r="AH4" i="14" s="1"/>
  <c r="BA12" i="24"/>
  <c r="AI4" i="14"/>
  <c r="BB12" i="24"/>
  <c r="AJ4" i="14"/>
  <c r="AJ2" i="14"/>
  <c r="T3" i="14"/>
  <c r="U3" i="14"/>
  <c r="X3" i="14"/>
  <c r="Y3" i="14"/>
  <c r="AB3" i="14"/>
  <c r="AC3" i="14"/>
  <c r="AF3" i="14"/>
  <c r="AG3" i="14"/>
  <c r="AH3" i="14"/>
  <c r="AJ3" i="14"/>
  <c r="T5" i="14"/>
  <c r="U5" i="14"/>
  <c r="X5" i="14"/>
  <c r="Y5" i="14"/>
  <c r="AA5" i="14"/>
  <c r="AB5" i="14"/>
  <c r="AC5" i="14"/>
  <c r="AF5" i="14"/>
  <c r="AG5" i="14"/>
  <c r="AJ5" i="14"/>
  <c r="T6" i="14"/>
  <c r="U6" i="14"/>
  <c r="X6" i="14"/>
  <c r="Y6" i="14"/>
  <c r="AB6" i="14"/>
  <c r="AC6" i="14"/>
  <c r="AF6" i="14"/>
  <c r="AG6" i="14"/>
  <c r="AH6" i="14"/>
  <c r="AJ6" i="14"/>
  <c r="AL11" i="24"/>
  <c r="AJ7" i="13"/>
  <c r="AK11" i="24"/>
  <c r="AI7" i="13"/>
  <c r="AL10" i="24"/>
  <c r="AJ7" i="12"/>
  <c r="AI7" i="12"/>
  <c r="AK9" i="24"/>
  <c r="AJ7" i="11"/>
  <c r="AK8" i="24"/>
  <c r="AJ7" i="10" s="1"/>
  <c r="AK7" i="24"/>
  <c r="Z7" i="9"/>
  <c r="AL7" i="24"/>
  <c r="P7" i="24" s="1"/>
  <c r="E7" i="9" s="1"/>
  <c r="AM7" i="24"/>
  <c r="AB7" i="9"/>
  <c r="AN7" i="24"/>
  <c r="AC7" i="9" s="1"/>
  <c r="AO7" i="24"/>
  <c r="AD7" i="9"/>
  <c r="AP7" i="24"/>
  <c r="AE7" i="9" s="1"/>
  <c r="AQ7" i="24"/>
  <c r="AF7" i="9"/>
  <c r="AR7" i="24"/>
  <c r="AG7" i="9" s="1"/>
  <c r="AS7" i="24"/>
  <c r="AH7" i="9"/>
  <c r="AT7" i="24"/>
  <c r="AI7" i="9" s="1"/>
  <c r="AU7" i="24"/>
  <c r="AJ7" i="9"/>
  <c r="AK6" i="24"/>
  <c r="Z7" i="8" s="1"/>
  <c r="AL6" i="24"/>
  <c r="AA7" i="8"/>
  <c r="AM6" i="24"/>
  <c r="AB7" i="8" s="1"/>
  <c r="AN6" i="24"/>
  <c r="AC7" i="8"/>
  <c r="AO6" i="24"/>
  <c r="AD7" i="8" s="1"/>
  <c r="AP6" i="24"/>
  <c r="AE7" i="8"/>
  <c r="AQ6" i="24"/>
  <c r="AR6" i="24"/>
  <c r="AG7" i="8"/>
  <c r="AS6" i="24"/>
  <c r="AH7" i="8" s="1"/>
  <c r="AT6" i="24"/>
  <c r="AI7" i="8"/>
  <c r="AU6" i="24"/>
  <c r="AJ7" i="8" s="1"/>
  <c r="AK5" i="24"/>
  <c r="AD5" i="7"/>
  <c r="AL5" i="24"/>
  <c r="AE5" i="7"/>
  <c r="AE2" i="7"/>
  <c r="AM5" i="24"/>
  <c r="AF5" i="7" s="1"/>
  <c r="AF4" i="7" s="1"/>
  <c r="AN5" i="24"/>
  <c r="AG5" i="7"/>
  <c r="AO5" i="24"/>
  <c r="AH5" i="7"/>
  <c r="AP5" i="24"/>
  <c r="AI5" i="7"/>
  <c r="AI2" i="7"/>
  <c r="AQ5" i="24"/>
  <c r="AJ5" i="7" s="1"/>
  <c r="AE3" i="7"/>
  <c r="AH3" i="7"/>
  <c r="AI3" i="7"/>
  <c r="AE4" i="7"/>
  <c r="AI4" i="7"/>
  <c r="AJ4" i="7"/>
  <c r="AE6" i="7"/>
  <c r="AG6" i="7"/>
  <c r="AI6" i="7"/>
  <c r="AJ6" i="7"/>
  <c r="AL4" i="24"/>
  <c r="AM4" i="24"/>
  <c r="AN4" i="24"/>
  <c r="AG4" i="6"/>
  <c r="AG2" i="6"/>
  <c r="AO4" i="24"/>
  <c r="AH2" i="6"/>
  <c r="AP4" i="24"/>
  <c r="AQ4" i="24"/>
  <c r="AF3" i="6"/>
  <c r="AG3" i="6"/>
  <c r="AH3" i="6"/>
  <c r="AJ3" i="6"/>
  <c r="AE4" i="6"/>
  <c r="AH4" i="6"/>
  <c r="AF6" i="6"/>
  <c r="AG6" i="6"/>
  <c r="AH6" i="6"/>
  <c r="AL3" i="24"/>
  <c r="P4" i="5" s="1"/>
  <c r="AM3" i="24"/>
  <c r="Q4" i="5"/>
  <c r="AN3" i="24"/>
  <c r="R4" i="5"/>
  <c r="R2" i="5"/>
  <c r="AO3" i="24"/>
  <c r="S4" i="5"/>
  <c r="S2" i="5"/>
  <c r="AP3" i="24"/>
  <c r="AQ3" i="24"/>
  <c r="U4" i="5"/>
  <c r="AR3" i="24"/>
  <c r="V4" i="5"/>
  <c r="V6" i="5" s="1"/>
  <c r="AS3" i="24"/>
  <c r="W4" i="5"/>
  <c r="W2" i="5"/>
  <c r="AT3" i="24"/>
  <c r="X4" i="5" s="1"/>
  <c r="AU3" i="24"/>
  <c r="Y4" i="5"/>
  <c r="AV3" i="24"/>
  <c r="Z4" i="5"/>
  <c r="AW3" i="24"/>
  <c r="AA4" i="5"/>
  <c r="AA2" i="5"/>
  <c r="AX3" i="24"/>
  <c r="AB4" i="5" s="1"/>
  <c r="AY3" i="24"/>
  <c r="AC4" i="5"/>
  <c r="AZ3" i="24"/>
  <c r="AD4" i="5"/>
  <c r="AD2" i="5"/>
  <c r="BA3" i="24"/>
  <c r="AE4" i="5"/>
  <c r="AE2" i="5"/>
  <c r="BB3" i="24"/>
  <c r="AF4" i="5" s="1"/>
  <c r="BC3" i="24"/>
  <c r="AG4" i="5"/>
  <c r="BD3" i="24"/>
  <c r="AH4" i="5"/>
  <c r="AH2" i="5"/>
  <c r="BE3" i="24"/>
  <c r="AI4" i="5"/>
  <c r="AI2" i="5"/>
  <c r="BF3" i="24"/>
  <c r="AJ4" i="5" s="1"/>
  <c r="P3" i="5"/>
  <c r="S3" i="5"/>
  <c r="U3" i="5"/>
  <c r="W3" i="5"/>
  <c r="Y3" i="5"/>
  <c r="AA3" i="5"/>
  <c r="AB3" i="5"/>
  <c r="AE3" i="5"/>
  <c r="AF3" i="5"/>
  <c r="AH3" i="5"/>
  <c r="AI3" i="5"/>
  <c r="AJ3" i="5"/>
  <c r="S5" i="5"/>
  <c r="W5" i="5"/>
  <c r="AA5" i="5"/>
  <c r="AB5" i="5"/>
  <c r="AE5" i="5"/>
  <c r="AH5" i="5"/>
  <c r="AI5" i="5"/>
  <c r="S6" i="5"/>
  <c r="W6" i="5"/>
  <c r="AA6" i="5"/>
  <c r="AD6" i="5"/>
  <c r="AE6" i="5"/>
  <c r="AH6" i="5"/>
  <c r="AI6" i="5"/>
  <c r="AL2" i="24"/>
  <c r="P4" i="2"/>
  <c r="P2" i="2"/>
  <c r="AM2" i="24"/>
  <c r="Q4" i="2"/>
  <c r="Q2" i="2"/>
  <c r="AN2" i="24"/>
  <c r="R4" i="2" s="1"/>
  <c r="AO2" i="24"/>
  <c r="S4" i="2"/>
  <c r="AP2" i="24"/>
  <c r="T4" i="2"/>
  <c r="T2" i="2"/>
  <c r="AQ2" i="24"/>
  <c r="U4" i="2"/>
  <c r="U2" i="2"/>
  <c r="AR2" i="24"/>
  <c r="V4" i="2" s="1"/>
  <c r="AS2" i="24"/>
  <c r="W4" i="2"/>
  <c r="AT2" i="24"/>
  <c r="X4" i="2"/>
  <c r="X2" i="2"/>
  <c r="AU2" i="24"/>
  <c r="Y4" i="2"/>
  <c r="Y2" i="2"/>
  <c r="AV2" i="24"/>
  <c r="Z4" i="2" s="1"/>
  <c r="AW2" i="24"/>
  <c r="AA4" i="2" s="1"/>
  <c r="AX2" i="24"/>
  <c r="AB4" i="2"/>
  <c r="AB2" i="2"/>
  <c r="AY2" i="24"/>
  <c r="AC4" i="2"/>
  <c r="AC2" i="2"/>
  <c r="AZ2" i="24"/>
  <c r="AD4" i="2" s="1"/>
  <c r="BA2" i="24"/>
  <c r="AE4" i="2"/>
  <c r="BB2" i="24"/>
  <c r="AF4" i="2"/>
  <c r="BC2" i="24"/>
  <c r="AG4" i="2"/>
  <c r="AG2" i="2"/>
  <c r="BD2" i="24"/>
  <c r="AH4" i="2" s="1"/>
  <c r="BE2" i="24"/>
  <c r="AI4" i="2"/>
  <c r="BF2" i="24"/>
  <c r="AJ4" i="2"/>
  <c r="AJ2" i="2"/>
  <c r="P3" i="2"/>
  <c r="Q3" i="2"/>
  <c r="R3" i="2"/>
  <c r="U3" i="2"/>
  <c r="V3" i="2"/>
  <c r="Y3" i="2"/>
  <c r="Z3" i="2"/>
  <c r="AC3" i="2"/>
  <c r="AE3" i="2"/>
  <c r="AG3" i="2"/>
  <c r="AH3" i="2"/>
  <c r="P5" i="2"/>
  <c r="Q5" i="2"/>
  <c r="R5" i="2"/>
  <c r="U5" i="2"/>
  <c r="V5" i="2"/>
  <c r="Y5" i="2"/>
  <c r="AC5" i="2"/>
  <c r="AD5" i="2"/>
  <c r="AG5" i="2"/>
  <c r="AH5" i="2"/>
  <c r="P6" i="2"/>
  <c r="Q6" i="2"/>
  <c r="T6" i="2"/>
  <c r="U6" i="2"/>
  <c r="X6" i="2"/>
  <c r="Y6" i="2"/>
  <c r="AB6" i="2"/>
  <c r="AC6" i="2"/>
  <c r="AG6" i="2"/>
  <c r="AJ6" i="2"/>
  <c r="AK4" i="24"/>
  <c r="AD3" i="6"/>
  <c r="AD4" i="6"/>
  <c r="AK3" i="24"/>
  <c r="O4" i="5"/>
  <c r="O2" i="5"/>
  <c r="O6" i="5"/>
  <c r="AK2" i="24"/>
  <c r="X2" i="24" s="1"/>
  <c r="B4" i="2" s="1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H11" i="24"/>
  <c r="F7" i="13" s="1"/>
  <c r="S11" i="24"/>
  <c r="Q7" i="13"/>
  <c r="V11" i="24"/>
  <c r="T7" i="13" s="1"/>
  <c r="W11" i="24"/>
  <c r="U7" i="13" s="1"/>
  <c r="AA11" i="24"/>
  <c r="Y7" i="13" s="1"/>
  <c r="AD11" i="24"/>
  <c r="AB7" i="13" s="1"/>
  <c r="AG11" i="24"/>
  <c r="AE7" i="13"/>
  <c r="AJ11" i="24"/>
  <c r="AH7" i="13" s="1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J10" i="24"/>
  <c r="H7" i="12"/>
  <c r="Q10" i="24"/>
  <c r="O7" i="12" s="1"/>
  <c r="S10" i="24"/>
  <c r="Q7" i="12" s="1"/>
  <c r="Y10" i="24"/>
  <c r="W7" i="12" s="1"/>
  <c r="AA10" i="24"/>
  <c r="Y7" i="12"/>
  <c r="AG10" i="24"/>
  <c r="AE7" i="12" s="1"/>
  <c r="AI10" i="24"/>
  <c r="AG7" i="12" s="1"/>
  <c r="D10" i="24"/>
  <c r="B7" i="12" s="1"/>
  <c r="AR5" i="24"/>
  <c r="S5" i="24" s="1"/>
  <c r="L5" i="7" s="1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J5" i="24"/>
  <c r="C5" i="7" s="1"/>
  <c r="C4" i="7" s="1"/>
  <c r="K5" i="24"/>
  <c r="D5" i="7" s="1"/>
  <c r="D2" i="7" s="1"/>
  <c r="P5" i="24"/>
  <c r="I5" i="7" s="1"/>
  <c r="U5" i="24"/>
  <c r="N5" i="7"/>
  <c r="Z5" i="24"/>
  <c r="S5" i="7" s="1"/>
  <c r="AA5" i="24"/>
  <c r="T5" i="7" s="1"/>
  <c r="T2" i="7" s="1"/>
  <c r="AF5" i="24"/>
  <c r="Y5" i="7" s="1"/>
  <c r="I5" i="24"/>
  <c r="B5" i="7"/>
  <c r="AR4" i="24"/>
  <c r="AS4" i="24"/>
  <c r="AT4" i="24"/>
  <c r="AU4" i="24"/>
  <c r="AH4" i="24" s="1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I4" i="24"/>
  <c r="U4" i="24"/>
  <c r="L4" i="24"/>
  <c r="Q4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E9" i="24"/>
  <c r="D7" i="11" s="1"/>
  <c r="F9" i="24"/>
  <c r="E7" i="11" s="1"/>
  <c r="H9" i="24"/>
  <c r="G7" i="11" s="1"/>
  <c r="K9" i="24"/>
  <c r="J7" i="11" s="1"/>
  <c r="M9" i="24"/>
  <c r="L7" i="11" s="1"/>
  <c r="N9" i="24"/>
  <c r="M7" i="11" s="1"/>
  <c r="P9" i="24"/>
  <c r="O7" i="11"/>
  <c r="S9" i="24"/>
  <c r="R7" i="11" s="1"/>
  <c r="U9" i="24"/>
  <c r="T7" i="11" s="1"/>
  <c r="V9" i="24"/>
  <c r="U7" i="11" s="1"/>
  <c r="X9" i="24"/>
  <c r="W7" i="11" s="1"/>
  <c r="AA9" i="24"/>
  <c r="Z7" i="11" s="1"/>
  <c r="AC9" i="24"/>
  <c r="AB7" i="11" s="1"/>
  <c r="AD9" i="24"/>
  <c r="AC7" i="11" s="1"/>
  <c r="AF9" i="24"/>
  <c r="AE7" i="11"/>
  <c r="AI9" i="24"/>
  <c r="AH7" i="11" s="1"/>
  <c r="C9" i="24"/>
  <c r="B7" i="11" s="1"/>
  <c r="AL8" i="24"/>
  <c r="T8" i="24" s="1"/>
  <c r="S7" i="10" s="1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B8" i="24"/>
  <c r="AA7" i="10" s="1"/>
  <c r="AG8" i="24"/>
  <c r="AF7" i="10" s="1"/>
  <c r="D8" i="24"/>
  <c r="C7" i="10" s="1"/>
  <c r="I8" i="24"/>
  <c r="H7" i="10" s="1"/>
  <c r="N8" i="24"/>
  <c r="M7" i="10" s="1"/>
  <c r="C8" i="24"/>
  <c r="B7" i="10"/>
  <c r="AV7" i="24"/>
  <c r="AW7" i="24"/>
  <c r="AX7" i="24"/>
  <c r="AY7" i="24"/>
  <c r="R7" i="24" s="1"/>
  <c r="G7" i="9" s="1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S7" i="24"/>
  <c r="H7" i="9" s="1"/>
  <c r="X7" i="24"/>
  <c r="M7" i="9" s="1"/>
  <c r="AI7" i="24"/>
  <c r="X7" i="9" s="1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I6" i="24"/>
  <c r="X7" i="8" s="1"/>
  <c r="Q6" i="24"/>
  <c r="F7" i="8"/>
  <c r="V6" i="24"/>
  <c r="K7" i="8" s="1"/>
  <c r="W6" i="24"/>
  <c r="L7" i="8" s="1"/>
  <c r="AB6" i="24"/>
  <c r="Q7" i="8" s="1"/>
  <c r="M6" i="24"/>
  <c r="B7" i="8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H3" i="24"/>
  <c r="L4" i="5" s="1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C2" i="24"/>
  <c r="G4" i="2" s="1"/>
  <c r="G5" i="2" s="1"/>
  <c r="AH2" i="24"/>
  <c r="L4" i="2"/>
  <c r="L6" i="2" s="1"/>
  <c r="AK13" i="24"/>
  <c r="T13" i="24"/>
  <c r="U13" i="24"/>
  <c r="W13" i="24"/>
  <c r="X13" i="24"/>
  <c r="Y13" i="24"/>
  <c r="AA13" i="24"/>
  <c r="AB13" i="24"/>
  <c r="AC13" i="24"/>
  <c r="AE13" i="24"/>
  <c r="AF13" i="24"/>
  <c r="AG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AB2" i="6"/>
  <c r="J3" i="6"/>
  <c r="E2" i="6"/>
  <c r="C6" i="7"/>
  <c r="D6" i="7"/>
  <c r="S6" i="7"/>
  <c r="T6" i="7"/>
  <c r="C3" i="7"/>
  <c r="D3" i="7"/>
  <c r="S3" i="7"/>
  <c r="T3" i="7"/>
  <c r="I4" i="7"/>
  <c r="Y4" i="7"/>
  <c r="E52" i="26" l="1"/>
  <c r="E44" i="26"/>
  <c r="AA63" i="26"/>
  <c r="D63" i="26"/>
  <c r="D60" i="26"/>
  <c r="AA60" i="26"/>
  <c r="K62" i="26"/>
  <c r="J62" i="26" s="1"/>
  <c r="H62" i="26"/>
  <c r="AX62" i="26" s="1"/>
  <c r="BA62" i="26" s="1"/>
  <c r="J48" i="26"/>
  <c r="C83" i="26" s="1"/>
  <c r="M83" i="26" s="1"/>
  <c r="K48" i="26"/>
  <c r="B83" i="26" s="1"/>
  <c r="AR83" i="26" s="1"/>
  <c r="F62" i="26"/>
  <c r="O69" i="26"/>
  <c r="O73" i="26" s="1"/>
  <c r="F64" i="26"/>
  <c r="AA64" i="26"/>
  <c r="D64" i="26"/>
  <c r="J47" i="26"/>
  <c r="C84" i="26" s="1"/>
  <c r="M84" i="26" s="1"/>
  <c r="K47" i="26"/>
  <c r="B84" i="26" s="1"/>
  <c r="AR84" i="26" s="1"/>
  <c r="N43" i="26"/>
  <c r="L43" i="26" s="1"/>
  <c r="J43" i="26" s="1"/>
  <c r="N34" i="26"/>
  <c r="N36" i="26"/>
  <c r="L36" i="26" s="1"/>
  <c r="N35" i="26"/>
  <c r="L35" i="26" s="1"/>
  <c r="N37" i="26"/>
  <c r="L37" i="26" s="1"/>
  <c r="N42" i="26"/>
  <c r="L42" i="26" s="1"/>
  <c r="J42" i="26" s="1"/>
  <c r="N40" i="26"/>
  <c r="L40" i="26" s="1"/>
  <c r="N39" i="26"/>
  <c r="G60" i="26"/>
  <c r="B82" i="26"/>
  <c r="J46" i="26"/>
  <c r="L50" i="26"/>
  <c r="K46" i="26"/>
  <c r="B85" i="26" s="1"/>
  <c r="AR85" i="26" s="1"/>
  <c r="G63" i="26"/>
  <c r="Z61" i="26"/>
  <c r="L2" i="7"/>
  <c r="L4" i="7"/>
  <c r="L6" i="7"/>
  <c r="L3" i="7"/>
  <c r="B2" i="2"/>
  <c r="B3" i="2"/>
  <c r="B5" i="2"/>
  <c r="B6" i="2"/>
  <c r="AA4" i="6"/>
  <c r="AA2" i="6"/>
  <c r="AA6" i="6"/>
  <c r="AA3" i="6"/>
  <c r="L6" i="5"/>
  <c r="L5" i="5"/>
  <c r="L3" i="5"/>
  <c r="L2" i="5"/>
  <c r="J2" i="6"/>
  <c r="J4" i="6"/>
  <c r="N3" i="6"/>
  <c r="N2" i="6"/>
  <c r="Y6" i="7"/>
  <c r="Y3" i="7"/>
  <c r="I6" i="7"/>
  <c r="I3" i="7"/>
  <c r="T4" i="5"/>
  <c r="Y3" i="24"/>
  <c r="C4" i="5" s="1"/>
  <c r="AA3" i="24"/>
  <c r="E4" i="5" s="1"/>
  <c r="AC3" i="24"/>
  <c r="G4" i="5" s="1"/>
  <c r="AE3" i="24"/>
  <c r="I4" i="5" s="1"/>
  <c r="AG3" i="24"/>
  <c r="K4" i="5" s="1"/>
  <c r="AI3" i="24"/>
  <c r="M4" i="5" s="1"/>
  <c r="X3" i="24"/>
  <c r="B4" i="5" s="1"/>
  <c r="AD3" i="24"/>
  <c r="H4" i="5" s="1"/>
  <c r="AB3" i="24"/>
  <c r="F4" i="5" s="1"/>
  <c r="AJ3" i="24"/>
  <c r="N4" i="5" s="1"/>
  <c r="L3" i="2"/>
  <c r="L2" i="2"/>
  <c r="AF3" i="24"/>
  <c r="J4" i="5" s="1"/>
  <c r="AH7" i="24"/>
  <c r="W7" i="9" s="1"/>
  <c r="AC7" i="24"/>
  <c r="R7" i="9" s="1"/>
  <c r="H8" i="24"/>
  <c r="G7" i="10" s="1"/>
  <c r="AE8" i="24"/>
  <c r="AD7" i="10" s="1"/>
  <c r="Z8" i="24"/>
  <c r="Y7" i="10" s="1"/>
  <c r="AA2" i="2"/>
  <c r="AA5" i="2"/>
  <c r="AA6" i="2"/>
  <c r="W2" i="2"/>
  <c r="W5" i="2"/>
  <c r="W6" i="2"/>
  <c r="W3" i="2"/>
  <c r="AD4" i="24"/>
  <c r="AG4" i="24"/>
  <c r="S4" i="24"/>
  <c r="V4" i="24"/>
  <c r="AA4" i="24"/>
  <c r="J4" i="24"/>
  <c r="O4" i="24"/>
  <c r="I4" i="24"/>
  <c r="AE4" i="24"/>
  <c r="AJ4" i="24"/>
  <c r="T4" i="24"/>
  <c r="Y4" i="24"/>
  <c r="AB4" i="24"/>
  <c r="M4" i="24"/>
  <c r="P4" i="24"/>
  <c r="AF7" i="8"/>
  <c r="AG6" i="24"/>
  <c r="V7" i="8" s="1"/>
  <c r="AJ6" i="24"/>
  <c r="Y7" i="8" s="1"/>
  <c r="R6" i="24"/>
  <c r="G7" i="8" s="1"/>
  <c r="U6" i="24"/>
  <c r="J7" i="8" s="1"/>
  <c r="Z6" i="24"/>
  <c r="O7" i="8" s="1"/>
  <c r="AC6" i="24"/>
  <c r="R7" i="8" s="1"/>
  <c r="AH6" i="24"/>
  <c r="W7" i="8" s="1"/>
  <c r="P6" i="24"/>
  <c r="E7" i="8" s="1"/>
  <c r="S6" i="24"/>
  <c r="H7" i="8" s="1"/>
  <c r="X6" i="24"/>
  <c r="M7" i="8" s="1"/>
  <c r="AA6" i="24"/>
  <c r="P7" i="8" s="1"/>
  <c r="AF6" i="24"/>
  <c r="U7" i="8" s="1"/>
  <c r="Z4" i="14"/>
  <c r="Y12" i="24"/>
  <c r="G4" i="14" s="1"/>
  <c r="AG12" i="24"/>
  <c r="O4" i="14" s="1"/>
  <c r="U12" i="24"/>
  <c r="C4" i="14" s="1"/>
  <c r="AB12" i="24"/>
  <c r="J4" i="14" s="1"/>
  <c r="AF12" i="24"/>
  <c r="N4" i="14" s="1"/>
  <c r="AJ12" i="24"/>
  <c r="R4" i="14" s="1"/>
  <c r="S2" i="14"/>
  <c r="S3" i="14"/>
  <c r="S6" i="14"/>
  <c r="L5" i="2"/>
  <c r="N4" i="6"/>
  <c r="Z3" i="24"/>
  <c r="D4" i="5" s="1"/>
  <c r="O6" i="24"/>
  <c r="D7" i="8" s="1"/>
  <c r="AF7" i="24"/>
  <c r="U7" i="9" s="1"/>
  <c r="Q8" i="24"/>
  <c r="P7" i="10" s="1"/>
  <c r="F8" i="24"/>
  <c r="E7" i="10" s="1"/>
  <c r="AJ8" i="24"/>
  <c r="AI7" i="10" s="1"/>
  <c r="Y8" i="24"/>
  <c r="X7" i="10" s="1"/>
  <c r="AC4" i="24"/>
  <c r="X4" i="24"/>
  <c r="AF4" i="24"/>
  <c r="AI5" i="24"/>
  <c r="AB5" i="7" s="1"/>
  <c r="X5" i="24"/>
  <c r="Q5" i="7" s="1"/>
  <c r="H10" i="24"/>
  <c r="F7" i="12" s="1"/>
  <c r="L10" i="24"/>
  <c r="J7" i="12" s="1"/>
  <c r="O10" i="24"/>
  <c r="M7" i="12" s="1"/>
  <c r="W10" i="24"/>
  <c r="U7" i="12" s="1"/>
  <c r="AE10" i="24"/>
  <c r="AC7" i="12" s="1"/>
  <c r="U10" i="24"/>
  <c r="S7" i="12" s="1"/>
  <c r="AC10" i="24"/>
  <c r="AA7" i="12" s="1"/>
  <c r="AJ6" i="5"/>
  <c r="AJ2" i="5"/>
  <c r="AJ5" i="5"/>
  <c r="AC2" i="5"/>
  <c r="AC5" i="5"/>
  <c r="AC6" i="5"/>
  <c r="AC3" i="5"/>
  <c r="S5" i="14"/>
  <c r="G3" i="2"/>
  <c r="U8" i="24"/>
  <c r="T7" i="10" s="1"/>
  <c r="X8" i="24"/>
  <c r="W7" i="10" s="1"/>
  <c r="AC8" i="24"/>
  <c r="AB7" i="10" s="1"/>
  <c r="AF8" i="24"/>
  <c r="AE7" i="10" s="1"/>
  <c r="G8" i="24"/>
  <c r="F7" i="10" s="1"/>
  <c r="L8" i="24"/>
  <c r="K7" i="10" s="1"/>
  <c r="O8" i="24"/>
  <c r="N7" i="10" s="1"/>
  <c r="S8" i="24"/>
  <c r="R7" i="10" s="1"/>
  <c r="V8" i="24"/>
  <c r="U7" i="10" s="1"/>
  <c r="AA8" i="24"/>
  <c r="Z7" i="10" s="1"/>
  <c r="AD8" i="24"/>
  <c r="AC7" i="10" s="1"/>
  <c r="AI8" i="24"/>
  <c r="AH7" i="10" s="1"/>
  <c r="E8" i="24"/>
  <c r="D7" i="10" s="1"/>
  <c r="J8" i="24"/>
  <c r="I7" i="10" s="1"/>
  <c r="M8" i="24"/>
  <c r="L7" i="10" s="1"/>
  <c r="R8" i="24"/>
  <c r="Q7" i="10" s="1"/>
  <c r="E6" i="6"/>
  <c r="E4" i="6"/>
  <c r="AB6" i="6"/>
  <c r="AB4" i="6"/>
  <c r="B3" i="7"/>
  <c r="B6" i="7"/>
  <c r="B2" i="7"/>
  <c r="B4" i="7"/>
  <c r="N4" i="7"/>
  <c r="N6" i="7"/>
  <c r="N3" i="7"/>
  <c r="AI2" i="2"/>
  <c r="AI5" i="2"/>
  <c r="AI6" i="2"/>
  <c r="AI3" i="2"/>
  <c r="V3" i="5"/>
  <c r="V5" i="5"/>
  <c r="V2" i="5"/>
  <c r="AD2" i="14"/>
  <c r="AD5" i="14"/>
  <c r="AD6" i="14"/>
  <c r="AD3" i="14"/>
  <c r="W2" i="14"/>
  <c r="W3" i="14"/>
  <c r="W6" i="14"/>
  <c r="W5" i="14"/>
  <c r="Y2" i="7"/>
  <c r="I2" i="7"/>
  <c r="E3" i="6"/>
  <c r="J6" i="6"/>
  <c r="AB3" i="6"/>
  <c r="K4" i="24"/>
  <c r="Z4" i="24"/>
  <c r="S2" i="7"/>
  <c r="S4" i="7"/>
  <c r="N5" i="24"/>
  <c r="G5" i="7" s="1"/>
  <c r="Q5" i="24"/>
  <c r="J5" i="7" s="1"/>
  <c r="V5" i="24"/>
  <c r="O5" i="7" s="1"/>
  <c r="Y5" i="24"/>
  <c r="R5" i="7" s="1"/>
  <c r="AD5" i="24"/>
  <c r="W5" i="7" s="1"/>
  <c r="AG5" i="24"/>
  <c r="Z5" i="7" s="1"/>
  <c r="L5" i="24"/>
  <c r="E5" i="7" s="1"/>
  <c r="O5" i="24"/>
  <c r="H5" i="7" s="1"/>
  <c r="T5" i="24"/>
  <c r="M5" i="7" s="1"/>
  <c r="W5" i="24"/>
  <c r="P5" i="7" s="1"/>
  <c r="AB5" i="24"/>
  <c r="U5" i="7" s="1"/>
  <c r="AE5" i="24"/>
  <c r="X5" i="7" s="1"/>
  <c r="AJ5" i="24"/>
  <c r="AC5" i="7" s="1"/>
  <c r="AC12" i="24"/>
  <c r="K4" i="14" s="1"/>
  <c r="O4" i="2"/>
  <c r="AA2" i="24"/>
  <c r="E4" i="2" s="1"/>
  <c r="AD2" i="24"/>
  <c r="H4" i="2" s="1"/>
  <c r="AI2" i="24"/>
  <c r="M4" i="2" s="1"/>
  <c r="Y2" i="24"/>
  <c r="C4" i="2" s="1"/>
  <c r="AB2" i="24"/>
  <c r="F4" i="2" s="1"/>
  <c r="AG2" i="24"/>
  <c r="K4" i="2" s="1"/>
  <c r="AJ2" i="24"/>
  <c r="N4" i="2" s="1"/>
  <c r="AA3" i="2"/>
  <c r="AG2" i="5"/>
  <c r="AG5" i="5"/>
  <c r="AG6" i="5"/>
  <c r="AG3" i="5"/>
  <c r="AD6" i="7"/>
  <c r="AD4" i="7"/>
  <c r="AD3" i="7"/>
  <c r="AD2" i="7"/>
  <c r="AA7" i="9"/>
  <c r="N7" i="24"/>
  <c r="C7" i="9" s="1"/>
  <c r="Q7" i="24"/>
  <c r="F7" i="9" s="1"/>
  <c r="V7" i="24"/>
  <c r="K7" i="9" s="1"/>
  <c r="Y7" i="24"/>
  <c r="N7" i="9" s="1"/>
  <c r="AD7" i="24"/>
  <c r="S7" i="9" s="1"/>
  <c r="AG7" i="24"/>
  <c r="V7" i="9" s="1"/>
  <c r="O7" i="24"/>
  <c r="D7" i="9" s="1"/>
  <c r="T7" i="24"/>
  <c r="I7" i="9" s="1"/>
  <c r="W7" i="24"/>
  <c r="L7" i="9" s="1"/>
  <c r="AB7" i="24"/>
  <c r="Q7" i="9" s="1"/>
  <c r="AE7" i="24"/>
  <c r="T7" i="9" s="1"/>
  <c r="AJ7" i="24"/>
  <c r="Y7" i="9" s="1"/>
  <c r="AI2" i="14"/>
  <c r="AI3" i="14"/>
  <c r="AI6" i="14"/>
  <c r="AI5" i="14"/>
  <c r="C2" i="7"/>
  <c r="N2" i="7"/>
  <c r="AF2" i="24"/>
  <c r="J4" i="2" s="1"/>
  <c r="AE6" i="24"/>
  <c r="T7" i="8" s="1"/>
  <c r="T6" i="24"/>
  <c r="I7" i="8" s="1"/>
  <c r="AA7" i="24"/>
  <c r="P7" i="9" s="1"/>
  <c r="G2" i="2"/>
  <c r="G6" i="2"/>
  <c r="T4" i="7"/>
  <c r="D4" i="7"/>
  <c r="N6" i="6"/>
  <c r="AE2" i="24"/>
  <c r="I4" i="2" s="1"/>
  <c r="Z2" i="24"/>
  <c r="D4" i="2" s="1"/>
  <c r="AD6" i="24"/>
  <c r="S7" i="8" s="1"/>
  <c r="Y6" i="24"/>
  <c r="N7" i="8" s="1"/>
  <c r="N6" i="24"/>
  <c r="C7" i="8" s="1"/>
  <c r="M7" i="24"/>
  <c r="B7" i="9" s="1"/>
  <c r="Z7" i="24"/>
  <c r="O7" i="9" s="1"/>
  <c r="U7" i="24"/>
  <c r="J7" i="9" s="1"/>
  <c r="P8" i="24"/>
  <c r="O7" i="10" s="1"/>
  <c r="K8" i="24"/>
  <c r="J7" i="10" s="1"/>
  <c r="AH8" i="24"/>
  <c r="AG7" i="10" s="1"/>
  <c r="W8" i="24"/>
  <c r="V7" i="10" s="1"/>
  <c r="D9" i="24"/>
  <c r="C7" i="11" s="1"/>
  <c r="I9" i="24"/>
  <c r="H7" i="11" s="1"/>
  <c r="L9" i="24"/>
  <c r="K7" i="11" s="1"/>
  <c r="Q9" i="24"/>
  <c r="P7" i="11" s="1"/>
  <c r="T9" i="24"/>
  <c r="S7" i="11" s="1"/>
  <c r="Y9" i="24"/>
  <c r="X7" i="11" s="1"/>
  <c r="AB9" i="24"/>
  <c r="AA7" i="11" s="1"/>
  <c r="AG9" i="24"/>
  <c r="AF7" i="11" s="1"/>
  <c r="AJ9" i="24"/>
  <c r="AI7" i="11" s="1"/>
  <c r="G9" i="24"/>
  <c r="F7" i="11" s="1"/>
  <c r="J9" i="24"/>
  <c r="I7" i="11" s="1"/>
  <c r="O9" i="24"/>
  <c r="N7" i="11" s="1"/>
  <c r="R9" i="24"/>
  <c r="Q7" i="11" s="1"/>
  <c r="W9" i="24"/>
  <c r="V7" i="11" s="1"/>
  <c r="Z9" i="24"/>
  <c r="Y7" i="11" s="1"/>
  <c r="AE9" i="24"/>
  <c r="AD7" i="11" s="1"/>
  <c r="AH9" i="24"/>
  <c r="AG7" i="11" s="1"/>
  <c r="N4" i="24"/>
  <c r="W4" i="24"/>
  <c r="R4" i="24"/>
  <c r="AH5" i="24"/>
  <c r="AA5" i="7" s="1"/>
  <c r="AC5" i="24"/>
  <c r="V5" i="7" s="1"/>
  <c r="R5" i="24"/>
  <c r="K5" i="7" s="1"/>
  <c r="M5" i="24"/>
  <c r="F5" i="7" s="1"/>
  <c r="F11" i="24"/>
  <c r="D7" i="13" s="1"/>
  <c r="J11" i="24"/>
  <c r="H7" i="13" s="1"/>
  <c r="N11" i="24"/>
  <c r="L7" i="13" s="1"/>
  <c r="R11" i="24"/>
  <c r="P7" i="13" s="1"/>
  <c r="U11" i="24"/>
  <c r="S7" i="13" s="1"/>
  <c r="Z11" i="24"/>
  <c r="X7" i="13" s="1"/>
  <c r="AC11" i="24"/>
  <c r="AA7" i="13" s="1"/>
  <c r="AH11" i="24"/>
  <c r="AF7" i="13" s="1"/>
  <c r="D11" i="24"/>
  <c r="B7" i="13" s="1"/>
  <c r="P11" i="24"/>
  <c r="N7" i="13" s="1"/>
  <c r="T11" i="24"/>
  <c r="R7" i="13" s="1"/>
  <c r="X11" i="24"/>
  <c r="V7" i="13" s="1"/>
  <c r="AE11" i="24"/>
  <c r="AC7" i="13" s="1"/>
  <c r="AI11" i="24"/>
  <c r="AG7" i="13" s="1"/>
  <c r="L11" i="24"/>
  <c r="J7" i="13" s="1"/>
  <c r="Y11" i="24"/>
  <c r="W7" i="13" s="1"/>
  <c r="AB11" i="24"/>
  <c r="Z7" i="13" s="1"/>
  <c r="AF11" i="24"/>
  <c r="AD7" i="13" s="1"/>
  <c r="T12" i="24"/>
  <c r="B4" i="14" s="1"/>
  <c r="AF3" i="2"/>
  <c r="AF5" i="2"/>
  <c r="AF2" i="2"/>
  <c r="AF6" i="2"/>
  <c r="AD6" i="2"/>
  <c r="AD2" i="2"/>
  <c r="AD3" i="2"/>
  <c r="Z6" i="2"/>
  <c r="Z2" i="2"/>
  <c r="Z5" i="2"/>
  <c r="S2" i="2"/>
  <c r="S5" i="2"/>
  <c r="S6" i="2"/>
  <c r="S3" i="2"/>
  <c r="AE2" i="6"/>
  <c r="AE3" i="6"/>
  <c r="AE6" i="6"/>
  <c r="AF6" i="7"/>
  <c r="V13" i="24"/>
  <c r="Z13" i="24"/>
  <c r="AD13" i="24"/>
  <c r="AH13" i="24"/>
  <c r="AJ10" i="24"/>
  <c r="AH7" i="12" s="1"/>
  <c r="E10" i="24"/>
  <c r="C7" i="12" s="1"/>
  <c r="G10" i="24"/>
  <c r="E7" i="12" s="1"/>
  <c r="I10" i="24"/>
  <c r="G7" i="12" s="1"/>
  <c r="K10" i="24"/>
  <c r="I7" i="12" s="1"/>
  <c r="M10" i="24"/>
  <c r="K7" i="12" s="1"/>
  <c r="F10" i="24"/>
  <c r="D7" i="12" s="1"/>
  <c r="N10" i="24"/>
  <c r="L7" i="12" s="1"/>
  <c r="P10" i="24"/>
  <c r="N7" i="12" s="1"/>
  <c r="R10" i="24"/>
  <c r="P7" i="12" s="1"/>
  <c r="T10" i="24"/>
  <c r="R7" i="12" s="1"/>
  <c r="V10" i="24"/>
  <c r="T7" i="12" s="1"/>
  <c r="X10" i="24"/>
  <c r="V7" i="12" s="1"/>
  <c r="Z10" i="24"/>
  <c r="X7" i="12" s="1"/>
  <c r="AB10" i="24"/>
  <c r="Z7" i="12" s="1"/>
  <c r="AD10" i="24"/>
  <c r="AB7" i="12" s="1"/>
  <c r="AF10" i="24"/>
  <c r="AD7" i="12" s="1"/>
  <c r="AH10" i="24"/>
  <c r="AF7" i="12" s="1"/>
  <c r="AB3" i="2"/>
  <c r="AB5" i="2"/>
  <c r="Z3" i="5"/>
  <c r="Z5" i="5"/>
  <c r="Z2" i="5"/>
  <c r="Z6" i="5"/>
  <c r="X6" i="5"/>
  <c r="X2" i="5"/>
  <c r="X5" i="5"/>
  <c r="X3" i="5"/>
  <c r="Q2" i="5"/>
  <c r="Q5" i="5"/>
  <c r="Q6" i="5"/>
  <c r="Q3" i="5"/>
  <c r="AH6" i="7"/>
  <c r="AH4" i="7"/>
  <c r="AH2" i="7"/>
  <c r="AF3" i="7"/>
  <c r="AF2" i="7"/>
  <c r="E11" i="24"/>
  <c r="C7" i="13" s="1"/>
  <c r="G11" i="24"/>
  <c r="E7" i="13" s="1"/>
  <c r="I11" i="24"/>
  <c r="G7" i="13" s="1"/>
  <c r="K11" i="24"/>
  <c r="I7" i="13" s="1"/>
  <c r="M11" i="24"/>
  <c r="K7" i="13" s="1"/>
  <c r="O11" i="24"/>
  <c r="M7" i="13" s="1"/>
  <c r="Q11" i="24"/>
  <c r="O7" i="13" s="1"/>
  <c r="AE2" i="2"/>
  <c r="AE5" i="2"/>
  <c r="AE6" i="2"/>
  <c r="X3" i="2"/>
  <c r="X5" i="2"/>
  <c r="V6" i="2"/>
  <c r="V2" i="2"/>
  <c r="AF6" i="5"/>
  <c r="AF2" i="5"/>
  <c r="Y2" i="5"/>
  <c r="Y5" i="5"/>
  <c r="Y6" i="5"/>
  <c r="R3" i="5"/>
  <c r="R5" i="5"/>
  <c r="P6" i="5"/>
  <c r="P2" i="5"/>
  <c r="AJ2" i="6"/>
  <c r="AJ4" i="6"/>
  <c r="AG2" i="7"/>
  <c r="AG4" i="7"/>
  <c r="AG3" i="7"/>
  <c r="AE2" i="14"/>
  <c r="AE3" i="14"/>
  <c r="AE6" i="14"/>
  <c r="V4" i="14"/>
  <c r="W12" i="24"/>
  <c r="E4" i="14" s="1"/>
  <c r="AA12" i="24"/>
  <c r="I4" i="14" s="1"/>
  <c r="AE12" i="24"/>
  <c r="M4" i="14" s="1"/>
  <c r="AI12" i="24"/>
  <c r="Q4" i="14" s="1"/>
  <c r="V12" i="24"/>
  <c r="D4" i="14" s="1"/>
  <c r="Z12" i="24"/>
  <c r="H4" i="14" s="1"/>
  <c r="AD12" i="24"/>
  <c r="L4" i="14" s="1"/>
  <c r="AH12" i="24"/>
  <c r="P4" i="14" s="1"/>
  <c r="X12" i="24"/>
  <c r="F4" i="14" s="1"/>
  <c r="O3" i="5"/>
  <c r="O5" i="5"/>
  <c r="AD6" i="6"/>
  <c r="AD2" i="6"/>
  <c r="AJ3" i="2"/>
  <c r="AJ5" i="2"/>
  <c r="AH6" i="2"/>
  <c r="AH2" i="2"/>
  <c r="T3" i="2"/>
  <c r="T5" i="2"/>
  <c r="R6" i="2"/>
  <c r="R2" i="2"/>
  <c r="R6" i="5"/>
  <c r="AF5" i="5"/>
  <c r="P5" i="5"/>
  <c r="AD3" i="5"/>
  <c r="AD5" i="5"/>
  <c r="AB6" i="5"/>
  <c r="AB2" i="5"/>
  <c r="U2" i="5"/>
  <c r="U5" i="5"/>
  <c r="U6" i="5"/>
  <c r="AJ6" i="6"/>
  <c r="AF2" i="6"/>
  <c r="AF4" i="6"/>
  <c r="AJ3" i="7"/>
  <c r="AJ2" i="7"/>
  <c r="AE5" i="14"/>
  <c r="AH2" i="14"/>
  <c r="AH5" i="14"/>
  <c r="AA2" i="14"/>
  <c r="AA3" i="14"/>
  <c r="AA6" i="14"/>
  <c r="F60" i="26" l="1"/>
  <c r="J37" i="26"/>
  <c r="C81" i="26" s="1"/>
  <c r="J35" i="26"/>
  <c r="K35" i="26" s="1"/>
  <c r="K63" i="26"/>
  <c r="H63" i="26"/>
  <c r="AX63" i="26" s="1"/>
  <c r="BA63" i="26" s="1"/>
  <c r="C85" i="26"/>
  <c r="M85" i="26" s="1"/>
  <c r="C82" i="26"/>
  <c r="J50" i="26"/>
  <c r="K40" i="26"/>
  <c r="B79" i="26" s="1"/>
  <c r="J40" i="26"/>
  <c r="C79" i="26" s="1"/>
  <c r="J36" i="26"/>
  <c r="K36" i="26" s="1"/>
  <c r="K64" i="26"/>
  <c r="H64" i="26"/>
  <c r="AX64" i="26" s="1"/>
  <c r="BA64" i="26" s="1"/>
  <c r="AA82" i="26"/>
  <c r="H82" i="26" s="1"/>
  <c r="D61" i="26"/>
  <c r="D69" i="26" s="1"/>
  <c r="D73" i="26" s="1"/>
  <c r="AA61" i="26"/>
  <c r="L39" i="26"/>
  <c r="N41" i="26"/>
  <c r="K60" i="26"/>
  <c r="AA69" i="26"/>
  <c r="AA73" i="26" s="1"/>
  <c r="H60" i="26"/>
  <c r="F63" i="26"/>
  <c r="N38" i="26"/>
  <c r="L34" i="26"/>
  <c r="G61" i="26"/>
  <c r="Z69" i="26"/>
  <c r="Z73" i="26" s="1"/>
  <c r="F3" i="14"/>
  <c r="F5" i="14"/>
  <c r="F6" i="14"/>
  <c r="F2" i="14"/>
  <c r="K2" i="7"/>
  <c r="K4" i="7"/>
  <c r="K6" i="7"/>
  <c r="K3" i="7"/>
  <c r="K3" i="14"/>
  <c r="K5" i="14"/>
  <c r="K6" i="14"/>
  <c r="K2" i="14"/>
  <c r="J4" i="7"/>
  <c r="J6" i="7"/>
  <c r="J3" i="7"/>
  <c r="J2" i="7"/>
  <c r="U6" i="6"/>
  <c r="U4" i="6"/>
  <c r="U3" i="6"/>
  <c r="U2" i="6"/>
  <c r="W6" i="6"/>
  <c r="W2" i="6"/>
  <c r="W4" i="6"/>
  <c r="W3" i="6"/>
  <c r="G3" i="5"/>
  <c r="G2" i="5"/>
  <c r="G6" i="5"/>
  <c r="G5" i="5"/>
  <c r="P2" i="14"/>
  <c r="P3" i="14"/>
  <c r="P6" i="14"/>
  <c r="P5" i="14"/>
  <c r="Q5" i="14"/>
  <c r="Q6" i="14"/>
  <c r="Q2" i="14"/>
  <c r="Q3" i="14"/>
  <c r="V2" i="14"/>
  <c r="V5" i="14"/>
  <c r="V3" i="14"/>
  <c r="V6" i="14"/>
  <c r="V4" i="7"/>
  <c r="V6" i="7"/>
  <c r="V3" i="7"/>
  <c r="V2" i="7"/>
  <c r="G4" i="6"/>
  <c r="G6" i="6"/>
  <c r="G3" i="6"/>
  <c r="G2" i="6"/>
  <c r="D3" i="2"/>
  <c r="D2" i="2"/>
  <c r="D5" i="2"/>
  <c r="D6" i="2"/>
  <c r="K6" i="2"/>
  <c r="K3" i="2"/>
  <c r="K2" i="2"/>
  <c r="K5" i="2"/>
  <c r="H2" i="2"/>
  <c r="H6" i="2"/>
  <c r="H5" i="2"/>
  <c r="H3" i="2"/>
  <c r="AC6" i="7"/>
  <c r="AC3" i="7"/>
  <c r="AC2" i="7"/>
  <c r="AC4" i="7"/>
  <c r="M6" i="7"/>
  <c r="M3" i="7"/>
  <c r="M2" i="7"/>
  <c r="M4" i="7"/>
  <c r="W2" i="7"/>
  <c r="W4" i="7"/>
  <c r="W6" i="7"/>
  <c r="W3" i="7"/>
  <c r="G2" i="7"/>
  <c r="G4" i="7"/>
  <c r="G6" i="7"/>
  <c r="G3" i="7"/>
  <c r="D3" i="6"/>
  <c r="D6" i="6"/>
  <c r="D4" i="6"/>
  <c r="D2" i="6"/>
  <c r="Q6" i="7"/>
  <c r="Q3" i="7"/>
  <c r="Q2" i="7"/>
  <c r="Q4" i="7"/>
  <c r="V2" i="6"/>
  <c r="V4" i="6"/>
  <c r="V6" i="6"/>
  <c r="V3" i="6"/>
  <c r="C3" i="14"/>
  <c r="C6" i="14"/>
  <c r="C2" i="14"/>
  <c r="C5" i="14"/>
  <c r="R2" i="6"/>
  <c r="R6" i="6"/>
  <c r="R3" i="6"/>
  <c r="R4" i="6"/>
  <c r="B4" i="6"/>
  <c r="B6" i="6"/>
  <c r="O2" i="6"/>
  <c r="O4" i="6"/>
  <c r="O3" i="6"/>
  <c r="O6" i="6"/>
  <c r="AI2" i="6"/>
  <c r="AI3" i="6"/>
  <c r="AI6" i="6"/>
  <c r="AI4" i="6"/>
  <c r="N3" i="5"/>
  <c r="N2" i="5"/>
  <c r="N5" i="5"/>
  <c r="N6" i="5"/>
  <c r="M2" i="5"/>
  <c r="M5" i="5"/>
  <c r="M6" i="5"/>
  <c r="M3" i="5"/>
  <c r="E6" i="5"/>
  <c r="E5" i="5"/>
  <c r="E2" i="5"/>
  <c r="E3" i="5"/>
  <c r="D2" i="14"/>
  <c r="D3" i="14"/>
  <c r="D6" i="14"/>
  <c r="D5" i="14"/>
  <c r="B6" i="14"/>
  <c r="B5" i="14"/>
  <c r="B3" i="14"/>
  <c r="B2" i="14"/>
  <c r="P6" i="6"/>
  <c r="P4" i="6"/>
  <c r="P3" i="6"/>
  <c r="P2" i="6"/>
  <c r="N5" i="2"/>
  <c r="N3" i="2"/>
  <c r="N6" i="2"/>
  <c r="N2" i="2"/>
  <c r="P2" i="7"/>
  <c r="P3" i="7"/>
  <c r="P4" i="7"/>
  <c r="P6" i="7"/>
  <c r="S3" i="6"/>
  <c r="S6" i="6"/>
  <c r="S4" i="6"/>
  <c r="S2" i="6"/>
  <c r="Q4" i="6"/>
  <c r="Q6" i="6"/>
  <c r="Q3" i="6"/>
  <c r="Q2" i="6"/>
  <c r="J3" i="14"/>
  <c r="J5" i="14"/>
  <c r="J6" i="14"/>
  <c r="J2" i="14"/>
  <c r="Z2" i="14"/>
  <c r="Z5" i="14"/>
  <c r="Z6" i="14"/>
  <c r="Z3" i="14"/>
  <c r="T4" i="6"/>
  <c r="T3" i="6"/>
  <c r="T2" i="6"/>
  <c r="T6" i="6"/>
  <c r="B3" i="5"/>
  <c r="B5" i="5"/>
  <c r="B6" i="5"/>
  <c r="B2" i="5"/>
  <c r="M5" i="14"/>
  <c r="M6" i="14"/>
  <c r="M2" i="14"/>
  <c r="M3" i="14"/>
  <c r="AA2" i="7"/>
  <c r="AA4" i="7"/>
  <c r="AA6" i="7"/>
  <c r="AA3" i="7"/>
  <c r="I2" i="2"/>
  <c r="I5" i="2"/>
  <c r="I6" i="2"/>
  <c r="I3" i="2"/>
  <c r="F3" i="2"/>
  <c r="F6" i="2"/>
  <c r="F5" i="2"/>
  <c r="F2" i="2"/>
  <c r="E6" i="2"/>
  <c r="E5" i="2"/>
  <c r="E2" i="2"/>
  <c r="E3" i="2"/>
  <c r="X2" i="7"/>
  <c r="X6" i="7"/>
  <c r="X3" i="7"/>
  <c r="X4" i="7"/>
  <c r="H2" i="7"/>
  <c r="H6" i="7"/>
  <c r="H4" i="7"/>
  <c r="H3" i="7"/>
  <c r="R4" i="7"/>
  <c r="R6" i="7"/>
  <c r="R3" i="7"/>
  <c r="R2" i="7"/>
  <c r="AB2" i="7"/>
  <c r="AB4" i="7"/>
  <c r="AB6" i="7"/>
  <c r="AB3" i="7"/>
  <c r="R3" i="14"/>
  <c r="R5" i="14"/>
  <c r="R6" i="14"/>
  <c r="R2" i="14"/>
  <c r="O3" i="14"/>
  <c r="O5" i="14"/>
  <c r="O6" i="14"/>
  <c r="O2" i="14"/>
  <c r="I6" i="6"/>
  <c r="I4" i="6"/>
  <c r="I3" i="6"/>
  <c r="I2" i="6"/>
  <c r="M6" i="6"/>
  <c r="M4" i="6"/>
  <c r="M3" i="6"/>
  <c r="M2" i="6"/>
  <c r="H4" i="6"/>
  <c r="H3" i="6"/>
  <c r="H2" i="6"/>
  <c r="H6" i="6"/>
  <c r="L6" i="6"/>
  <c r="L4" i="6"/>
  <c r="L3" i="6"/>
  <c r="L2" i="6"/>
  <c r="J3" i="5"/>
  <c r="J5" i="5"/>
  <c r="J6" i="5"/>
  <c r="J2" i="5"/>
  <c r="F2" i="5"/>
  <c r="F5" i="5"/>
  <c r="F6" i="5"/>
  <c r="F3" i="5"/>
  <c r="K2" i="5"/>
  <c r="K3" i="5"/>
  <c r="K5" i="5"/>
  <c r="K6" i="5"/>
  <c r="C6" i="5"/>
  <c r="C3" i="5"/>
  <c r="C2" i="5"/>
  <c r="C5" i="5"/>
  <c r="E5" i="14"/>
  <c r="E6" i="14"/>
  <c r="E2" i="14"/>
  <c r="E3" i="14"/>
  <c r="M2" i="2"/>
  <c r="M6" i="2"/>
  <c r="M3" i="2"/>
  <c r="M5" i="2"/>
  <c r="Z4" i="7"/>
  <c r="Z6" i="7"/>
  <c r="Z3" i="7"/>
  <c r="Z2" i="7"/>
  <c r="D3" i="5"/>
  <c r="D6" i="5"/>
  <c r="D5" i="5"/>
  <c r="D2" i="5"/>
  <c r="X4" i="6"/>
  <c r="X2" i="6"/>
  <c r="X6" i="6"/>
  <c r="X3" i="6"/>
  <c r="L2" i="14"/>
  <c r="L6" i="14"/>
  <c r="L5" i="14"/>
  <c r="L3" i="14"/>
  <c r="H2" i="14"/>
  <c r="H3" i="14"/>
  <c r="H5" i="14"/>
  <c r="H6" i="14"/>
  <c r="I5" i="14"/>
  <c r="I6" i="14"/>
  <c r="I2" i="14"/>
  <c r="I3" i="14"/>
  <c r="F4" i="7"/>
  <c r="F6" i="7"/>
  <c r="F3" i="7"/>
  <c r="F2" i="7"/>
  <c r="K6" i="6"/>
  <c r="K2" i="6"/>
  <c r="K3" i="6"/>
  <c r="K4" i="6"/>
  <c r="J2" i="2"/>
  <c r="J6" i="2"/>
  <c r="J3" i="2"/>
  <c r="J5" i="2"/>
  <c r="C5" i="2"/>
  <c r="C6" i="2"/>
  <c r="C2" i="2"/>
  <c r="C3" i="2"/>
  <c r="O6" i="2"/>
  <c r="O2" i="2"/>
  <c r="O3" i="2"/>
  <c r="O5" i="2"/>
  <c r="U6" i="7"/>
  <c r="U3" i="7"/>
  <c r="U2" i="7"/>
  <c r="U4" i="7"/>
  <c r="E6" i="7"/>
  <c r="E3" i="7"/>
  <c r="E2" i="7"/>
  <c r="E4" i="7"/>
  <c r="O2" i="7"/>
  <c r="O4" i="7"/>
  <c r="O6" i="7"/>
  <c r="O3" i="7"/>
  <c r="Y6" i="6"/>
  <c r="Y4" i="6"/>
  <c r="Y3" i="6"/>
  <c r="Y2" i="6"/>
  <c r="N3" i="14"/>
  <c r="N5" i="14"/>
  <c r="N6" i="14"/>
  <c r="N2" i="14"/>
  <c r="G3" i="14"/>
  <c r="G5" i="14"/>
  <c r="G6" i="14"/>
  <c r="G2" i="14"/>
  <c r="F3" i="6"/>
  <c r="F2" i="6"/>
  <c r="F6" i="6"/>
  <c r="F4" i="6"/>
  <c r="AC4" i="6"/>
  <c r="AC2" i="6"/>
  <c r="AC6" i="6"/>
  <c r="AC3" i="6"/>
  <c r="C4" i="6"/>
  <c r="C3" i="6"/>
  <c r="C2" i="6"/>
  <c r="C6" i="6"/>
  <c r="Z4" i="6"/>
  <c r="Z2" i="6"/>
  <c r="Z6" i="6"/>
  <c r="Z3" i="6"/>
  <c r="H5" i="5"/>
  <c r="H6" i="5"/>
  <c r="H2" i="5"/>
  <c r="H3" i="5"/>
  <c r="I6" i="5"/>
  <c r="I3" i="5"/>
  <c r="I5" i="5"/>
  <c r="I2" i="5"/>
  <c r="T6" i="5"/>
  <c r="T2" i="5"/>
  <c r="T3" i="5"/>
  <c r="T5" i="5"/>
  <c r="J34" i="26" l="1"/>
  <c r="K34" i="26"/>
  <c r="L38" i="26"/>
  <c r="J60" i="26"/>
  <c r="T79" i="26"/>
  <c r="AJ79" i="26"/>
  <c r="AV79" i="26"/>
  <c r="AW79" i="26" s="1"/>
  <c r="AQ79" i="26"/>
  <c r="N52" i="26"/>
  <c r="K37" i="26"/>
  <c r="B81" i="26" s="1"/>
  <c r="H69" i="26"/>
  <c r="H73" i="26" s="1"/>
  <c r="AX60" i="26"/>
  <c r="BA60" i="26" s="1"/>
  <c r="J39" i="26"/>
  <c r="L41" i="26"/>
  <c r="AT82" i="26"/>
  <c r="AV82" i="26" s="1"/>
  <c r="AW82" i="26" s="1"/>
  <c r="X82" i="26"/>
  <c r="Z82" i="26" s="1"/>
  <c r="D82" i="26" s="1"/>
  <c r="R82" i="26"/>
  <c r="T82" i="26" s="1"/>
  <c r="AC82" i="26"/>
  <c r="AE82" i="26" s="1"/>
  <c r="AM82" i="26"/>
  <c r="AQ82" i="26" s="1"/>
  <c r="M82" i="26"/>
  <c r="O82" i="26" s="1"/>
  <c r="AH82" i="26"/>
  <c r="AJ82" i="26" s="1"/>
  <c r="F69" i="26"/>
  <c r="F73" i="26" s="1"/>
  <c r="X81" i="26"/>
  <c r="AT81" i="26"/>
  <c r="M81" i="26"/>
  <c r="AC81" i="26"/>
  <c r="R81" i="26"/>
  <c r="AM81" i="26"/>
  <c r="AH81" i="26"/>
  <c r="J63" i="26"/>
  <c r="F61" i="26"/>
  <c r="K61" i="26"/>
  <c r="H61" i="26"/>
  <c r="AX61" i="26" s="1"/>
  <c r="BA61" i="26" s="1"/>
  <c r="J64" i="26"/>
  <c r="X79" i="26"/>
  <c r="Z79" i="26" s="1"/>
  <c r="AT79" i="26"/>
  <c r="AM79" i="26"/>
  <c r="M79" i="26"/>
  <c r="O79" i="26" s="1"/>
  <c r="R79" i="26"/>
  <c r="AC79" i="26"/>
  <c r="AE79" i="26" s="1"/>
  <c r="AH79" i="26"/>
  <c r="G69" i="26"/>
  <c r="G73" i="26" s="1"/>
  <c r="D79" i="26" l="1"/>
  <c r="AA79" i="26"/>
  <c r="H79" i="26" s="1"/>
  <c r="P79" i="26"/>
  <c r="K79" i="26" s="1"/>
  <c r="J79" i="26" s="1"/>
  <c r="G79" i="26"/>
  <c r="F79" i="26" s="1"/>
  <c r="J41" i="26"/>
  <c r="C78" i="26"/>
  <c r="T81" i="26"/>
  <c r="AJ81" i="26"/>
  <c r="AE81" i="26"/>
  <c r="O81" i="26"/>
  <c r="AV81" i="26"/>
  <c r="AW81" i="26" s="1"/>
  <c r="AQ81" i="26"/>
  <c r="Z81" i="26"/>
  <c r="J61" i="26"/>
  <c r="P82" i="26"/>
  <c r="K82" i="26" s="1"/>
  <c r="J82" i="26" s="1"/>
  <c r="G82" i="26"/>
  <c r="F82" i="26" s="1"/>
  <c r="K39" i="26"/>
  <c r="B78" i="26" s="1"/>
  <c r="J69" i="26"/>
  <c r="J73" i="26" s="1"/>
  <c r="C80" i="26"/>
  <c r="J38" i="26"/>
  <c r="J44" i="26" s="1"/>
  <c r="AO79" i="26"/>
  <c r="AR79" i="26"/>
  <c r="L52" i="26"/>
  <c r="L44" i="26"/>
  <c r="AO82" i="26"/>
  <c r="AR82" i="26"/>
  <c r="BA69" i="26"/>
  <c r="BA73" i="26" s="1"/>
  <c r="K69" i="26"/>
  <c r="K73" i="26" s="1"/>
  <c r="B80" i="26"/>
  <c r="P81" i="26" l="1"/>
  <c r="G81" i="26"/>
  <c r="X78" i="26"/>
  <c r="X87" i="26" s="1"/>
  <c r="C87" i="26"/>
  <c r="AT78" i="26"/>
  <c r="AH78" i="26"/>
  <c r="AM78" i="26"/>
  <c r="M78" i="26"/>
  <c r="O78" i="26" s="1"/>
  <c r="R78" i="26"/>
  <c r="AC78" i="26"/>
  <c r="AO81" i="26"/>
  <c r="AR81" i="26"/>
  <c r="X80" i="26"/>
  <c r="AT80" i="26"/>
  <c r="AM80" i="26"/>
  <c r="AQ80" i="26" s="1"/>
  <c r="M80" i="26"/>
  <c r="O80" i="26" s="1"/>
  <c r="R80" i="26"/>
  <c r="AH80" i="26"/>
  <c r="AJ80" i="26" s="1"/>
  <c r="AC80" i="26"/>
  <c r="AE80" i="26" s="1"/>
  <c r="T80" i="26"/>
  <c r="AV80" i="26"/>
  <c r="AW80" i="26" s="1"/>
  <c r="Z80" i="26"/>
  <c r="T78" i="26"/>
  <c r="AJ78" i="26"/>
  <c r="AE78" i="26"/>
  <c r="AV78" i="26"/>
  <c r="AQ78" i="26"/>
  <c r="D81" i="26"/>
  <c r="AA81" i="26"/>
  <c r="H81" i="26" s="1"/>
  <c r="P78" i="26" l="1"/>
  <c r="O87" i="26"/>
  <c r="O91" i="26" s="1"/>
  <c r="AO80" i="26"/>
  <c r="AR80" i="26"/>
  <c r="P80" i="26"/>
  <c r="G80" i="26"/>
  <c r="F80" i="26" s="1"/>
  <c r="AO78" i="26"/>
  <c r="AQ87" i="26"/>
  <c r="AQ91" i="26" s="1"/>
  <c r="AR78" i="26"/>
  <c r="AR87" i="26" s="1"/>
  <c r="AR91" i="26" s="1"/>
  <c r="AJ87" i="26"/>
  <c r="AJ91" i="26" s="1"/>
  <c r="AV87" i="26"/>
  <c r="AV91" i="26" s="1"/>
  <c r="AW78" i="26"/>
  <c r="AW87" i="26" s="1"/>
  <c r="AW91" i="26" s="1"/>
  <c r="D80" i="26"/>
  <c r="AA80" i="26"/>
  <c r="H80" i="26" s="1"/>
  <c r="AC87" i="26"/>
  <c r="AH87" i="26"/>
  <c r="F81" i="26"/>
  <c r="M87" i="26"/>
  <c r="T87" i="26"/>
  <c r="T91" i="26" s="1"/>
  <c r="AM87" i="26"/>
  <c r="Z78" i="26"/>
  <c r="AE87" i="26"/>
  <c r="AE91" i="26" s="1"/>
  <c r="R87" i="26"/>
  <c r="AT87" i="26"/>
  <c r="K81" i="26"/>
  <c r="J81" i="26" s="1"/>
  <c r="AA92" i="26" l="1"/>
  <c r="Z87" i="26"/>
  <c r="Z91" i="26" s="1"/>
  <c r="D83" i="26"/>
  <c r="G83" i="26"/>
  <c r="F83" i="26" s="1"/>
  <c r="D78" i="26"/>
  <c r="D87" i="26" s="1"/>
  <c r="D91" i="26" s="1"/>
  <c r="AA78" i="26"/>
  <c r="K80" i="26"/>
  <c r="J80" i="26" s="1"/>
  <c r="G78" i="26"/>
  <c r="P87" i="26"/>
  <c r="P91" i="26" s="1"/>
  <c r="G87" i="26" l="1"/>
  <c r="G91" i="26" s="1"/>
  <c r="F78" i="26"/>
  <c r="F87" i="26" s="1"/>
  <c r="F91" i="26" s="1"/>
  <c r="AA87" i="26"/>
  <c r="AA91" i="26" s="1"/>
  <c r="H78" i="26"/>
  <c r="H87" i="26" s="1"/>
  <c r="H91" i="26" s="1"/>
  <c r="K78" i="26"/>
  <c r="K87" i="26" l="1"/>
  <c r="K91" i="26" s="1"/>
  <c r="J78" i="26"/>
  <c r="J87" i="26" s="1"/>
  <c r="J9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6" authorId="0" shapeId="0" xr:uid="{49F220FA-8DF7-41BA-A384-887FC46A48D7}">
      <text>
        <r>
          <rPr>
            <b/>
            <sz val="9"/>
            <color indexed="81"/>
            <rFont val="Tahoma"/>
            <family val="2"/>
          </rPr>
          <t>jrg:</t>
        </r>
        <r>
          <rPr>
            <sz val="9"/>
            <color indexed="81"/>
            <rFont val="Tahoma"/>
            <family val="2"/>
          </rPr>
          <t xml:space="preserve">
Where in the report are the VKm numbers?</t>
        </r>
      </text>
    </comment>
    <comment ref="I17" authorId="0" shapeId="0" xr:uid="{CD2EF85D-4AB6-4B6B-9EA1-9BF2B29E5A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number of boardings. It notes some journeys use more than one type of transport so have more than one boarding.</t>
        </r>
      </text>
    </comment>
    <comment ref="I18" authorId="0" shapeId="0" xr:uid="{16BF7E2F-4F96-470B-997D-66F4C556FB2A}">
      <text>
        <r>
          <rPr>
            <b/>
            <sz val="9"/>
            <color indexed="81"/>
            <rFont val="Tahoma"/>
            <family val="2"/>
          </rPr>
          <t xml:space="preserve">jrg: </t>
        </r>
        <r>
          <rPr>
            <sz val="9"/>
            <color indexed="81"/>
            <rFont val="Tahoma"/>
            <family val="2"/>
          </rPr>
          <t>It would have been better to use the average for the year rather than Jan: 
https://www.td.gov.hk/mini_site/atd/2017/en/section5_3.html
It has Vkm info but only for buses and MTR
See Trans rough work page</t>
        </r>
      </text>
    </comment>
    <comment ref="I23" authorId="0" shapeId="0" xr:uid="{6E76B8A0-4E38-494F-B49F-CECBDB30C893}">
      <text>
        <r>
          <rPr>
            <b/>
            <sz val="9"/>
            <color indexed="81"/>
            <rFont val="Tahoma"/>
            <family val="2"/>
          </rPr>
          <t xml:space="preserve">jrg: </t>
        </r>
        <r>
          <rPr>
            <sz val="9"/>
            <color indexed="81"/>
            <rFont val="Tahoma"/>
            <family val="2"/>
          </rPr>
          <t xml:space="preserve"> IL to add reference.</t>
        </r>
      </text>
    </comment>
    <comment ref="W76" authorId="0" shapeId="0" xr:uid="{6CEAD517-7404-4838-882A-E801F2C4D0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fuel efficiency has problem need to be cofrined </t>
        </r>
      </text>
    </comment>
    <comment ref="A80" authorId="0" shapeId="0" xr:uid="{618AD5FF-05A7-42F4-BC54-09CDBB7C0B12}">
      <text>
        <r>
          <rPr>
            <b/>
            <sz val="9"/>
            <color indexed="81"/>
            <rFont val="Tahoma"/>
            <family val="2"/>
          </rPr>
          <t>JRG:</t>
        </r>
        <r>
          <rPr>
            <sz val="9"/>
            <color indexed="81"/>
            <rFont val="Tahoma"/>
            <family val="2"/>
          </rPr>
          <t xml:space="preserve">
Why do we lump in mini-buses with Buses.  They are very different.</t>
        </r>
      </text>
    </comment>
    <comment ref="AP82" authorId="0" shapeId="0" xr:uid="{CB601360-6E6F-40F8-9FF6-0929A4D6DB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Landfill gas. Count as zero emission</t>
        </r>
      </text>
    </comment>
  </commentList>
</comments>
</file>

<file path=xl/sharedStrings.xml><?xml version="1.0" encoding="utf-8"?>
<sst xmlns="http://schemas.openxmlformats.org/spreadsheetml/2006/main" count="521" uniqueCount="246">
  <si>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</si>
  <si>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</si>
  <si>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</si>
  <si>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</si>
  <si>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</si>
  <si>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</si>
  <si>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</si>
  <si>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</si>
  <si>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</si>
  <si>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</si>
  <si>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</si>
  <si>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</si>
  <si>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</si>
  <si>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</si>
  <si>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</si>
  <si>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</si>
  <si>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</si>
  <si>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</si>
  <si>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</si>
  <si>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</si>
  <si>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</si>
  <si>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</si>
  <si>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</si>
  <si>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</si>
  <si>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</si>
  <si>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</si>
  <si>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</si>
  <si>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</si>
  <si>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</si>
  <si>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</si>
  <si>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</si>
  <si>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</si>
  <si>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</si>
  <si>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</si>
  <si>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</si>
  <si>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</si>
  <si>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</si>
  <si>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</si>
  <si>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</si>
  <si>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</si>
  <si>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</si>
  <si>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</si>
  <si>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</si>
  <si>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</si>
  <si>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</si>
  <si>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</si>
  <si>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</si>
  <si>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</si>
  <si>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</si>
  <si>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</si>
  <si>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</si>
  <si>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</si>
  <si>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</si>
  <si>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</si>
  <si>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</si>
  <si>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</si>
  <si>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LPG</t>
  </si>
  <si>
    <t>HYDROGEN</t>
  </si>
  <si>
    <t>Transportation</t>
  </si>
  <si>
    <t>Updated:</t>
  </si>
  <si>
    <t>Scenario:</t>
  </si>
  <si>
    <t>Color code</t>
  </si>
  <si>
    <t>Fixed data Input</t>
  </si>
  <si>
    <t>Parameter input</t>
  </si>
  <si>
    <t>Parameter rpt item</t>
  </si>
  <si>
    <t>Clear: calculated</t>
  </si>
  <si>
    <t>Page 1 of 3</t>
  </si>
  <si>
    <t>NOT USED</t>
  </si>
  <si>
    <t>Logic Flow</t>
  </si>
  <si>
    <t xml:space="preserve">Module 1 2016 Transportation usage </t>
  </si>
  <si>
    <t>Module 2 Part 1 2050 Demographic forecast</t>
  </si>
  <si>
    <t>Module 3 Transportation usage forecasting</t>
  </si>
  <si>
    <t>Module 5 Transportation Energy/ Technology Policy Block</t>
  </si>
  <si>
    <t>Module 6 Transport energy and emission forecasting</t>
  </si>
  <si>
    <t>output
VKm</t>
  </si>
  <si>
    <t>Output
2050 VKm</t>
  </si>
  <si>
    <t>Output
1.2050 VKm(adjusted)
2.No of Vechicles (adjusted)</t>
  </si>
  <si>
    <t>Output
1.2050 VKm (adjusted)
2.No of Vechicles (Distribution on vehicle technology 2050) (adjusted)
3.Fuel efficiency</t>
  </si>
  <si>
    <t xml:space="preserve">Output
1.VKm
2.No. of vehicles </t>
  </si>
  <si>
    <t>Output
Policy adjustment factor</t>
  </si>
  <si>
    <t>Module 4 2016 Transport energy and emission</t>
  </si>
  <si>
    <t>Module 2 Part 2 Transportation usage policy Block</t>
  </si>
  <si>
    <t>"Output"
Energy demand
+
Emissions</t>
  </si>
  <si>
    <t>1.Fuel efficiency (2016)</t>
  </si>
  <si>
    <t>2.No. of vehicles (Distribution on vehicle technology 2016)</t>
  </si>
  <si>
    <t>Formulas for Module 3</t>
  </si>
  <si>
    <t>References</t>
  </si>
  <si>
    <t>Pax Total VKm 2050 = Pax Total Vkm 2016 * Change in population * Impact of change in demo profile * Town planning efficiency factor * Work from home &amp; video conf factor</t>
  </si>
  <si>
    <t>Public Transport Statistics</t>
  </si>
  <si>
    <t>Report on Study of Road traffic in HK</t>
  </si>
  <si>
    <t>2016 VKm</t>
  </si>
  <si>
    <t xml:space="preserve">P.14 Travel Characteristics Study 2011 </t>
  </si>
  <si>
    <t>Chg pop for each demographic</t>
  </si>
  <si>
    <t>Monthly Traffic and Transport Digest</t>
  </si>
  <si>
    <t>Town planning efficiency factor</t>
  </si>
  <si>
    <t>Demographic Trends in Hong Kong</t>
  </si>
  <si>
    <t>Work from home + video conference factor</t>
  </si>
  <si>
    <t>Hong Kong Population Projections 2017-2066</t>
  </si>
  <si>
    <t>Hong Kong Population Projections 2017-2067</t>
  </si>
  <si>
    <t>Mode split</t>
  </si>
  <si>
    <t>Vehicle number come from Transportport Dept Table 4.4 : Registration and Licensing of Vehicles by Fuel Type (December 2016)</t>
  </si>
  <si>
    <t>MTR&amp; tram % = f(MTR development plan)</t>
  </si>
  <si>
    <t xml:space="preserve">Land frieght transport VKm from EPD. </t>
  </si>
  <si>
    <t>Other % = f(Private car per Private car policy; Split of remaing modes per data input)</t>
  </si>
  <si>
    <t>Bus CNG fuel https://wenku.baidu.com/view/b2642efa3086bceb19e8b8f67c1cfad6195fe99f.html</t>
  </si>
  <si>
    <t>No of vehicles = VKm /(2016 VKm/vehicle)</t>
  </si>
  <si>
    <t>Car and motorcycle split in proportion to # vehciles.  Low priorty to improve as (a) vastly different fuel consumption (b) easier to make motorcycles into EVs.</t>
  </si>
  <si>
    <t>Motor-cycles solo and combo and tricycles</t>
  </si>
  <si>
    <t>Might improve the model by dividing MTR &amp; tram into (a) Heavy rail; Light rail and non-MTR tram.</t>
  </si>
  <si>
    <t>Freight Fuel efficiency https://www.transportenvironment.org/sites/te/files/2016_09_Blog_20_years_no_progress_methodological_note_final.pdf</t>
  </si>
  <si>
    <t>Demographic and Transportation Usage</t>
  </si>
  <si>
    <t>P.4 Emissions and fuel consumption of natural gas powered city buses versus diesel buses in realcity traffic</t>
  </si>
  <si>
    <t>http://citeseerx.ist.psu.edu/viewdoc/download?doi=10.1.1.201.5043&amp;rep=rep1&amp;type=pdf</t>
  </si>
  <si>
    <t>P.7  Test report of Iveco LNG-powered HD-truck</t>
  </si>
  <si>
    <t>https://www.cryogas.pl/pliki_do_pobrania/artykuly/20171110_Raport_LNG_Unilever_Link_Iveco_.pdf</t>
  </si>
  <si>
    <t xml:space="preserve">Module 1 Transportation usage </t>
  </si>
  <si>
    <t>Module 3 Transportation usage forecast</t>
  </si>
  <si>
    <t>Module 2 Part 1 Demographic and VKm forecast</t>
  </si>
  <si>
    <t>Year 2016</t>
  </si>
  <si>
    <t>Year 2050</t>
  </si>
  <si>
    <t>Input</t>
  </si>
  <si>
    <t>No of vehicles^1</t>
  </si>
  <si>
    <t>VKm/ vehicle/ year</t>
  </si>
  <si>
    <t>Million VKm^2</t>
  </si>
  <si>
    <t>Mode split (# boardings)^3</t>
  </si>
  <si>
    <t>'000 pax boardings per day^4</t>
  </si>
  <si>
    <t>% change in VKm/ vehicle/yr</t>
  </si>
  <si>
    <t>% change in pax/vehicle</t>
  </si>
  <si>
    <t>% change in VKm/ boarding</t>
  </si>
  <si>
    <t>No of vehicles</t>
  </si>
  <si>
    <t>Million VKm</t>
  </si>
  <si>
    <t>Mode split^3</t>
  </si>
  <si>
    <t>Population^5</t>
  </si>
  <si>
    <t>Travel as % of 15-64 band</t>
  </si>
  <si>
    <t>Population^6</t>
  </si>
  <si>
    <t>Passenger transport</t>
  </si>
  <si>
    <t>Number</t>
  </si>
  <si>
    <t>%</t>
  </si>
  <si>
    <t>Franchise bus</t>
  </si>
  <si>
    <t>Population</t>
  </si>
  <si>
    <t>Residents &amp; MTR bus</t>
  </si>
  <si>
    <t>0 - 14</t>
  </si>
  <si>
    <t>Minibus</t>
  </si>
  <si>
    <t>15-64</t>
  </si>
  <si>
    <t>Taxi</t>
  </si>
  <si>
    <t>&gt; 64</t>
  </si>
  <si>
    <t>1A Sub total (Public road)</t>
  </si>
  <si>
    <t>Total</t>
  </si>
  <si>
    <t>Private car ^11</t>
  </si>
  <si>
    <t>Economy</t>
  </si>
  <si>
    <t>2012 HK$'b</t>
  </si>
  <si>
    <t>2050 HK$'b</t>
  </si>
  <si>
    <t>Motorcycle ^7; 11; 12</t>
  </si>
  <si>
    <t>GDP</t>
  </si>
  <si>
    <t>1B Sub total (Private)</t>
  </si>
  <si>
    <t>Passenger journeys per day</t>
  </si>
  <si>
    <t>MTR &amp; tram ^13</t>
  </si>
  <si>
    <t>% chg due to increased population</t>
  </si>
  <si>
    <t>Ferry &amp; internal air</t>
  </si>
  <si>
    <t>% chg due to higher GDP/person</t>
  </si>
  <si>
    <t>Total pax transport</t>
  </si>
  <si>
    <t>% chg due to demographic profile</t>
  </si>
  <si>
    <t>Land freight transport ^9</t>
  </si>
  <si>
    <t>% chg due to Town Planning efficiency</t>
  </si>
  <si>
    <t>Light good vehicles</t>
  </si>
  <si>
    <t>% chg due to work from home and greater use of video-conferencing</t>
  </si>
  <si>
    <t>Medium good vehicles (5.5-15t)</t>
  </si>
  <si>
    <t>% chg due to more home delivery</t>
  </si>
  <si>
    <t>HGV (&gt;15t)</t>
  </si>
  <si>
    <t>Total change in passenger journeys per day</t>
  </si>
  <si>
    <t>Special purpose trucks</t>
  </si>
  <si>
    <t>Freight transport VKm</t>
  </si>
  <si>
    <t>1C Sub total</t>
  </si>
  <si>
    <t>of increase GDP in constant $</t>
  </si>
  <si>
    <t>% change due to Town Planning efficiency.</t>
  </si>
  <si>
    <t>Total 1A + 1B + 1C</t>
  </si>
  <si>
    <t>% chg due to more home delivery @</t>
  </si>
  <si>
    <t>* impact on pax journeys</t>
  </si>
  <si>
    <t>To Module 4 page 3</t>
  </si>
  <si>
    <t>Total VKm</t>
  </si>
  <si>
    <t>Total change in freight VKm</t>
  </si>
  <si>
    <t>CNG DGE</t>
  </si>
  <si>
    <t>Energy and Emissions</t>
  </si>
  <si>
    <t>Page 2 of 3</t>
  </si>
  <si>
    <t>Page 3 of 3</t>
  </si>
  <si>
    <t>Module 4 Transport energy and emission forecasting (2016)</t>
  </si>
  <si>
    <t>VKm (Km per vehicle per year)</t>
  </si>
  <si>
    <t>Energy in Tj</t>
  </si>
  <si>
    <t>GHG emissions tonnes CO2e</t>
  </si>
  <si>
    <t>Gasoline</t>
  </si>
  <si>
    <t>Diesel (Blend)</t>
  </si>
  <si>
    <t>EV</t>
  </si>
  <si>
    <t>Hybrid</t>
  </si>
  <si>
    <t>Hydrogen</t>
  </si>
  <si>
    <t>CNG</t>
  </si>
  <si>
    <t>LNG</t>
  </si>
  <si>
    <t>Ref ^8</t>
  </si>
  <si>
    <t>Electricity</t>
  </si>
  <si>
    <t>Fossil</t>
  </si>
  <si>
    <t>% of vehicles</t>
  </si>
  <si>
    <t>No. of vehicles</t>
  </si>
  <si>
    <t>Fuel efficiency (L/100 KM)</t>
  </si>
  <si>
    <t>Energy (TJ)</t>
  </si>
  <si>
    <t>Emissions (ton CO2)</t>
  </si>
  <si>
    <t>Fuel efficiency kWh/100km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</si>
  <si>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</si>
  <si>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 efficiency (Kg/100 KM)</t>
  </si>
  <si>
    <t>Fuel efficiency (m3/ KM) ^10</t>
  </si>
  <si>
    <t>CNG USEAGE (TJ)</t>
  </si>
  <si>
    <t>Landfill Gas Methane (TJ)</t>
  </si>
  <si>
    <t>Fuel efficiency (L/100 KM)^15^16</t>
  </si>
  <si>
    <t>Private car</t>
  </si>
  <si>
    <t>Motorcycle</t>
  </si>
  <si>
    <t>Bus</t>
  </si>
  <si>
    <t>Freight</t>
  </si>
  <si>
    <t xml:space="preserve">Heavy </t>
  </si>
  <si>
    <t xml:space="preserve">Medium </t>
  </si>
  <si>
    <t xml:space="preserve">Light </t>
  </si>
  <si>
    <t>Special purpose</t>
  </si>
  <si>
    <t>Sub-total road vehicle</t>
  </si>
  <si>
    <t>MTR &amp; tram</t>
  </si>
  <si>
    <t>Ferry &amp; internal air - pax</t>
  </si>
  <si>
    <t>Ferry &amp; internal air - freight</t>
  </si>
  <si>
    <t>TOTAL</t>
  </si>
  <si>
    <t>Module 6 Transport energy and emission forecasting (2050)</t>
  </si>
  <si>
    <t>VKm (Km per vehicle type year)</t>
  </si>
  <si>
    <t>double check share</t>
  </si>
  <si>
    <t>Fuel efficiency (KWh/100KM)</t>
  </si>
  <si>
    <t>Fuel efficiency (m3/KM)</t>
  </si>
  <si>
    <t>sub-total (vehicle)</t>
  </si>
  <si>
    <t>Ferry &amp; internal air - Pax</t>
  </si>
  <si>
    <t>diesel heat value: 38.44 MJ/L</t>
  </si>
  <si>
    <t>1KM=0.6213712Mile</t>
  </si>
  <si>
    <t>HDV P loading</t>
  </si>
  <si>
    <t>passenger</t>
  </si>
  <si>
    <t>diesel</t>
  </si>
  <si>
    <t>L/100KM</t>
  </si>
  <si>
    <t>1 vehicle</t>
  </si>
  <si>
    <t>BTU/Mile</t>
  </si>
  <si>
    <t>1 passenger</t>
  </si>
  <si>
    <t>BTU/MILE</t>
  </si>
  <si>
    <r>
      <t>1</t>
    </r>
    <r>
      <rPr>
        <sz val="10"/>
        <color rgb="FFCC0000"/>
        <rFont val="Arial"/>
        <family val="2"/>
      </rPr>
      <t>BTU</t>
    </r>
    <r>
      <rPr>
        <sz val="10"/>
        <color rgb="FF333333"/>
        <rFont val="Arial"/>
        <family val="2"/>
      </rPr>
      <t xml:space="preserve"> = 1055.056 J</t>
    </r>
  </si>
  <si>
    <t>HVD P DIESEL</t>
  </si>
  <si>
    <t>Mile/BTU</t>
  </si>
  <si>
    <t>1J=</t>
  </si>
  <si>
    <t>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</si>
</sst>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000"/>
    <numFmt numFmtId="168" formatCode="[$-13C09]d\ mmm\ yyyy;@"/>
    <numFmt numFmtId="169" formatCode="_(* #,##0_);_(* \(#,##0\);_(* &quot;-&quot;??_);_(@_)"/>
    <numFmt numFmtId="170" formatCode="0.0%"/>
    <numFmt numFmtId="171" formatCode="_-* #,##0.00_-;\-* #,##0.00_-;_-* &quot;-&quot;??_-;_-@_-"/>
    <numFmt numFmtId="172" formatCode="_(* #,##0.0_);_(* \(#,##0.0\);_(* &quot;-&quot;??_);_(@_)"/>
    <numFmt numFmtId="173" formatCode="_-* #,##0.000000000000_-;\-* #,##0.000000000000_-;_-* &quot;-&quot;??_-;_-@_-"/>
    <numFmt numFmtId="174" formatCode="_-* #,##0_-;\-* #,##0_-;_-* &quot;-&quot;??_-;_-@_-"/>
    <numFmt numFmtId="175" formatCode="0.0"/>
    <numFmt numFmtId="176" formatCode="_(* #,##0.00000_);_(* \(#,##0.00000\);_(* &quot;-&quot;??_);_(@_)"/>
    <numFmt numFmtId="177" formatCode="0.0000%"/>
    <numFmt numFmtId="178" formatCode="_-* #,##0.0_-;\-* #,##0.0_-;_-* &quot;-&quot;??_-;_-@_-"/>
    <numFmt numFmtId="179" formatCode="0.0000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333333"/>
      <name val="Arial"/>
      <family val="2"/>
    </font>
    <font>
      <sz val="10"/>
      <color rgb="FFCC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8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/>
  </cellStyleXfs>
  <cellXfs count="48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43" fillId="29" borderId="13" xfId="0" applyFont="1" applyFill="1" applyBorder="1"/>
    <xf numFmtId="0" fontId="44" fillId="29" borderId="20" xfId="0" applyFont="1" applyFill="1" applyBorder="1" applyAlignment="1">
      <alignment horizontal="right"/>
    </xf>
    <xf numFmtId="168" fontId="0" fillId="0" borderId="21" xfId="0" applyNumberFormat="1" applyBorder="1"/>
    <xf numFmtId="0" fontId="0" fillId="0" borderId="22" xfId="0" applyBorder="1"/>
    <xf numFmtId="0" fontId="0" fillId="0" borderId="21" xfId="0" applyBorder="1" applyAlignment="1">
      <alignment wrapText="1"/>
    </xf>
    <xf numFmtId="0" fontId="2" fillId="29" borderId="23" xfId="0" applyFont="1" applyFill="1" applyBorder="1" applyAlignment="1">
      <alignment horizontal="left" vertical="top" wrapText="1"/>
    </xf>
    <xf numFmtId="0" fontId="2" fillId="3" borderId="23" xfId="0" applyFont="1" applyFill="1" applyBorder="1" applyAlignment="1">
      <alignment vertical="top" wrapText="1"/>
    </xf>
    <xf numFmtId="0" fontId="0" fillId="30" borderId="23" xfId="0" applyFill="1" applyBorder="1" applyAlignment="1">
      <alignment vertical="top" wrapText="1"/>
    </xf>
    <xf numFmtId="0" fontId="2" fillId="31" borderId="23" xfId="0" applyFont="1" applyFill="1" applyBorder="1" applyAlignment="1">
      <alignment vertical="top" wrapText="1"/>
    </xf>
    <xf numFmtId="0" fontId="2" fillId="29" borderId="23" xfId="0" applyFont="1" applyFill="1" applyBorder="1" applyAlignment="1">
      <alignment vertical="top" wrapText="1"/>
    </xf>
    <xf numFmtId="0" fontId="45" fillId="29" borderId="13" xfId="0" applyFont="1" applyFill="1" applyBorder="1" applyAlignment="1">
      <alignment horizontal="left"/>
    </xf>
    <xf numFmtId="0" fontId="45" fillId="29" borderId="13" xfId="0" applyFont="1" applyFill="1" applyBorder="1" applyAlignment="1">
      <alignment horizontal="right"/>
    </xf>
    <xf numFmtId="0" fontId="2" fillId="29" borderId="0" xfId="0" applyFont="1" applyFill="1"/>
    <xf numFmtId="0" fontId="2" fillId="29" borderId="0" xfId="0" applyFont="1" applyFill="1" applyAlignment="1">
      <alignment wrapText="1"/>
    </xf>
    <xf numFmtId="0" fontId="0" fillId="29" borderId="0" xfId="0" applyFill="1"/>
    <xf numFmtId="0" fontId="44" fillId="29" borderId="20" xfId="0" applyFont="1" applyFill="1" applyBorder="1"/>
    <xf numFmtId="0" fontId="44" fillId="29" borderId="22" xfId="0" applyFont="1" applyFill="1" applyBorder="1"/>
    <xf numFmtId="0" fontId="2" fillId="29" borderId="22" xfId="0" applyFont="1" applyFill="1" applyBorder="1" applyAlignment="1">
      <alignment wrapText="1"/>
    </xf>
    <xf numFmtId="0" fontId="0" fillId="29" borderId="22" xfId="0" applyFill="1" applyBorder="1" applyAlignment="1">
      <alignment vertical="top" wrapText="1"/>
    </xf>
    <xf numFmtId="0" fontId="2" fillId="29" borderId="22" xfId="0" applyFont="1" applyFill="1" applyBorder="1"/>
    <xf numFmtId="0" fontId="2" fillId="29" borderId="21" xfId="0" applyFont="1" applyFill="1" applyBorder="1"/>
    <xf numFmtId="0" fontId="0" fillId="29" borderId="0" xfId="0" applyFill="1" applyAlignment="1">
      <alignment wrapText="1"/>
    </xf>
    <xf numFmtId="0" fontId="0" fillId="29" borderId="24" xfId="0" applyFill="1" applyBorder="1" applyAlignment="1">
      <alignment horizontal="center" vertical="center" wrapText="1"/>
    </xf>
    <xf numFmtId="0" fontId="0" fillId="29" borderId="25" xfId="0" applyFill="1" applyBorder="1" applyAlignment="1">
      <alignment horizontal="center" vertical="center" wrapText="1"/>
    </xf>
    <xf numFmtId="0" fontId="0" fillId="29" borderId="0" xfId="0" applyFill="1" applyAlignment="1">
      <alignment vertical="center" wrapText="1"/>
    </xf>
    <xf numFmtId="0" fontId="0" fillId="29" borderId="26" xfId="0" applyFill="1" applyBorder="1" applyAlignment="1">
      <alignment horizontal="center" vertical="center" wrapText="1"/>
    </xf>
    <xf numFmtId="0" fontId="0" fillId="29" borderId="27" xfId="0" applyFill="1" applyBorder="1" applyAlignment="1">
      <alignment horizontal="center" vertical="center" wrapText="1"/>
    </xf>
    <xf numFmtId="0" fontId="0" fillId="29" borderId="0" xfId="0" applyFill="1" applyAlignment="1">
      <alignment vertical="center"/>
    </xf>
    <xf numFmtId="0" fontId="0" fillId="29" borderId="28" xfId="0" applyFill="1" applyBorder="1" applyAlignment="1">
      <alignment horizontal="center" vertical="center" wrapText="1"/>
    </xf>
    <xf numFmtId="0" fontId="0" fillId="29" borderId="29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9" borderId="30" xfId="0" applyFill="1" applyBorder="1" applyAlignment="1">
      <alignment horizontal="center" vertical="center" wrapText="1"/>
    </xf>
    <xf numFmtId="0" fontId="0" fillId="29" borderId="31" xfId="0" applyFill="1" applyBorder="1" applyAlignment="1">
      <alignment horizontal="center" vertical="center" wrapText="1"/>
    </xf>
    <xf numFmtId="0" fontId="0" fillId="29" borderId="0" xfId="0" applyFill="1" applyAlignment="1">
      <alignment vertical="top" wrapText="1"/>
    </xf>
    <xf numFmtId="0" fontId="0" fillId="29" borderId="32" xfId="0" applyFill="1" applyBorder="1" applyAlignment="1">
      <alignment horizontal="center" vertical="center" wrapText="1"/>
    </xf>
    <xf numFmtId="0" fontId="0" fillId="29" borderId="33" xfId="0" applyFill="1" applyBorder="1" applyAlignment="1">
      <alignment horizontal="center" vertical="center" wrapText="1"/>
    </xf>
    <xf numFmtId="0" fontId="0" fillId="29" borderId="34" xfId="0" applyFill="1" applyBorder="1" applyAlignment="1">
      <alignment horizontal="center" vertical="center" wrapText="1"/>
    </xf>
    <xf numFmtId="0" fontId="0" fillId="29" borderId="35" xfId="0" applyFill="1" applyBorder="1" applyAlignment="1">
      <alignment horizontal="center" vertical="center" wrapText="1"/>
    </xf>
    <xf numFmtId="0" fontId="0" fillId="29" borderId="0" xfId="0" applyFill="1" applyAlignment="1">
      <alignment horizontal="left" vertical="top" wrapText="1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left" vertical="top" wrapText="1" indent="8"/>
    </xf>
    <xf numFmtId="0" fontId="0" fillId="29" borderId="0" xfId="0" applyFill="1" applyAlignment="1">
      <alignment horizontal="left" vertical="top" wrapText="1" indent="8"/>
    </xf>
    <xf numFmtId="0" fontId="0" fillId="29" borderId="0" xfId="0" applyFill="1" applyAlignment="1">
      <alignment vertical="top"/>
    </xf>
    <xf numFmtId="0" fontId="0" fillId="29" borderId="0" xfId="0" applyFill="1" applyAlignment="1">
      <alignment horizontal="left" wrapText="1"/>
    </xf>
    <xf numFmtId="0" fontId="46" fillId="0" borderId="0" xfId="0" applyFont="1"/>
    <xf numFmtId="0" fontId="2" fillId="0" borderId="24" xfId="0" applyFont="1" applyBorder="1"/>
    <xf numFmtId="0" fontId="2" fillId="0" borderId="36" xfId="0" applyFont="1" applyBorder="1"/>
    <xf numFmtId="0" fontId="0" fillId="0" borderId="36" xfId="0" applyBorder="1"/>
    <xf numFmtId="0" fontId="0" fillId="0" borderId="25" xfId="0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37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42" fillId="0" borderId="0" xfId="155"/>
    <xf numFmtId="0" fontId="0" fillId="0" borderId="37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38" xfId="0" applyBorder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4"/>
    </xf>
    <xf numFmtId="0" fontId="0" fillId="0" borderId="3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indent="4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Border="1"/>
    <xf numFmtId="0" fontId="0" fillId="0" borderId="41" xfId="0" applyBorder="1"/>
    <xf numFmtId="0" fontId="45" fillId="0" borderId="0" xfId="0" applyFont="1"/>
    <xf numFmtId="0" fontId="47" fillId="0" borderId="0" xfId="0" applyFont="1"/>
    <xf numFmtId="168" fontId="0" fillId="0" borderId="0" xfId="0" applyNumberFormat="1"/>
    <xf numFmtId="169" fontId="0" fillId="0" borderId="0" xfId="153" applyNumberFormat="1" applyFont="1"/>
    <xf numFmtId="168" fontId="42" fillId="0" borderId="0" xfId="155" applyNumberFormat="1"/>
    <xf numFmtId="0" fontId="47" fillId="0" borderId="40" xfId="0" applyFont="1" applyBorder="1"/>
    <xf numFmtId="0" fontId="45" fillId="29" borderId="40" xfId="0" applyFont="1" applyFill="1" applyBorder="1" applyAlignment="1">
      <alignment horizontal="right"/>
    </xf>
    <xf numFmtId="0" fontId="44" fillId="0" borderId="42" xfId="0" applyFont="1" applyBorder="1"/>
    <xf numFmtId="0" fontId="44" fillId="0" borderId="43" xfId="0" applyFont="1" applyBorder="1" applyAlignment="1">
      <alignment wrapText="1"/>
    </xf>
    <xf numFmtId="0" fontId="44" fillId="0" borderId="43" xfId="0" applyFont="1" applyBorder="1"/>
    <xf numFmtId="0" fontId="44" fillId="0" borderId="44" xfId="0" applyFont="1" applyBorder="1" applyAlignment="1">
      <alignment wrapText="1"/>
    </xf>
    <xf numFmtId="0" fontId="46" fillId="0" borderId="43" xfId="0" applyFont="1" applyBorder="1"/>
    <xf numFmtId="0" fontId="46" fillId="0" borderId="44" xfId="0" applyFont="1" applyBorder="1"/>
    <xf numFmtId="0" fontId="44" fillId="0" borderId="0" xfId="0" applyFont="1"/>
    <xf numFmtId="0" fontId="44" fillId="0" borderId="0" xfId="0" applyFont="1" applyAlignment="1">
      <alignment vertical="top"/>
    </xf>
    <xf numFmtId="0" fontId="46" fillId="0" borderId="0" xfId="0" applyFont="1" applyAlignment="1">
      <alignment vertical="top"/>
    </xf>
    <xf numFmtId="0" fontId="0" fillId="0" borderId="26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26" xfId="0" applyBorder="1"/>
    <xf numFmtId="0" fontId="0" fillId="0" borderId="50" xfId="0" applyBorder="1"/>
    <xf numFmtId="0" fontId="0" fillId="0" borderId="48" xfId="0" applyBorder="1"/>
    <xf numFmtId="0" fontId="0" fillId="0" borderId="49" xfId="0" applyBorder="1"/>
    <xf numFmtId="0" fontId="0" fillId="0" borderId="51" xfId="0" applyBorder="1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20" xfId="0" quotePrefix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52" xfId="0" quotePrefix="1" applyBorder="1" applyAlignment="1">
      <alignment horizontal="center" wrapText="1"/>
    </xf>
    <xf numFmtId="0" fontId="0" fillId="0" borderId="53" xfId="0" applyBorder="1"/>
    <xf numFmtId="0" fontId="0" fillId="0" borderId="20" xfId="0" applyBorder="1" applyAlignment="1">
      <alignment wrapText="1"/>
    </xf>
    <xf numFmtId="0" fontId="0" fillId="29" borderId="24" xfId="0" applyFill="1" applyBorder="1" applyAlignment="1">
      <alignment wrapText="1"/>
    </xf>
    <xf numFmtId="0" fontId="0" fillId="0" borderId="20" xfId="0" applyBorder="1" applyAlignment="1">
      <alignment horizontal="center" wrapText="1"/>
    </xf>
    <xf numFmtId="0" fontId="0" fillId="29" borderId="54" xfId="0" applyFill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" fillId="0" borderId="53" xfId="0" applyFont="1" applyBorder="1" applyAlignment="1">
      <alignment wrapText="1"/>
    </xf>
    <xf numFmtId="3" fontId="0" fillId="0" borderId="37" xfId="0" applyNumberFormat="1" applyBorder="1"/>
    <xf numFmtId="3" fontId="0" fillId="29" borderId="0" xfId="0" applyNumberFormat="1" applyFill="1"/>
    <xf numFmtId="3" fontId="0" fillId="0" borderId="0" xfId="0" applyNumberFormat="1"/>
    <xf numFmtId="170" fontId="0" fillId="0" borderId="0" xfId="0" applyNumberFormat="1"/>
    <xf numFmtId="3" fontId="0" fillId="0" borderId="0" xfId="0" applyNumberFormat="1" applyAlignment="1">
      <alignment horizontal="right"/>
    </xf>
    <xf numFmtId="3" fontId="0" fillId="0" borderId="53" xfId="0" applyNumberFormat="1" applyBorder="1"/>
    <xf numFmtId="3" fontId="0" fillId="0" borderId="55" xfId="0" applyNumberFormat="1" applyBorder="1" applyAlignment="1">
      <alignment horizontal="right"/>
    </xf>
    <xf numFmtId="0" fontId="0" fillId="0" borderId="56" xfId="0" applyBorder="1"/>
    <xf numFmtId="0" fontId="0" fillId="0" borderId="23" xfId="0" applyBorder="1" applyAlignment="1">
      <alignment horizontal="center"/>
    </xf>
    <xf numFmtId="0" fontId="0" fillId="29" borderId="30" xfId="0" applyFill="1" applyBorder="1" applyAlignment="1">
      <alignment wrapText="1"/>
    </xf>
    <xf numFmtId="0" fontId="0" fillId="29" borderId="57" xfId="0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53" xfId="0" applyBorder="1" applyAlignment="1">
      <alignment wrapText="1"/>
    </xf>
    <xf numFmtId="3" fontId="0" fillId="3" borderId="37" xfId="0" applyNumberFormat="1" applyFill="1" applyBorder="1"/>
    <xf numFmtId="3" fontId="0" fillId="3" borderId="0" xfId="0" applyNumberFormat="1" applyFill="1"/>
    <xf numFmtId="170" fontId="0" fillId="3" borderId="0" xfId="0" applyNumberFormat="1" applyFill="1"/>
    <xf numFmtId="3" fontId="0" fillId="3" borderId="0" xfId="0" applyNumberFormat="1" applyFill="1" applyAlignment="1">
      <alignment horizontal="right"/>
    </xf>
    <xf numFmtId="170" fontId="0" fillId="31" borderId="53" xfId="154" applyNumberFormat="1" applyFont="1" applyFill="1" applyBorder="1"/>
    <xf numFmtId="170" fontId="0" fillId="31" borderId="0" xfId="154" applyNumberFormat="1" applyFont="1" applyFill="1"/>
    <xf numFmtId="169" fontId="0" fillId="31" borderId="0" xfId="153" applyNumberFormat="1" applyFont="1" applyFill="1"/>
    <xf numFmtId="170" fontId="0" fillId="31" borderId="0" xfId="0" applyNumberFormat="1" applyFill="1"/>
    <xf numFmtId="3" fontId="0" fillId="31" borderId="55" xfId="0" applyNumberFormat="1" applyFill="1" applyBorder="1" applyAlignment="1">
      <alignment horizontal="right"/>
    </xf>
    <xf numFmtId="0" fontId="0" fillId="0" borderId="24" xfId="0" applyBorder="1"/>
    <xf numFmtId="0" fontId="0" fillId="29" borderId="36" xfId="0" applyFill="1" applyBorder="1"/>
    <xf numFmtId="0" fontId="0" fillId="0" borderId="37" xfId="0" applyBorder="1"/>
    <xf numFmtId="0" fontId="0" fillId="0" borderId="55" xfId="0" applyBorder="1"/>
    <xf numFmtId="0" fontId="0" fillId="0" borderId="53" xfId="0" applyBorder="1" applyAlignment="1">
      <alignment horizontal="left" indent="1"/>
    </xf>
    <xf numFmtId="169" fontId="0" fillId="29" borderId="37" xfId="153" applyNumberFormat="1" applyFont="1" applyFill="1" applyBorder="1"/>
    <xf numFmtId="170" fontId="0" fillId="32" borderId="0" xfId="0" applyNumberFormat="1" applyFill="1"/>
    <xf numFmtId="3" fontId="0" fillId="29" borderId="37" xfId="0" applyNumberFormat="1" applyFill="1" applyBorder="1"/>
    <xf numFmtId="170" fontId="0" fillId="31" borderId="55" xfId="0" applyNumberFormat="1" applyFill="1" applyBorder="1"/>
    <xf numFmtId="0" fontId="0" fillId="0" borderId="53" xfId="0" quotePrefix="1" applyBorder="1" applyAlignment="1">
      <alignment horizontal="left" indent="1"/>
    </xf>
    <xf numFmtId="0" fontId="0" fillId="0" borderId="58" xfId="0" applyBorder="1" applyAlignment="1">
      <alignment horizontal="left" vertical="top" wrapText="1"/>
    </xf>
    <xf numFmtId="3" fontId="0" fillId="29" borderId="20" xfId="0" applyNumberFormat="1" applyFill="1" applyBorder="1"/>
    <xf numFmtId="3" fontId="0" fillId="29" borderId="22" xfId="0" applyNumberFormat="1" applyFill="1" applyBorder="1"/>
    <xf numFmtId="170" fontId="0" fillId="29" borderId="22" xfId="0" applyNumberFormat="1" applyFill="1" applyBorder="1"/>
    <xf numFmtId="3" fontId="0" fillId="29" borderId="22" xfId="0" applyNumberFormat="1" applyFill="1" applyBorder="1" applyAlignment="1">
      <alignment horizontal="right"/>
    </xf>
    <xf numFmtId="9" fontId="0" fillId="0" borderId="58" xfId="154" applyFont="1" applyBorder="1"/>
    <xf numFmtId="9" fontId="0" fillId="0" borderId="22" xfId="154" applyFont="1" applyBorder="1"/>
    <xf numFmtId="169" fontId="0" fillId="29" borderId="22" xfId="153" applyNumberFormat="1" applyFont="1" applyFill="1" applyBorder="1"/>
    <xf numFmtId="170" fontId="0" fillId="0" borderId="22" xfId="0" applyNumberFormat="1" applyBorder="1"/>
    <xf numFmtId="3" fontId="0" fillId="0" borderId="59" xfId="0" applyNumberFormat="1" applyBorder="1" applyAlignment="1">
      <alignment horizontal="right"/>
    </xf>
    <xf numFmtId="169" fontId="0" fillId="29" borderId="60" xfId="153" applyNumberFormat="1" applyFont="1" applyFill="1" applyBorder="1"/>
    <xf numFmtId="9" fontId="0" fillId="0" borderId="61" xfId="0" applyNumberFormat="1" applyBorder="1"/>
    <xf numFmtId="170" fontId="0" fillId="29" borderId="61" xfId="154" applyNumberFormat="1" applyFont="1" applyFill="1" applyBorder="1"/>
    <xf numFmtId="3" fontId="0" fillId="29" borderId="60" xfId="0" applyNumberFormat="1" applyFill="1" applyBorder="1"/>
    <xf numFmtId="170" fontId="0" fillId="29" borderId="62" xfId="154" applyNumberFormat="1" applyFont="1" applyFill="1" applyBorder="1"/>
    <xf numFmtId="170" fontId="0" fillId="3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170" fontId="0" fillId="31" borderId="0" xfId="0" applyNumberFormat="1" applyFill="1" applyAlignment="1">
      <alignment vertical="center"/>
    </xf>
    <xf numFmtId="0" fontId="0" fillId="0" borderId="37" xfId="0" applyBorder="1" applyAlignment="1">
      <alignment horizontal="right"/>
    </xf>
    <xf numFmtId="170" fontId="0" fillId="3" borderId="40" xfId="0" applyNumberFormat="1" applyFill="1" applyBorder="1" applyAlignment="1">
      <alignment vertical="center"/>
    </xf>
    <xf numFmtId="3" fontId="0" fillId="0" borderId="40" xfId="0" applyNumberFormat="1" applyBorder="1" applyAlignment="1">
      <alignment vertical="center"/>
    </xf>
    <xf numFmtId="3" fontId="0" fillId="31" borderId="63" xfId="0" applyNumberFormat="1" applyFill="1" applyBorder="1" applyAlignment="1">
      <alignment vertical="center"/>
    </xf>
    <xf numFmtId="0" fontId="0" fillId="0" borderId="32" xfId="0" applyBorder="1"/>
    <xf numFmtId="1" fontId="0" fillId="3" borderId="64" xfId="0" applyNumberFormat="1" applyFill="1" applyBorder="1"/>
    <xf numFmtId="0" fontId="0" fillId="29" borderId="65" xfId="0" applyFill="1" applyBorder="1"/>
    <xf numFmtId="1" fontId="0" fillId="31" borderId="64" xfId="0" applyNumberFormat="1" applyFill="1" applyBorder="1"/>
    <xf numFmtId="0" fontId="0" fillId="29" borderId="33" xfId="0" applyFill="1" applyBorder="1"/>
    <xf numFmtId="0" fontId="0" fillId="0" borderId="66" xfId="0" applyBorder="1" applyAlignment="1">
      <alignment wrapText="1"/>
    </xf>
    <xf numFmtId="3" fontId="0" fillId="33" borderId="22" xfId="0" applyNumberFormat="1" applyFill="1" applyBorder="1" applyAlignment="1">
      <alignment horizontal="right"/>
    </xf>
    <xf numFmtId="0" fontId="2" fillId="0" borderId="53" xfId="0" applyFont="1" applyBorder="1" applyAlignment="1">
      <alignment horizontal="left"/>
    </xf>
    <xf numFmtId="3" fontId="0" fillId="33" borderId="37" xfId="0" applyNumberFormat="1" applyFill="1" applyBorder="1"/>
    <xf numFmtId="3" fontId="0" fillId="33" borderId="0" xfId="0" applyNumberFormat="1" applyFill="1"/>
    <xf numFmtId="3" fontId="0" fillId="33" borderId="0" xfId="0" applyNumberFormat="1" applyFill="1" applyAlignment="1">
      <alignment horizontal="right"/>
    </xf>
    <xf numFmtId="0" fontId="0" fillId="29" borderId="53" xfId="0" applyFill="1" applyBorder="1" applyAlignment="1">
      <alignment horizontal="left"/>
    </xf>
    <xf numFmtId="170" fontId="1" fillId="0" borderId="55" xfId="154" applyNumberFormat="1" applyBorder="1"/>
    <xf numFmtId="3" fontId="0" fillId="33" borderId="30" xfId="0" applyNumberFormat="1" applyFill="1" applyBorder="1"/>
    <xf numFmtId="3" fontId="0" fillId="33" borderId="40" xfId="0" applyNumberFormat="1" applyFill="1" applyBorder="1"/>
    <xf numFmtId="3" fontId="0" fillId="33" borderId="40" xfId="0" applyNumberFormat="1" applyFill="1" applyBorder="1" applyAlignment="1">
      <alignment horizontal="right"/>
    </xf>
    <xf numFmtId="170" fontId="0" fillId="31" borderId="40" xfId="0" applyNumberFormat="1" applyFill="1" applyBorder="1"/>
    <xf numFmtId="3" fontId="0" fillId="31" borderId="63" xfId="0" applyNumberFormat="1" applyFill="1" applyBorder="1" applyAlignment="1">
      <alignment horizontal="right"/>
    </xf>
    <xf numFmtId="170" fontId="1" fillId="31" borderId="55" xfId="154" applyNumberFormat="1" applyFill="1" applyBorder="1"/>
    <xf numFmtId="0" fontId="0" fillId="29" borderId="67" xfId="0" applyFill="1" applyBorder="1" applyAlignment="1">
      <alignment wrapText="1"/>
    </xf>
    <xf numFmtId="3" fontId="0" fillId="29" borderId="61" xfId="0" applyNumberFormat="1" applyFill="1" applyBorder="1"/>
    <xf numFmtId="170" fontId="0" fillId="29" borderId="61" xfId="0" applyNumberFormat="1" applyFill="1" applyBorder="1"/>
    <xf numFmtId="3" fontId="0" fillId="0" borderId="61" xfId="0" applyNumberFormat="1" applyBorder="1" applyAlignment="1">
      <alignment horizontal="right"/>
    </xf>
    <xf numFmtId="3" fontId="0" fillId="29" borderId="68" xfId="0" applyNumberFormat="1" applyFill="1" applyBorder="1"/>
    <xf numFmtId="3" fontId="0" fillId="0" borderId="62" xfId="0" applyNumberFormat="1" applyBorder="1" applyAlignment="1">
      <alignment horizontal="right"/>
    </xf>
    <xf numFmtId="0" fontId="0" fillId="0" borderId="37" xfId="0" applyBorder="1" applyAlignment="1">
      <alignment wrapText="1"/>
    </xf>
    <xf numFmtId="169" fontId="0" fillId="0" borderId="0" xfId="153" applyNumberFormat="1" applyFont="1" applyAlignment="1">
      <alignment wrapText="1"/>
    </xf>
    <xf numFmtId="169" fontId="0" fillId="3" borderId="0" xfId="153" applyNumberFormat="1" applyFont="1" applyFill="1"/>
    <xf numFmtId="9" fontId="0" fillId="0" borderId="0" xfId="0" applyNumberFormat="1"/>
    <xf numFmtId="169" fontId="0" fillId="29" borderId="0" xfId="153" applyNumberFormat="1" applyFont="1" applyFill="1"/>
    <xf numFmtId="3" fontId="0" fillId="0" borderId="55" xfId="0" applyNumberFormat="1" applyBorder="1"/>
    <xf numFmtId="43" fontId="0" fillId="0" borderId="55" xfId="153" applyFont="1" applyBorder="1"/>
    <xf numFmtId="169" fontId="0" fillId="3" borderId="0" xfId="153" applyNumberFormat="1" applyFont="1" applyFill="1" applyAlignment="1">
      <alignment vertical="center"/>
    </xf>
    <xf numFmtId="169" fontId="0" fillId="0" borderId="0" xfId="153" applyNumberFormat="1" applyFont="1" applyAlignment="1">
      <alignment vertical="center"/>
    </xf>
    <xf numFmtId="0" fontId="2" fillId="0" borderId="69" xfId="0" applyFont="1" applyBorder="1"/>
    <xf numFmtId="0" fontId="2" fillId="0" borderId="40" xfId="0" applyFont="1" applyBorder="1"/>
    <xf numFmtId="170" fontId="2" fillId="31" borderId="63" xfId="154" applyNumberFormat="1" applyFont="1" applyFill="1" applyBorder="1"/>
    <xf numFmtId="0" fontId="0" fillId="0" borderId="30" xfId="0" applyBorder="1" applyAlignment="1">
      <alignment wrapText="1"/>
    </xf>
    <xf numFmtId="3" fontId="0" fillId="3" borderId="30" xfId="0" applyNumberFormat="1" applyFill="1" applyBorder="1"/>
    <xf numFmtId="171" fontId="0" fillId="0" borderId="0" xfId="153" applyNumberFormat="1" applyFont="1" applyAlignment="1">
      <alignment wrapText="1"/>
    </xf>
    <xf numFmtId="169" fontId="0" fillId="3" borderId="40" xfId="153" applyNumberFormat="1" applyFont="1" applyFill="1" applyBorder="1" applyAlignment="1">
      <alignment vertical="center"/>
    </xf>
    <xf numFmtId="9" fontId="0" fillId="0" borderId="40" xfId="0" applyNumberFormat="1" applyBorder="1"/>
    <xf numFmtId="3" fontId="0" fillId="0" borderId="40" xfId="0" applyNumberFormat="1" applyBorder="1"/>
    <xf numFmtId="169" fontId="0" fillId="0" borderId="40" xfId="153" applyNumberFormat="1" applyFont="1" applyBorder="1" applyAlignment="1">
      <alignment vertical="center"/>
    </xf>
    <xf numFmtId="3" fontId="0" fillId="0" borderId="63" xfId="0" applyNumberFormat="1" applyBorder="1"/>
    <xf numFmtId="3" fontId="0" fillId="29" borderId="70" xfId="0" applyNumberFormat="1" applyFill="1" applyBorder="1"/>
    <xf numFmtId="3" fontId="0" fillId="29" borderId="71" xfId="0" applyNumberFormat="1" applyFill="1" applyBorder="1"/>
    <xf numFmtId="169" fontId="0" fillId="29" borderId="71" xfId="153" applyNumberFormat="1" applyFont="1" applyFill="1" applyBorder="1"/>
    <xf numFmtId="9" fontId="0" fillId="0" borderId="71" xfId="0" applyNumberFormat="1" applyBorder="1"/>
    <xf numFmtId="3" fontId="0" fillId="0" borderId="71" xfId="0" applyNumberFormat="1" applyBorder="1"/>
    <xf numFmtId="3" fontId="0" fillId="0" borderId="66" xfId="0" applyNumberFormat="1" applyBorder="1"/>
    <xf numFmtId="3" fontId="0" fillId="0" borderId="72" xfId="0" applyNumberFormat="1" applyBorder="1"/>
    <xf numFmtId="9" fontId="0" fillId="32" borderId="0" xfId="0" applyNumberFormat="1" applyFill="1"/>
    <xf numFmtId="170" fontId="0" fillId="0" borderId="55" xfId="154" applyNumberFormat="1" applyFont="1" applyBorder="1"/>
    <xf numFmtId="0" fontId="0" fillId="34" borderId="68" xfId="0" applyFill="1" applyBorder="1" applyAlignment="1">
      <alignment wrapText="1"/>
    </xf>
    <xf numFmtId="169" fontId="0" fillId="29" borderId="61" xfId="153" applyNumberFormat="1" applyFont="1" applyFill="1" applyBorder="1"/>
    <xf numFmtId="9" fontId="0" fillId="29" borderId="61" xfId="0" applyNumberFormat="1" applyFill="1" applyBorder="1"/>
    <xf numFmtId="3" fontId="0" fillId="29" borderId="62" xfId="0" applyNumberFormat="1" applyFill="1" applyBorder="1"/>
    <xf numFmtId="172" fontId="0" fillId="3" borderId="0" xfId="153" applyNumberFormat="1" applyFont="1" applyFill="1"/>
    <xf numFmtId="0" fontId="0" fillId="0" borderId="0" xfId="0" quotePrefix="1"/>
    <xf numFmtId="0" fontId="2" fillId="0" borderId="46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2" xfId="0" applyFont="1" applyBorder="1"/>
    <xf numFmtId="0" fontId="0" fillId="0" borderId="65" xfId="0" applyBorder="1"/>
    <xf numFmtId="170" fontId="2" fillId="0" borderId="33" xfId="154" applyNumberFormat="1" applyFont="1" applyBorder="1"/>
    <xf numFmtId="0" fontId="0" fillId="29" borderId="0" xfId="0" applyFill="1" applyAlignment="1">
      <alignment horizontal="center"/>
    </xf>
    <xf numFmtId="0" fontId="2" fillId="0" borderId="0" xfId="0" applyFont="1" applyAlignment="1">
      <alignment horizontal="left" wrapText="1"/>
    </xf>
    <xf numFmtId="170" fontId="2" fillId="0" borderId="0" xfId="154" applyNumberFormat="1" applyFont="1"/>
    <xf numFmtId="0" fontId="2" fillId="0" borderId="40" xfId="0" applyFont="1" applyBorder="1" applyAlignment="1">
      <alignment horizontal="left" wrapText="1"/>
    </xf>
    <xf numFmtId="0" fontId="0" fillId="0" borderId="40" xfId="0" applyBorder="1" applyAlignment="1">
      <alignment wrapText="1"/>
    </xf>
    <xf numFmtId="0" fontId="0" fillId="0" borderId="40" xfId="0" applyBorder="1" applyAlignment="1">
      <alignment vertical="top"/>
    </xf>
    <xf numFmtId="0" fontId="0" fillId="29" borderId="40" xfId="0" applyFill="1" applyBorder="1"/>
    <xf numFmtId="0" fontId="45" fillId="0" borderId="0" xfId="0" applyFont="1" applyAlignment="1">
      <alignment vertical="center"/>
    </xf>
    <xf numFmtId="0" fontId="48" fillId="0" borderId="0" xfId="0" applyFont="1" applyAlignment="1">
      <alignment horizontal="right"/>
    </xf>
    <xf numFmtId="168" fontId="49" fillId="0" borderId="0" xfId="0" applyNumberFormat="1" applyFont="1"/>
    <xf numFmtId="0" fontId="44" fillId="29" borderId="37" xfId="0" applyFont="1" applyFill="1" applyBorder="1" applyAlignment="1">
      <alignment horizontal="right"/>
    </xf>
    <xf numFmtId="0" fontId="0" fillId="0" borderId="38" xfId="0" applyBorder="1" applyAlignment="1">
      <alignment wrapText="1"/>
    </xf>
    <xf numFmtId="0" fontId="2" fillId="29" borderId="73" xfId="0" applyFont="1" applyFill="1" applyBorder="1" applyAlignment="1">
      <alignment horizontal="left" vertical="top" wrapText="1"/>
    </xf>
    <xf numFmtId="0" fontId="2" fillId="3" borderId="73" xfId="0" applyFont="1" applyFill="1" applyBorder="1" applyAlignment="1">
      <alignment vertical="top" wrapText="1"/>
    </xf>
    <xf numFmtId="0" fontId="0" fillId="30" borderId="73" xfId="0" applyFill="1" applyBorder="1" applyAlignment="1">
      <alignment vertical="top" wrapText="1"/>
    </xf>
    <xf numFmtId="0" fontId="2" fillId="31" borderId="73" xfId="0" applyFont="1" applyFill="1" applyBorder="1" applyAlignment="1">
      <alignment vertical="top" wrapText="1"/>
    </xf>
    <xf numFmtId="0" fontId="2" fillId="29" borderId="73" xfId="0" applyFont="1" applyFill="1" applyBorder="1" applyAlignment="1">
      <alignment vertical="top" wrapText="1"/>
    </xf>
    <xf numFmtId="0" fontId="50" fillId="0" borderId="0" xfId="0" applyFont="1"/>
    <xf numFmtId="0" fontId="45" fillId="29" borderId="0" xfId="0" applyFont="1" applyFill="1" applyAlignment="1">
      <alignment horizontal="right"/>
    </xf>
    <xf numFmtId="0" fontId="44" fillId="29" borderId="24" xfId="0" applyFont="1" applyFill="1" applyBorder="1" applyAlignment="1">
      <alignment horizontal="right"/>
    </xf>
    <xf numFmtId="168" fontId="0" fillId="0" borderId="25" xfId="0" applyNumberFormat="1" applyBorder="1"/>
    <xf numFmtId="0" fontId="0" fillId="0" borderId="25" xfId="0" applyBorder="1" applyAlignment="1">
      <alignment wrapText="1"/>
    </xf>
    <xf numFmtId="0" fontId="44" fillId="0" borderId="26" xfId="0" applyFont="1" applyBorder="1"/>
    <xf numFmtId="0" fontId="44" fillId="0" borderId="46" xfId="0" applyFont="1" applyBorder="1"/>
    <xf numFmtId="0" fontId="46" fillId="0" borderId="46" xfId="0" applyFont="1" applyBorder="1"/>
    <xf numFmtId="0" fontId="46" fillId="0" borderId="27" xfId="0" applyFont="1" applyBorder="1"/>
    <xf numFmtId="173" fontId="51" fillId="0" borderId="0" xfId="0" applyNumberFormat="1" applyFont="1"/>
    <xf numFmtId="171" fontId="51" fillId="0" borderId="0" xfId="0" applyNumberFormat="1" applyFont="1"/>
    <xf numFmtId="0" fontId="52" fillId="0" borderId="74" xfId="0" applyFont="1" applyBorder="1"/>
    <xf numFmtId="0" fontId="0" fillId="0" borderId="73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52" fillId="0" borderId="20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0" borderId="21" xfId="0" applyFont="1" applyBorder="1" applyAlignment="1">
      <alignment horizontal="center"/>
    </xf>
    <xf numFmtId="0" fontId="52" fillId="0" borderId="20" xfId="0" applyFont="1" applyBorder="1"/>
    <xf numFmtId="0" fontId="52" fillId="0" borderId="22" xfId="0" applyFont="1" applyBorder="1"/>
    <xf numFmtId="0" fontId="52" fillId="0" borderId="21" xfId="0" applyFont="1" applyBorder="1"/>
    <xf numFmtId="0" fontId="52" fillId="0" borderId="0" xfId="0" applyFont="1"/>
    <xf numFmtId="171" fontId="52" fillId="0" borderId="22" xfId="153" applyNumberFormat="1" applyFont="1" applyBorder="1"/>
    <xf numFmtId="0" fontId="52" fillId="0" borderId="59" xfId="0" applyFont="1" applyBorder="1"/>
    <xf numFmtId="0" fontId="0" fillId="0" borderId="69" xfId="0" applyBorder="1"/>
    <xf numFmtId="0" fontId="0" fillId="0" borderId="75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49" fillId="0" borderId="23" xfId="0" applyFont="1" applyBorder="1" applyAlignment="1">
      <alignment horizontal="center" wrapText="1"/>
    </xf>
    <xf numFmtId="0" fontId="49" fillId="0" borderId="21" xfId="0" applyFont="1" applyBorder="1" applyAlignment="1">
      <alignment horizontal="center" wrapText="1"/>
    </xf>
    <xf numFmtId="0" fontId="49" fillId="0" borderId="73" xfId="0" applyFont="1" applyBorder="1" applyAlignment="1">
      <alignment horizontal="center" wrapText="1"/>
    </xf>
    <xf numFmtId="0" fontId="49" fillId="0" borderId="20" xfId="0" applyFont="1" applyBorder="1" applyAlignment="1">
      <alignment horizontal="center" wrapText="1"/>
    </xf>
    <xf numFmtId="0" fontId="49" fillId="0" borderId="52" xfId="0" applyFont="1" applyBorder="1" applyAlignment="1">
      <alignment horizontal="center" wrapText="1"/>
    </xf>
    <xf numFmtId="0" fontId="51" fillId="0" borderId="53" xfId="0" applyFont="1" applyBorder="1" applyAlignment="1">
      <alignment wrapText="1"/>
    </xf>
    <xf numFmtId="3" fontId="51" fillId="0" borderId="76" xfId="0" applyNumberFormat="1" applyFont="1" applyBorder="1"/>
    <xf numFmtId="3" fontId="51" fillId="29" borderId="38" xfId="0" applyNumberFormat="1" applyFont="1" applyFill="1" applyBorder="1" applyAlignment="1">
      <alignment wrapText="1"/>
    </xf>
    <xf numFmtId="3" fontId="51" fillId="29" borderId="37" xfId="0" applyNumberFormat="1" applyFont="1" applyFill="1" applyBorder="1" applyAlignment="1">
      <alignment wrapText="1"/>
    </xf>
    <xf numFmtId="0" fontId="51" fillId="0" borderId="0" xfId="0" applyFont="1"/>
    <xf numFmtId="169" fontId="51" fillId="29" borderId="0" xfId="153" applyNumberFormat="1" applyFont="1" applyFill="1" applyAlignment="1">
      <alignment wrapText="1"/>
    </xf>
    <xf numFmtId="169" fontId="51" fillId="29" borderId="38" xfId="153" applyNumberFormat="1" applyFont="1" applyFill="1" applyBorder="1" applyAlignment="1">
      <alignment wrapText="1"/>
    </xf>
    <xf numFmtId="169" fontId="51" fillId="0" borderId="37" xfId="153" applyNumberFormat="1" applyFont="1" applyBorder="1"/>
    <xf numFmtId="169" fontId="51" fillId="0" borderId="0" xfId="153" applyNumberFormat="1" applyFont="1"/>
    <xf numFmtId="170" fontId="51" fillId="29" borderId="37" xfId="154" applyNumberFormat="1" applyFont="1" applyFill="1" applyBorder="1" applyAlignment="1">
      <alignment wrapText="1"/>
    </xf>
    <xf numFmtId="3" fontId="51" fillId="33" borderId="0" xfId="0" applyNumberFormat="1" applyFont="1" applyFill="1" applyAlignment="1">
      <alignment wrapText="1"/>
    </xf>
    <xf numFmtId="43" fontId="51" fillId="33" borderId="0" xfId="153" applyFont="1" applyFill="1" applyAlignment="1">
      <alignment horizontal="center" wrapText="1"/>
    </xf>
    <xf numFmtId="169" fontId="51" fillId="33" borderId="0" xfId="153" applyNumberFormat="1" applyFont="1" applyFill="1" applyAlignment="1">
      <alignment wrapText="1"/>
    </xf>
    <xf numFmtId="169" fontId="51" fillId="33" borderId="38" xfId="153" applyNumberFormat="1" applyFont="1" applyFill="1" applyBorder="1" applyAlignment="1">
      <alignment wrapText="1"/>
    </xf>
    <xf numFmtId="170" fontId="51" fillId="29" borderId="0" xfId="154" applyNumberFormat="1" applyFont="1" applyFill="1" applyAlignment="1">
      <alignment wrapText="1"/>
    </xf>
    <xf numFmtId="43" fontId="52" fillId="0" borderId="0" xfId="153" applyFont="1"/>
    <xf numFmtId="10" fontId="51" fillId="29" borderId="37" xfId="154" applyNumberFormat="1" applyFont="1" applyFill="1" applyBorder="1" applyAlignment="1">
      <alignment wrapText="1"/>
    </xf>
    <xf numFmtId="174" fontId="51" fillId="29" borderId="0" xfId="153" applyNumberFormat="1" applyFont="1" applyFill="1" applyAlignment="1">
      <alignment wrapText="1"/>
    </xf>
    <xf numFmtId="1" fontId="51" fillId="33" borderId="0" xfId="0" applyNumberFormat="1" applyFont="1" applyFill="1" applyAlignment="1">
      <alignment wrapText="1"/>
    </xf>
    <xf numFmtId="0" fontId="51" fillId="29" borderId="38" xfId="0" applyFont="1" applyFill="1" applyBorder="1" applyAlignment="1">
      <alignment wrapText="1"/>
    </xf>
    <xf numFmtId="10" fontId="51" fillId="29" borderId="0" xfId="154" applyNumberFormat="1" applyFont="1" applyFill="1" applyAlignment="1">
      <alignment wrapText="1"/>
    </xf>
    <xf numFmtId="0" fontId="51" fillId="29" borderId="0" xfId="0" applyFont="1" applyFill="1" applyAlignment="1">
      <alignment wrapText="1"/>
    </xf>
    <xf numFmtId="175" fontId="51" fillId="29" borderId="0" xfId="0" applyNumberFormat="1" applyFont="1" applyFill="1" applyAlignment="1">
      <alignment wrapText="1"/>
    </xf>
    <xf numFmtId="169" fontId="51" fillId="29" borderId="55" xfId="153" applyNumberFormat="1" applyFont="1" applyFill="1" applyBorder="1" applyAlignment="1">
      <alignment wrapText="1"/>
    </xf>
    <xf numFmtId="2" fontId="51" fillId="33" borderId="0" xfId="0" applyNumberFormat="1" applyFont="1" applyFill="1" applyAlignment="1">
      <alignment wrapText="1"/>
    </xf>
    <xf numFmtId="3" fontId="51" fillId="32" borderId="38" xfId="0" applyNumberFormat="1" applyFont="1" applyFill="1" applyBorder="1" applyAlignment="1">
      <alignment wrapText="1"/>
    </xf>
    <xf numFmtId="3" fontId="51" fillId="0" borderId="38" xfId="0" applyNumberFormat="1" applyFont="1" applyBorder="1" applyAlignment="1">
      <alignment wrapText="1"/>
    </xf>
    <xf numFmtId="169" fontId="51" fillId="0" borderId="38" xfId="153" applyNumberFormat="1" applyFont="1" applyBorder="1" applyAlignment="1">
      <alignment wrapText="1"/>
    </xf>
    <xf numFmtId="170" fontId="51" fillId="0" borderId="37" xfId="154" applyNumberFormat="1" applyFont="1" applyBorder="1" applyAlignment="1">
      <alignment wrapText="1"/>
    </xf>
    <xf numFmtId="3" fontId="51" fillId="0" borderId="0" xfId="0" applyNumberFormat="1" applyFont="1" applyAlignment="1">
      <alignment wrapText="1"/>
    </xf>
    <xf numFmtId="169" fontId="51" fillId="0" borderId="0" xfId="153" applyNumberFormat="1" applyFont="1" applyAlignment="1">
      <alignment wrapText="1"/>
    </xf>
    <xf numFmtId="170" fontId="51" fillId="0" borderId="0" xfId="154" applyNumberFormat="1" applyFont="1" applyAlignment="1">
      <alignment wrapText="1"/>
    </xf>
    <xf numFmtId="10" fontId="51" fillId="0" borderId="37" xfId="154" applyNumberFormat="1" applyFont="1" applyBorder="1" applyAlignment="1">
      <alignment wrapText="1"/>
    </xf>
    <xf numFmtId="43" fontId="51" fillId="0" borderId="0" xfId="153" applyFont="1" applyAlignment="1">
      <alignment horizontal="center" wrapText="1"/>
    </xf>
    <xf numFmtId="4" fontId="51" fillId="0" borderId="0" xfId="0" applyNumberFormat="1" applyFont="1" applyAlignment="1">
      <alignment wrapText="1"/>
    </xf>
    <xf numFmtId="0" fontId="51" fillId="0" borderId="38" xfId="0" applyFont="1" applyBorder="1" applyAlignment="1">
      <alignment wrapText="1"/>
    </xf>
    <xf numFmtId="10" fontId="51" fillId="0" borderId="0" xfId="154" applyNumberFormat="1" applyFont="1" applyAlignment="1">
      <alignment wrapText="1"/>
    </xf>
    <xf numFmtId="0" fontId="51" fillId="0" borderId="0" xfId="0" applyFont="1" applyAlignment="1">
      <alignment wrapText="1"/>
    </xf>
    <xf numFmtId="175" fontId="51" fillId="0" borderId="0" xfId="0" applyNumberFormat="1" applyFont="1" applyAlignment="1">
      <alignment wrapText="1"/>
    </xf>
    <xf numFmtId="169" fontId="51" fillId="0" borderId="55" xfId="153" applyNumberFormat="1" applyFont="1" applyBorder="1" applyAlignment="1">
      <alignment wrapText="1"/>
    </xf>
    <xf numFmtId="0" fontId="51" fillId="0" borderId="53" xfId="0" applyFont="1" applyBorder="1" applyAlignment="1">
      <alignment horizontal="left" wrapText="1" indent="1"/>
    </xf>
    <xf numFmtId="169" fontId="51" fillId="0" borderId="76" xfId="0" applyNumberFormat="1" applyFont="1" applyBorder="1"/>
    <xf numFmtId="43" fontId="51" fillId="29" borderId="0" xfId="153" applyFont="1" applyFill="1" applyAlignment="1">
      <alignment wrapText="1"/>
    </xf>
    <xf numFmtId="0" fontId="51" fillId="33" borderId="0" xfId="0" applyFont="1" applyFill="1" applyAlignment="1">
      <alignment wrapText="1"/>
    </xf>
    <xf numFmtId="43" fontId="51" fillId="33" borderId="0" xfId="153" applyFont="1" applyFill="1" applyAlignment="1">
      <alignment wrapText="1"/>
    </xf>
    <xf numFmtId="0" fontId="51" fillId="29" borderId="55" xfId="0" applyFont="1" applyFill="1" applyBorder="1" applyAlignment="1">
      <alignment wrapText="1"/>
    </xf>
    <xf numFmtId="169" fontId="51" fillId="0" borderId="76" xfId="0" applyNumberFormat="1" applyFont="1" applyBorder="1" applyAlignment="1">
      <alignment wrapText="1"/>
    </xf>
    <xf numFmtId="0" fontId="51" fillId="0" borderId="69" xfId="0" applyFont="1" applyBorder="1" applyAlignment="1">
      <alignment horizontal="left" wrapText="1" indent="1"/>
    </xf>
    <xf numFmtId="0" fontId="51" fillId="0" borderId="75" xfId="0" applyFont="1" applyBorder="1"/>
    <xf numFmtId="3" fontId="51" fillId="29" borderId="31" xfId="0" applyNumberFormat="1" applyFont="1" applyFill="1" applyBorder="1" applyAlignment="1">
      <alignment wrapText="1"/>
    </xf>
    <xf numFmtId="3" fontId="51" fillId="29" borderId="30" xfId="0" applyNumberFormat="1" applyFont="1" applyFill="1" applyBorder="1" applyAlignment="1">
      <alignment wrapText="1"/>
    </xf>
    <xf numFmtId="0" fontId="51" fillId="0" borderId="40" xfId="0" applyFont="1" applyBorder="1"/>
    <xf numFmtId="169" fontId="51" fillId="29" borderId="40" xfId="153" applyNumberFormat="1" applyFont="1" applyFill="1" applyBorder="1" applyAlignment="1">
      <alignment wrapText="1"/>
    </xf>
    <xf numFmtId="169" fontId="51" fillId="29" borderId="31" xfId="153" applyNumberFormat="1" applyFont="1" applyFill="1" applyBorder="1" applyAlignment="1">
      <alignment wrapText="1"/>
    </xf>
    <xf numFmtId="169" fontId="51" fillId="0" borderId="30" xfId="153" applyNumberFormat="1" applyFont="1" applyBorder="1"/>
    <xf numFmtId="169" fontId="51" fillId="0" borderId="40" xfId="153" applyNumberFormat="1" applyFont="1" applyBorder="1"/>
    <xf numFmtId="0" fontId="51" fillId="29" borderId="31" xfId="0" applyFont="1" applyFill="1" applyBorder="1" applyAlignment="1">
      <alignment wrapText="1"/>
    </xf>
    <xf numFmtId="170" fontId="51" fillId="29" borderId="30" xfId="154" applyNumberFormat="1" applyFont="1" applyFill="1" applyBorder="1" applyAlignment="1">
      <alignment wrapText="1"/>
    </xf>
    <xf numFmtId="3" fontId="51" fillId="33" borderId="40" xfId="0" applyNumberFormat="1" applyFont="1" applyFill="1" applyBorder="1" applyAlignment="1">
      <alignment wrapText="1"/>
    </xf>
    <xf numFmtId="43" fontId="51" fillId="29" borderId="40" xfId="153" applyFont="1" applyFill="1" applyBorder="1" applyAlignment="1">
      <alignment wrapText="1"/>
    </xf>
    <xf numFmtId="0" fontId="51" fillId="33" borderId="40" xfId="0" applyFont="1" applyFill="1" applyBorder="1" applyAlignment="1">
      <alignment wrapText="1"/>
    </xf>
    <xf numFmtId="170" fontId="51" fillId="29" borderId="40" xfId="154" applyNumberFormat="1" applyFont="1" applyFill="1" applyBorder="1" applyAlignment="1">
      <alignment wrapText="1"/>
    </xf>
    <xf numFmtId="10" fontId="51" fillId="29" borderId="30" xfId="154" applyNumberFormat="1" applyFont="1" applyFill="1" applyBorder="1" applyAlignment="1">
      <alignment wrapText="1"/>
    </xf>
    <xf numFmtId="43" fontId="51" fillId="33" borderId="40" xfId="153" applyFont="1" applyFill="1" applyBorder="1" applyAlignment="1">
      <alignment wrapText="1"/>
    </xf>
    <xf numFmtId="169" fontId="51" fillId="33" borderId="40" xfId="153" applyNumberFormat="1" applyFont="1" applyFill="1" applyBorder="1" applyAlignment="1">
      <alignment wrapText="1"/>
    </xf>
    <xf numFmtId="0" fontId="51" fillId="29" borderId="40" xfId="0" applyFont="1" applyFill="1" applyBorder="1" applyAlignment="1">
      <alignment wrapText="1"/>
    </xf>
    <xf numFmtId="43" fontId="51" fillId="33" borderId="40" xfId="153" applyFont="1" applyFill="1" applyBorder="1" applyAlignment="1">
      <alignment horizontal="center" wrapText="1"/>
    </xf>
    <xf numFmtId="10" fontId="51" fillId="29" borderId="40" xfId="154" applyNumberFormat="1" applyFont="1" applyFill="1" applyBorder="1" applyAlignment="1">
      <alignment wrapText="1"/>
    </xf>
    <xf numFmtId="0" fontId="51" fillId="29" borderId="63" xfId="0" applyFont="1" applyFill="1" applyBorder="1" applyAlignment="1">
      <alignment wrapText="1"/>
    </xf>
    <xf numFmtId="0" fontId="0" fillId="29" borderId="76" xfId="0" applyFill="1" applyBorder="1"/>
    <xf numFmtId="0" fontId="0" fillId="0" borderId="24" xfId="0" applyBorder="1" applyAlignment="1">
      <alignment wrapText="1"/>
    </xf>
    <xf numFmtId="0" fontId="0" fillId="0" borderId="36" xfId="0" applyBorder="1" applyAlignment="1">
      <alignment wrapText="1"/>
    </xf>
    <xf numFmtId="169" fontId="0" fillId="0" borderId="25" xfId="153" applyNumberFormat="1" applyFont="1" applyBorder="1"/>
    <xf numFmtId="0" fontId="0" fillId="0" borderId="73" xfId="0" applyBorder="1" applyAlignment="1">
      <alignment wrapText="1"/>
    </xf>
    <xf numFmtId="169" fontId="2" fillId="0" borderId="0" xfId="153" applyNumberFormat="1" applyFont="1"/>
    <xf numFmtId="43" fontId="0" fillId="0" borderId="0" xfId="153" applyFont="1"/>
    <xf numFmtId="169" fontId="0" fillId="0" borderId="55" xfId="153" applyNumberFormat="1" applyFont="1" applyBorder="1"/>
    <xf numFmtId="0" fontId="0" fillId="29" borderId="38" xfId="0" applyFill="1" applyBorder="1" applyAlignment="1">
      <alignment wrapText="1"/>
    </xf>
    <xf numFmtId="171" fontId="0" fillId="0" borderId="0" xfId="0" applyNumberFormat="1"/>
    <xf numFmtId="0" fontId="0" fillId="0" borderId="76" xfId="0" applyBorder="1" applyAlignment="1">
      <alignment wrapText="1"/>
    </xf>
    <xf numFmtId="169" fontId="2" fillId="3" borderId="0" xfId="153" applyNumberFormat="1" applyFont="1" applyFill="1"/>
    <xf numFmtId="0" fontId="0" fillId="29" borderId="37" xfId="0" applyFill="1" applyBorder="1"/>
    <xf numFmtId="0" fontId="0" fillId="0" borderId="69" xfId="0" applyBorder="1" applyAlignment="1">
      <alignment wrapText="1"/>
    </xf>
    <xf numFmtId="0" fontId="0" fillId="0" borderId="75" xfId="0" applyBorder="1"/>
    <xf numFmtId="0" fontId="0" fillId="0" borderId="31" xfId="0" applyBorder="1" applyAlignment="1">
      <alignment wrapText="1"/>
    </xf>
    <xf numFmtId="0" fontId="0" fillId="0" borderId="30" xfId="0" applyBorder="1"/>
    <xf numFmtId="0" fontId="0" fillId="0" borderId="31" xfId="0" applyBorder="1"/>
    <xf numFmtId="0" fontId="0" fillId="0" borderId="75" xfId="0" applyBorder="1" applyAlignment="1">
      <alignment wrapText="1"/>
    </xf>
    <xf numFmtId="169" fontId="0" fillId="0" borderId="40" xfId="153" applyNumberFormat="1" applyFont="1" applyBorder="1"/>
    <xf numFmtId="0" fontId="0" fillId="0" borderId="63" xfId="0" applyBorder="1"/>
    <xf numFmtId="0" fontId="2" fillId="0" borderId="32" xfId="0" applyFont="1" applyBorder="1" applyAlignment="1">
      <alignment wrapText="1"/>
    </xf>
    <xf numFmtId="0" fontId="2" fillId="0" borderId="77" xfId="0" applyFont="1" applyBorder="1"/>
    <xf numFmtId="3" fontId="2" fillId="0" borderId="78" xfId="0" applyNumberFormat="1" applyFont="1" applyBorder="1" applyAlignment="1">
      <alignment wrapText="1"/>
    </xf>
    <xf numFmtId="3" fontId="2" fillId="0" borderId="64" xfId="0" applyNumberFormat="1" applyFont="1" applyBorder="1" applyAlignment="1">
      <alignment wrapText="1"/>
    </xf>
    <xf numFmtId="3" fontId="2" fillId="0" borderId="65" xfId="0" applyNumberFormat="1" applyFont="1" applyBorder="1" applyAlignment="1">
      <alignment wrapText="1"/>
    </xf>
    <xf numFmtId="0" fontId="2" fillId="0" borderId="60" xfId="0" applyFont="1" applyBorder="1" applyAlignment="1">
      <alignment wrapText="1"/>
    </xf>
    <xf numFmtId="0" fontId="2" fillId="0" borderId="61" xfId="0" applyFont="1" applyBorder="1" applyAlignment="1">
      <alignment wrapText="1"/>
    </xf>
    <xf numFmtId="0" fontId="2" fillId="0" borderId="61" xfId="0" applyFont="1" applyBorder="1"/>
    <xf numFmtId="3" fontId="2" fillId="0" borderId="61" xfId="0" applyNumberFormat="1" applyFont="1" applyBorder="1" applyAlignment="1">
      <alignment wrapText="1"/>
    </xf>
    <xf numFmtId="3" fontId="2" fillId="0" borderId="79" xfId="0" applyNumberFormat="1" applyFont="1" applyBorder="1" applyAlignment="1">
      <alignment wrapText="1"/>
    </xf>
    <xf numFmtId="0" fontId="2" fillId="0" borderId="68" xfId="0" applyFont="1" applyBorder="1" applyAlignment="1">
      <alignment wrapText="1"/>
    </xf>
    <xf numFmtId="0" fontId="2" fillId="0" borderId="60" xfId="0" applyFont="1" applyBorder="1"/>
    <xf numFmtId="3" fontId="2" fillId="0" borderId="62" xfId="0" applyNumberFormat="1" applyFont="1" applyBorder="1" applyAlignment="1">
      <alignment wrapText="1"/>
    </xf>
    <xf numFmtId="3" fontId="0" fillId="0" borderId="0" xfId="0" applyNumberFormat="1" applyAlignment="1">
      <alignment wrapText="1"/>
    </xf>
    <xf numFmtId="0" fontId="44" fillId="0" borderId="53" xfId="0" applyFont="1" applyBorder="1"/>
    <xf numFmtId="0" fontId="46" fillId="0" borderId="0" xfId="0" applyFont="1" applyAlignment="1">
      <alignment wrapText="1"/>
    </xf>
    <xf numFmtId="0" fontId="52" fillId="0" borderId="26" xfId="0" applyFont="1" applyBorder="1"/>
    <xf numFmtId="0" fontId="0" fillId="0" borderId="80" xfId="0" applyBorder="1" applyAlignment="1">
      <alignment horizontal="center" wrapText="1"/>
    </xf>
    <xf numFmtId="0" fontId="0" fillId="0" borderId="81" xfId="0" applyBorder="1" applyAlignment="1">
      <alignment horizontal="center" wrapText="1"/>
    </xf>
    <xf numFmtId="0" fontId="52" fillId="0" borderId="50" xfId="0" applyFont="1" applyBorder="1" applyAlignment="1">
      <alignment horizontal="center"/>
    </xf>
    <xf numFmtId="0" fontId="52" fillId="0" borderId="48" xfId="0" applyFont="1" applyBorder="1" applyAlignment="1">
      <alignment horizontal="center"/>
    </xf>
    <xf numFmtId="0" fontId="52" fillId="0" borderId="82" xfId="0" applyFont="1" applyBorder="1" applyAlignment="1">
      <alignment horizontal="center"/>
    </xf>
    <xf numFmtId="0" fontId="52" fillId="0" borderId="50" xfId="0" applyFont="1" applyBorder="1"/>
    <xf numFmtId="0" fontId="52" fillId="0" borderId="48" xfId="0" applyFont="1" applyBorder="1"/>
    <xf numFmtId="0" fontId="52" fillId="0" borderId="82" xfId="0" applyFont="1" applyBorder="1"/>
    <xf numFmtId="0" fontId="52" fillId="0" borderId="49" xfId="0" applyFont="1" applyBorder="1"/>
    <xf numFmtId="0" fontId="0" fillId="0" borderId="0" xfId="0" applyAlignment="1">
      <alignment horizontal="center" wrapText="1"/>
    </xf>
    <xf numFmtId="0" fontId="0" fillId="0" borderId="51" xfId="0" applyBorder="1"/>
    <xf numFmtId="170" fontId="51" fillId="31" borderId="37" xfId="154" applyNumberFormat="1" applyFont="1" applyFill="1" applyBorder="1" applyAlignment="1">
      <alignment wrapText="1"/>
    </xf>
    <xf numFmtId="3" fontId="51" fillId="29" borderId="0" xfId="0" applyNumberFormat="1" applyFont="1" applyFill="1" applyAlignment="1">
      <alignment wrapText="1"/>
    </xf>
    <xf numFmtId="175" fontId="51" fillId="31" borderId="0" xfId="0" applyNumberFormat="1" applyFont="1" applyFill="1" applyAlignment="1">
      <alignment horizontal="center" wrapText="1"/>
    </xf>
    <xf numFmtId="174" fontId="51" fillId="29" borderId="0" xfId="0" applyNumberFormat="1" applyFont="1" applyFill="1" applyAlignment="1">
      <alignment wrapText="1"/>
    </xf>
    <xf numFmtId="170" fontId="51" fillId="31" borderId="0" xfId="154" applyNumberFormat="1" applyFont="1" applyFill="1" applyAlignment="1">
      <alignment wrapText="1"/>
    </xf>
    <xf numFmtId="2" fontId="51" fillId="31" borderId="0" xfId="0" applyNumberFormat="1" applyFont="1" applyFill="1" applyAlignment="1">
      <alignment horizontal="right" wrapText="1"/>
    </xf>
    <xf numFmtId="172" fontId="51" fillId="31" borderId="0" xfId="153" applyNumberFormat="1" applyFont="1" applyFill="1" applyAlignment="1">
      <alignment horizontal="right" wrapText="1"/>
    </xf>
    <xf numFmtId="9" fontId="51" fillId="31" borderId="37" xfId="154" applyFont="1" applyFill="1" applyBorder="1" applyAlignment="1">
      <alignment wrapText="1"/>
    </xf>
    <xf numFmtId="172" fontId="51" fillId="31" borderId="0" xfId="153" applyNumberFormat="1" applyFont="1" applyFill="1" applyAlignment="1">
      <alignment horizontal="center" wrapText="1"/>
    </xf>
    <xf numFmtId="9" fontId="51" fillId="31" borderId="0" xfId="154" applyFont="1" applyFill="1" applyAlignment="1">
      <alignment wrapText="1"/>
    </xf>
    <xf numFmtId="0" fontId="51" fillId="31" borderId="0" xfId="0" applyFont="1" applyFill="1" applyAlignment="1">
      <alignment wrapText="1"/>
    </xf>
    <xf numFmtId="174" fontId="51" fillId="31" borderId="0" xfId="0" applyNumberFormat="1" applyFont="1" applyFill="1" applyAlignment="1">
      <alignment wrapText="1"/>
    </xf>
    <xf numFmtId="175" fontId="51" fillId="30" borderId="0" xfId="0" applyNumberFormat="1" applyFont="1" applyFill="1" applyAlignment="1">
      <alignment wrapText="1"/>
    </xf>
    <xf numFmtId="175" fontId="51" fillId="31" borderId="0" xfId="0" applyNumberFormat="1" applyFont="1" applyFill="1" applyAlignment="1">
      <alignment horizontal="right" wrapText="1"/>
    </xf>
    <xf numFmtId="176" fontId="51" fillId="31" borderId="0" xfId="153" applyNumberFormat="1" applyFont="1" applyFill="1" applyAlignment="1">
      <alignment wrapText="1"/>
    </xf>
    <xf numFmtId="3" fontId="51" fillId="0" borderId="75" xfId="0" applyNumberFormat="1" applyFont="1" applyBorder="1" applyAlignment="1">
      <alignment wrapText="1"/>
    </xf>
    <xf numFmtId="170" fontId="51" fillId="30" borderId="37" xfId="154" applyNumberFormat="1" applyFont="1" applyFill="1" applyBorder="1" applyAlignment="1">
      <alignment wrapText="1"/>
    </xf>
    <xf numFmtId="0" fontId="51" fillId="29" borderId="0" xfId="0" applyFont="1" applyFill="1" applyAlignment="1">
      <alignment horizontal="right" wrapText="1"/>
    </xf>
    <xf numFmtId="9" fontId="51" fillId="30" borderId="37" xfId="154" applyFont="1" applyFill="1" applyBorder="1" applyAlignment="1">
      <alignment wrapText="1"/>
    </xf>
    <xf numFmtId="43" fontId="51" fillId="29" borderId="0" xfId="153" applyFont="1" applyFill="1" applyAlignment="1">
      <alignment horizontal="center" wrapText="1"/>
    </xf>
    <xf numFmtId="9" fontId="51" fillId="29" borderId="37" xfId="154" applyFont="1" applyFill="1" applyBorder="1" applyAlignment="1">
      <alignment wrapText="1"/>
    </xf>
    <xf numFmtId="9" fontId="51" fillId="29" borderId="0" xfId="154" applyFont="1" applyFill="1" applyAlignment="1">
      <alignment wrapText="1"/>
    </xf>
    <xf numFmtId="10" fontId="0" fillId="0" borderId="0" xfId="0" applyNumberFormat="1"/>
    <xf numFmtId="0" fontId="51" fillId="29" borderId="0" xfId="0" applyFont="1" applyFill="1" applyAlignment="1">
      <alignment horizontal="center" wrapText="1"/>
    </xf>
    <xf numFmtId="171" fontId="51" fillId="29" borderId="0" xfId="0" applyNumberFormat="1" applyFont="1" applyFill="1" applyAlignment="1">
      <alignment wrapText="1"/>
    </xf>
    <xf numFmtId="3" fontId="51" fillId="29" borderId="20" xfId="0" applyNumberFormat="1" applyFont="1" applyFill="1" applyBorder="1" applyAlignment="1">
      <alignment wrapText="1"/>
    </xf>
    <xf numFmtId="0" fontId="0" fillId="29" borderId="22" xfId="0" applyFill="1" applyBorder="1"/>
    <xf numFmtId="169" fontId="51" fillId="29" borderId="22" xfId="153" applyNumberFormat="1" applyFont="1" applyFill="1" applyBorder="1" applyAlignment="1">
      <alignment wrapText="1"/>
    </xf>
    <xf numFmtId="3" fontId="51" fillId="29" borderId="21" xfId="0" applyNumberFormat="1" applyFont="1" applyFill="1" applyBorder="1" applyAlignment="1">
      <alignment wrapText="1"/>
    </xf>
    <xf numFmtId="169" fontId="0" fillId="29" borderId="20" xfId="153" applyNumberFormat="1" applyFont="1" applyFill="1" applyBorder="1"/>
    <xf numFmtId="169" fontId="51" fillId="29" borderId="21" xfId="153" applyNumberFormat="1" applyFont="1" applyFill="1" applyBorder="1" applyAlignment="1">
      <alignment wrapText="1"/>
    </xf>
    <xf numFmtId="3" fontId="51" fillId="29" borderId="22" xfId="0" applyNumberFormat="1" applyFont="1" applyFill="1" applyBorder="1" applyAlignment="1">
      <alignment wrapText="1"/>
    </xf>
    <xf numFmtId="0" fontId="51" fillId="29" borderId="58" xfId="0" applyFont="1" applyFill="1" applyBorder="1" applyAlignment="1">
      <alignment wrapText="1"/>
    </xf>
    <xf numFmtId="170" fontId="53" fillId="29" borderId="37" xfId="154" applyNumberFormat="1" applyFont="1" applyFill="1" applyBorder="1" applyAlignment="1">
      <alignment wrapText="1"/>
    </xf>
    <xf numFmtId="3" fontId="0" fillId="29" borderId="0" xfId="0" applyNumberFormat="1" applyFill="1" applyAlignment="1">
      <alignment wrapText="1"/>
    </xf>
    <xf numFmtId="170" fontId="53" fillId="29" borderId="0" xfId="154" applyNumberFormat="1" applyFont="1" applyFill="1" applyAlignment="1">
      <alignment wrapText="1"/>
    </xf>
    <xf numFmtId="169" fontId="0" fillId="29" borderId="0" xfId="153" applyNumberFormat="1" applyFont="1" applyFill="1" applyAlignment="1">
      <alignment wrapText="1"/>
    </xf>
    <xf numFmtId="0" fontId="0" fillId="29" borderId="53" xfId="0" applyFill="1" applyBorder="1" applyAlignment="1">
      <alignment wrapText="1"/>
    </xf>
    <xf numFmtId="177" fontId="53" fillId="29" borderId="37" xfId="154" applyNumberFormat="1" applyFont="1" applyFill="1" applyBorder="1" applyAlignment="1">
      <alignment wrapText="1"/>
    </xf>
    <xf numFmtId="177" fontId="53" fillId="29" borderId="0" xfId="154" applyNumberFormat="1" applyFont="1" applyFill="1" applyAlignment="1">
      <alignment wrapText="1"/>
    </xf>
    <xf numFmtId="178" fontId="0" fillId="29" borderId="0" xfId="0" applyNumberFormat="1" applyFill="1" applyAlignment="1">
      <alignment wrapText="1"/>
    </xf>
    <xf numFmtId="9" fontId="51" fillId="29" borderId="36" xfId="154" applyFont="1" applyFill="1" applyBorder="1" applyAlignment="1">
      <alignment wrapText="1"/>
    </xf>
    <xf numFmtId="3" fontId="0" fillId="29" borderId="36" xfId="0" applyNumberFormat="1" applyFill="1" applyBorder="1" applyAlignment="1">
      <alignment wrapText="1"/>
    </xf>
    <xf numFmtId="0" fontId="0" fillId="29" borderId="36" xfId="0" applyFill="1" applyBorder="1" applyAlignment="1">
      <alignment wrapText="1"/>
    </xf>
    <xf numFmtId="0" fontId="0" fillId="29" borderId="83" xfId="0" applyFill="1" applyBorder="1" applyAlignment="1">
      <alignment wrapText="1"/>
    </xf>
    <xf numFmtId="3" fontId="51" fillId="0" borderId="37" xfId="0" applyNumberFormat="1" applyFont="1" applyBorder="1" applyAlignment="1">
      <alignment wrapText="1"/>
    </xf>
    <xf numFmtId="170" fontId="53" fillId="0" borderId="37" xfId="154" applyNumberFormat="1" applyFont="1" applyBorder="1" applyAlignment="1">
      <alignment wrapText="1"/>
    </xf>
    <xf numFmtId="170" fontId="53" fillId="0" borderId="0" xfId="154" applyNumberFormat="1" applyFont="1" applyAlignment="1">
      <alignment wrapText="1"/>
    </xf>
    <xf numFmtId="177" fontId="53" fillId="0" borderId="37" xfId="154" applyNumberFormat="1" applyFont="1" applyBorder="1" applyAlignment="1">
      <alignment wrapText="1"/>
    </xf>
    <xf numFmtId="177" fontId="53" fillId="0" borderId="0" xfId="154" applyNumberFormat="1" applyFont="1" applyAlignment="1">
      <alignment wrapText="1"/>
    </xf>
    <xf numFmtId="9" fontId="51" fillId="0" borderId="0" xfId="154" applyFont="1" applyAlignment="1">
      <alignment wrapText="1"/>
    </xf>
    <xf numFmtId="0" fontId="0" fillId="0" borderId="55" xfId="0" applyBorder="1" applyAlignment="1">
      <alignment wrapText="1"/>
    </xf>
    <xf numFmtId="3" fontId="51" fillId="29" borderId="40" xfId="0" applyNumberFormat="1" applyFont="1" applyFill="1" applyBorder="1" applyAlignment="1">
      <alignment wrapText="1"/>
    </xf>
    <xf numFmtId="0" fontId="0" fillId="29" borderId="30" xfId="0" applyFill="1" applyBorder="1"/>
    <xf numFmtId="169" fontId="2" fillId="0" borderId="61" xfId="153" applyNumberFormat="1" applyFont="1" applyBorder="1" applyAlignment="1">
      <alignment wrapText="1"/>
    </xf>
    <xf numFmtId="169" fontId="2" fillId="0" borderId="62" xfId="153" applyNumberFormat="1" applyFont="1" applyBorder="1" applyAlignment="1">
      <alignment wrapText="1"/>
    </xf>
    <xf numFmtId="0" fontId="45" fillId="29" borderId="0" xfId="0" applyFont="1" applyFill="1" applyAlignment="1">
      <alignment vertical="center"/>
    </xf>
    <xf numFmtId="0" fontId="0" fillId="35" borderId="0" xfId="0" applyFill="1"/>
    <xf numFmtId="0" fontId="56" fillId="0" borderId="0" xfId="0" applyFont="1"/>
    <xf numFmtId="179" fontId="0" fillId="0" borderId="0" xfId="0" applyNumberFormat="1"/>
    <xf numFmtId="167" fontId="0" fillId="35" borderId="0" xfId="0" applyNumberFormat="1" applyFill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3" builtinId="3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5" builtinId="8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" xfId="154" builtinId="5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2.9569994464129901E-4</c:v>
                </c:pt>
                <c:pt idx="22" formatCode="0.00E+00">
                  <c:v>2.9958305787949267E-4</c:v>
                </c:pt>
                <c:pt idx="23" formatCode="0.00E+00">
                  <c:v>3.0346617111768546E-4</c:v>
                </c:pt>
                <c:pt idx="24" formatCode="0.00E+00">
                  <c:v>3.0734928435587912E-4</c:v>
                </c:pt>
                <c:pt idx="25" formatCode="0.00E+00">
                  <c:v>3.1123239759407278E-4</c:v>
                </c:pt>
                <c:pt idx="26" formatCode="0.00E+00">
                  <c:v>3.1511551083226644E-4</c:v>
                </c:pt>
                <c:pt idx="27" formatCode="0.00E+00">
                  <c:v>3.1899862407045923E-4</c:v>
                </c:pt>
                <c:pt idx="28" formatCode="0.00E+00">
                  <c:v>3.2288173730865289E-4</c:v>
                </c:pt>
                <c:pt idx="29" formatCode="0.00E+00">
                  <c:v>3.2676485054684655E-4</c:v>
                </c:pt>
                <c:pt idx="30" formatCode="0.00E+00">
                  <c:v>3.3064796378503935E-4</c:v>
                </c:pt>
                <c:pt idx="31" formatCode="0.00E+00">
                  <c:v>3.3453107702323387E-4</c:v>
                </c:pt>
                <c:pt idx="32" formatCode="0.00E+00">
                  <c:v>3.3841419026142667E-4</c:v>
                </c:pt>
                <c:pt idx="33" formatCode="0.00E+00">
                  <c:v>3.4229730349962119E-4</c:v>
                </c:pt>
                <c:pt idx="34" formatCode="0.00E+00">
                  <c:v>3.4689862777648655E-4</c:v>
                </c:pt>
                <c:pt idx="35" formatCode="0.00E+00">
                  <c:v>3.533746115408878E-4</c:v>
                </c:pt>
                <c:pt idx="36" formatCode="0.00E+00">
                  <c:v>3.595372935688436E-4</c:v>
                </c:pt>
                <c:pt idx="37" formatCode="0.00E+00">
                  <c:v>3.7326860644443704E-4</c:v>
                </c:pt>
                <c:pt idx="38" formatCode="0.00E+00">
                  <c:v>3.9114313448321655E-4</c:v>
                </c:pt>
                <c:pt idx="39" formatCode="0.00E+00">
                  <c:v>4.1258898627112453E-4</c:v>
                </c:pt>
                <c:pt idx="40" formatCode="0.00E+00">
                  <c:v>4.3061543834456651E-4</c:v>
                </c:pt>
                <c:pt idx="41" formatCode="0.00E+00">
                  <c:v>4.5082696279756963E-4</c:v>
                </c:pt>
                <c:pt idx="42" formatCode="0.00E+00">
                  <c:v>4.7350940137454764E-4</c:v>
                </c:pt>
                <c:pt idx="43" formatCode="0.00E+00">
                  <c:v>4.9555359266575917E-4</c:v>
                </c:pt>
                <c:pt idx="44" formatCode="0.00E+00">
                  <c:v>4.9814177661940964E-4</c:v>
                </c:pt>
                <c:pt idx="45" formatCode="0.00E+00">
                  <c:v>5.005370475447392E-4</c:v>
                </c:pt>
                <c:pt idx="46" formatCode="0.00E+00">
                  <c:v>5.0086583277997277E-4</c:v>
                </c:pt>
                <c:pt idx="47" formatCode="0.00E+00">
                  <c:v>5.0178640094292637E-4</c:v>
                </c:pt>
                <c:pt idx="48" formatCode="0.00E+00">
                  <c:v>5.0324387363458276E-4</c:v>
                </c:pt>
                <c:pt idx="49" formatCode="0.00E+00">
                  <c:v>5.0421920930309773E-4</c:v>
                </c:pt>
                <c:pt idx="50" formatCode="0.00E+00">
                  <c:v>5.0513463478203127E-4</c:v>
                </c:pt>
                <c:pt idx="51" formatCode="0.00E+00">
                  <c:v>5.0555618239317369E-4</c:v>
                </c:pt>
                <c:pt idx="52" formatCode="0.00E+00">
                  <c:v>5.0601034654204982E-4</c:v>
                </c:pt>
                <c:pt idx="53" formatCode="0.00E+00">
                  <c:v>5.0627369077658622E-4</c:v>
                </c:pt>
                <c:pt idx="54" formatCode="0.00E+00">
                  <c:v>5.0691218757262853E-4</c:v>
                </c:pt>
                <c:pt idx="55" formatCode="0.00E+00">
                  <c:v>5.0699505270759317E-4</c:v>
                </c:pt>
                <c:pt idx="56" formatCode="0.00E+00">
                  <c:v>5.0688468599555103E-4</c:v>
                </c:pt>
                <c:pt idx="57" formatCode="0.00E+00">
                  <c:v>5.0761128764235193E-4</c:v>
                </c:pt>
                <c:pt idx="58" formatCode="0.00E+00">
                  <c:v>5.079302449450513E-4</c:v>
                </c:pt>
                <c:pt idx="59" formatCode="0.00E+00">
                  <c:v>5.0796631304160164E-4</c:v>
                </c:pt>
                <c:pt idx="60" formatCode="0.00E+00">
                  <c:v>5.0790217503901189E-4</c:v>
                </c:pt>
                <c:pt idx="61" formatCode="0.00E+00">
                  <c:v>5.0780345213984523E-4</c:v>
                </c:pt>
                <c:pt idx="62" formatCode="0.00E+00">
                  <c:v>5.0749956248547434E-4</c:v>
                </c:pt>
                <c:pt idx="63" formatCode="0.00E+00">
                  <c:v>5.0713982411434641E-4</c:v>
                </c:pt>
                <c:pt idx="64" formatCode="0.00E+00">
                  <c:v>5.0691953426408576E-4</c:v>
                </c:pt>
                <c:pt idx="65" formatCode="0.00E+00">
                  <c:v>5.0681267455758821E-4</c:v>
                </c:pt>
                <c:pt idx="66" formatCode="0.00E+00">
                  <c:v>5.0623724841462208E-4</c:v>
                </c:pt>
                <c:pt idx="67" formatCode="0.00E+00">
                  <c:v>5.0594848185530727E-4</c:v>
                </c:pt>
                <c:pt idx="68" formatCode="0.00E+00">
                  <c:v>5.0628113449981745E-4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1.1357372671786685E-3</c:v>
                </c:pt>
                <c:pt idx="18">
                  <c:v>1.1357372671786685E-3</c:v>
                </c:pt>
                <c:pt idx="19">
                  <c:v>1.1357372671786685E-3</c:v>
                </c:pt>
                <c:pt idx="20">
                  <c:v>1.1357372671786685E-3</c:v>
                </c:pt>
                <c:pt idx="21">
                  <c:v>1.1357372671786685E-3</c:v>
                </c:pt>
                <c:pt idx="22">
                  <c:v>1.1357372671786685E-3</c:v>
                </c:pt>
                <c:pt idx="23">
                  <c:v>1.1357372671786685E-3</c:v>
                </c:pt>
                <c:pt idx="24">
                  <c:v>1.1357372671786685E-3</c:v>
                </c:pt>
                <c:pt idx="25">
                  <c:v>1.1357372671786685E-3</c:v>
                </c:pt>
                <c:pt idx="26">
                  <c:v>1.1357372671786685E-3</c:v>
                </c:pt>
                <c:pt idx="27">
                  <c:v>1.1357372671786685E-3</c:v>
                </c:pt>
                <c:pt idx="28">
                  <c:v>1.1357372671786685E-3</c:v>
                </c:pt>
                <c:pt idx="29">
                  <c:v>1.1357372671786685E-3</c:v>
                </c:pt>
                <c:pt idx="30">
                  <c:v>1.1357372671786685E-3</c:v>
                </c:pt>
                <c:pt idx="31">
                  <c:v>1.1357372671786685E-3</c:v>
                </c:pt>
                <c:pt idx="32">
                  <c:v>1.1357372671786685E-3</c:v>
                </c:pt>
                <c:pt idx="33">
                  <c:v>1.1357372671786685E-3</c:v>
                </c:pt>
                <c:pt idx="34">
                  <c:v>1.1357372671786689E-3</c:v>
                </c:pt>
                <c:pt idx="35">
                  <c:v>1.1357372671786689E-3</c:v>
                </c:pt>
                <c:pt idx="36">
                  <c:v>1.1357372671786689E-3</c:v>
                </c:pt>
                <c:pt idx="37">
                  <c:v>1.1357372671786689E-3</c:v>
                </c:pt>
                <c:pt idx="38">
                  <c:v>1.1357372671786689E-3</c:v>
                </c:pt>
                <c:pt idx="39">
                  <c:v>1.1357372671786689E-3</c:v>
                </c:pt>
                <c:pt idx="40">
                  <c:v>1.1357372671786689E-3</c:v>
                </c:pt>
                <c:pt idx="41">
                  <c:v>1.1357372671786689E-3</c:v>
                </c:pt>
                <c:pt idx="42">
                  <c:v>1.1357372671786689E-3</c:v>
                </c:pt>
                <c:pt idx="43">
                  <c:v>1.1357372671786689E-3</c:v>
                </c:pt>
                <c:pt idx="44">
                  <c:v>1.1357372671786689E-3</c:v>
                </c:pt>
                <c:pt idx="45">
                  <c:v>1.1357372671786689E-3</c:v>
                </c:pt>
                <c:pt idx="46">
                  <c:v>1.1357372671786689E-3</c:v>
                </c:pt>
                <c:pt idx="47">
                  <c:v>1.1357372671786689E-3</c:v>
                </c:pt>
                <c:pt idx="48">
                  <c:v>1.1357372671786689E-3</c:v>
                </c:pt>
                <c:pt idx="49">
                  <c:v>1.1357372671786689E-3</c:v>
                </c:pt>
                <c:pt idx="50">
                  <c:v>1.1357372671786689E-3</c:v>
                </c:pt>
                <c:pt idx="51">
                  <c:v>1.1357372671786689E-3</c:v>
                </c:pt>
                <c:pt idx="52">
                  <c:v>1.1357372671786689E-3</c:v>
                </c:pt>
                <c:pt idx="53">
                  <c:v>1.1357372671786689E-3</c:v>
                </c:pt>
                <c:pt idx="54">
                  <c:v>1.1357372671786689E-3</c:v>
                </c:pt>
                <c:pt idx="55">
                  <c:v>1.1357372671786689E-3</c:v>
                </c:pt>
                <c:pt idx="56">
                  <c:v>1.1357372671786689E-3</c:v>
                </c:pt>
                <c:pt idx="57">
                  <c:v>1.1357372671786689E-3</c:v>
                </c:pt>
                <c:pt idx="58">
                  <c:v>1.1357372671786689E-3</c:v>
                </c:pt>
                <c:pt idx="59">
                  <c:v>1.1357372671786689E-3</c:v>
                </c:pt>
                <c:pt idx="60">
                  <c:v>1.1357372671786689E-3</c:v>
                </c:pt>
                <c:pt idx="61">
                  <c:v>1.1357372671786689E-3</c:v>
                </c:pt>
                <c:pt idx="62">
                  <c:v>1.1357372671786689E-3</c:v>
                </c:pt>
                <c:pt idx="63">
                  <c:v>1.1357372671786689E-3</c:v>
                </c:pt>
                <c:pt idx="64">
                  <c:v>1.1357372671786689E-3</c:v>
                </c:pt>
                <c:pt idx="65">
                  <c:v>1.1357372671786689E-3</c:v>
                </c:pt>
                <c:pt idx="66">
                  <c:v>1.1357372671786689E-3</c:v>
                </c:pt>
                <c:pt idx="67">
                  <c:v>1.1357372671786689E-3</c:v>
                </c:pt>
                <c:pt idx="68">
                  <c:v>1.1357372671786689E-3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9.5697574271914285E-5</c:v>
                </c:pt>
                <c:pt idx="22" formatCode="0.00E+00">
                  <c:v>9.6696228747815595E-5</c:v>
                </c:pt>
                <c:pt idx="23" formatCode="0.00E+00">
                  <c:v>9.7694883223716471E-5</c:v>
                </c:pt>
                <c:pt idx="24" formatCode="0.00E+00">
                  <c:v>9.869353769961778E-5</c:v>
                </c:pt>
                <c:pt idx="25" formatCode="0.00E+00">
                  <c:v>9.9692192175518656E-5</c:v>
                </c:pt>
                <c:pt idx="26" formatCode="0.00E+00">
                  <c:v>1.0069084665141953E-4</c:v>
                </c:pt>
                <c:pt idx="27" formatCode="0.00E+00">
                  <c:v>1.0168950112732084E-4</c:v>
                </c:pt>
                <c:pt idx="28" formatCode="0.00E+00">
                  <c:v>1.0268815560322172E-4</c:v>
                </c:pt>
                <c:pt idx="29" formatCode="0.00E+00">
                  <c:v>1.0368681007912303E-4</c:v>
                </c:pt>
                <c:pt idx="30" formatCode="0.00E+00">
                  <c:v>1.046854645550239E-4</c:v>
                </c:pt>
                <c:pt idx="31" formatCode="0.00E+00">
                  <c:v>1.0568411903092521E-4</c:v>
                </c:pt>
                <c:pt idx="32" formatCode="0.00E+00">
                  <c:v>1.0668277350682609E-4</c:v>
                </c:pt>
                <c:pt idx="33" formatCode="0.00E+00">
                  <c:v>1.0768142798272696E-4</c:v>
                </c:pt>
                <c:pt idx="34" formatCode="0.00E+00">
                  <c:v>1.0882987482984162E-4</c:v>
                </c:pt>
                <c:pt idx="35" formatCode="0.00E+00">
                  <c:v>1.1003221388492314E-4</c:v>
                </c:pt>
                <c:pt idx="36" formatCode="0.00E+00">
                  <c:v>1.520298980709851E-4</c:v>
                </c:pt>
                <c:pt idx="37" formatCode="0.00E+00">
                  <c:v>1.5231271788571999E-4</c:v>
                </c:pt>
                <c:pt idx="38" formatCode="0.00E+00">
                  <c:v>1.5309594442046548E-4</c:v>
                </c:pt>
                <c:pt idx="39" formatCode="0.00E+00">
                  <c:v>1.5450688933895548E-4</c:v>
                </c:pt>
                <c:pt idx="40" formatCode="0.00E+00">
                  <c:v>1.5581085859424284E-4</c:v>
                </c:pt>
                <c:pt idx="41" formatCode="0.00E+00">
                  <c:v>1.5756644476908264E-4</c:v>
                </c:pt>
                <c:pt idx="42" formatCode="0.00E+00">
                  <c:v>1.5972587901324744E-4</c:v>
                </c:pt>
                <c:pt idx="43" formatCode="0.00E+00">
                  <c:v>1.6211347488296425E-4</c:v>
                </c:pt>
                <c:pt idx="44" formatCode="0.00E+00">
                  <c:v>1.6453918622796242E-4</c:v>
                </c:pt>
                <c:pt idx="45" formatCode="0.00E+00">
                  <c:v>1.6672909957169893E-4</c:v>
                </c:pt>
                <c:pt idx="46" formatCode="0.00E+00">
                  <c:v>1.6765206348152327E-4</c:v>
                </c:pt>
                <c:pt idx="47" formatCode="0.00E+00">
                  <c:v>1.6889974766758523E-4</c:v>
                </c:pt>
                <c:pt idx="48" formatCode="0.00E+00">
                  <c:v>1.6983049736047013E-4</c:v>
                </c:pt>
                <c:pt idx="49" formatCode="0.00E+00">
                  <c:v>1.704218599555098E-4</c:v>
                </c:pt>
                <c:pt idx="50" formatCode="0.00E+00">
                  <c:v>1.7072298217072279E-4</c:v>
                </c:pt>
                <c:pt idx="51" formatCode="0.00E+00">
                  <c:v>1.7039651050831703E-4</c:v>
                </c:pt>
                <c:pt idx="52" formatCode="0.00E+00">
                  <c:v>1.7046200903084435E-4</c:v>
                </c:pt>
                <c:pt idx="53" formatCode="0.00E+00">
                  <c:v>1.7053722733158469E-4</c:v>
                </c:pt>
                <c:pt idx="54" formatCode="0.00E+00">
                  <c:v>1.7061855473289285E-4</c:v>
                </c:pt>
                <c:pt idx="55" formatCode="0.00E+00">
                  <c:v>1.7071717188485674E-4</c:v>
                </c:pt>
                <c:pt idx="56" formatCode="0.00E+00">
                  <c:v>1.7083381752382219E-4</c:v>
                </c:pt>
                <c:pt idx="57" formatCode="0.00E+00">
                  <c:v>1.7093974733556892E-4</c:v>
                </c:pt>
                <c:pt idx="58" formatCode="0.00E+00">
                  <c:v>1.7106113250771939E-4</c:v>
                </c:pt>
                <c:pt idx="59" formatCode="0.00E+00">
                  <c:v>1.7113055712341047E-4</c:v>
                </c:pt>
                <c:pt idx="60" formatCode="0.00E+00">
                  <c:v>1.7112909625153559E-4</c:v>
                </c:pt>
                <c:pt idx="61" formatCode="0.00E+00">
                  <c:v>1.7105816926192769E-4</c:v>
                </c:pt>
                <c:pt idx="62" formatCode="0.00E+00">
                  <c:v>1.7098828812377569E-4</c:v>
                </c:pt>
                <c:pt idx="63" formatCode="0.00E+00">
                  <c:v>1.7091076230950561E-4</c:v>
                </c:pt>
                <c:pt idx="64" formatCode="0.00E+00">
                  <c:v>1.7084201832730171E-4</c:v>
                </c:pt>
                <c:pt idx="65" formatCode="0.00E+00">
                  <c:v>1.7081593014376306E-4</c:v>
                </c:pt>
                <c:pt idx="66" formatCode="0.00E+00">
                  <c:v>1.7077899332647168E-4</c:v>
                </c:pt>
                <c:pt idx="67" formatCode="0.00E+00">
                  <c:v>1.7076219329991034E-4</c:v>
                </c:pt>
                <c:pt idx="68" formatCode="0.00E+00">
                  <c:v>1.7074902055181116E-4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9.3337677843978277E-4</c:v>
                </c:pt>
                <c:pt idx="7" formatCode="0.00E+00">
                  <c:v>9.4889334495509327E-4</c:v>
                </c:pt>
                <c:pt idx="8" formatCode="0.00E+00">
                  <c:v>9.6440991147040377E-4</c:v>
                </c:pt>
                <c:pt idx="9" formatCode="0.00E+00">
                  <c:v>9.7992647798571426E-4</c:v>
                </c:pt>
                <c:pt idx="10" formatCode="0.00E+00">
                  <c:v>9.9544304450102476E-4</c:v>
                </c:pt>
                <c:pt idx="11" formatCode="0.00E+00">
                  <c:v>1.0109596110163353E-3</c:v>
                </c:pt>
                <c:pt idx="12" formatCode="0.00E+00">
                  <c:v>1.0264761775316423E-3</c:v>
                </c:pt>
                <c:pt idx="13" formatCode="0.00E+00">
                  <c:v>1.0419927440469528E-3</c:v>
                </c:pt>
                <c:pt idx="14" formatCode="0.00E+00">
                  <c:v>1.0575093105622633E-3</c:v>
                </c:pt>
                <c:pt idx="15" formatCode="0.00E+00">
                  <c:v>1.0730258770775738E-3</c:v>
                </c:pt>
                <c:pt idx="16" formatCode="0.00E+00">
                  <c:v>1.0885424435928843E-3</c:v>
                </c:pt>
                <c:pt idx="17" formatCode="0.00E+00">
                  <c:v>1.1040590101081948E-3</c:v>
                </c:pt>
                <c:pt idx="18" formatCode="0.00E+00">
                  <c:v>1.1195755766235053E-3</c:v>
                </c:pt>
                <c:pt idx="19" formatCode="0.00E+00">
                  <c:v>1.1350921431388158E-3</c:v>
                </c:pt>
                <c:pt idx="20" formatCode="0.00E+00">
                  <c:v>1.1506087096541228E-3</c:v>
                </c:pt>
                <c:pt idx="21" formatCode="0.00E+00">
                  <c:v>1.1661252761694333E-3</c:v>
                </c:pt>
                <c:pt idx="22" formatCode="0.00E+00">
                  <c:v>1.1816418426847438E-3</c:v>
                </c:pt>
                <c:pt idx="23" formatCode="0.00E+00">
                  <c:v>1.1971584092000543E-3</c:v>
                </c:pt>
                <c:pt idx="24" formatCode="0.00E+00">
                  <c:v>1.2126749757153648E-3</c:v>
                </c:pt>
                <c:pt idx="25" formatCode="0.00E+00">
                  <c:v>1.2281915422306753E-3</c:v>
                </c:pt>
                <c:pt idx="26" formatCode="0.00E+00">
                  <c:v>1.2437081087459858E-3</c:v>
                </c:pt>
                <c:pt idx="27" formatCode="0.00E+00">
                  <c:v>1.2592246752612928E-3</c:v>
                </c:pt>
                <c:pt idx="28" formatCode="0.00E+00">
                  <c:v>1.2747412417766033E-3</c:v>
                </c:pt>
                <c:pt idx="29" formatCode="0.00E+00">
                  <c:v>1.2902578082919138E-3</c:v>
                </c:pt>
                <c:pt idx="30" formatCode="0.00E+00">
                  <c:v>1.3057743748072243E-3</c:v>
                </c:pt>
                <c:pt idx="31" formatCode="0.00E+00">
                  <c:v>1.3212909413225348E-3</c:v>
                </c:pt>
                <c:pt idx="32" formatCode="0.00E+00">
                  <c:v>1.3368075078378418E-3</c:v>
                </c:pt>
                <c:pt idx="33" formatCode="0.00E+00">
                  <c:v>1.3523240743531558E-3</c:v>
                </c:pt>
                <c:pt idx="34" formatCode="0.00E+00">
                  <c:v>1.3668458833469338E-3</c:v>
                </c:pt>
                <c:pt idx="35" formatCode="0.00E+00">
                  <c:v>1.3975668302200186E-3</c:v>
                </c:pt>
                <c:pt idx="36" formatCode="0.00E+00">
                  <c:v>1.4539352014141741E-3</c:v>
                </c:pt>
                <c:pt idx="37" formatCode="0.00E+00">
                  <c:v>1.4594289950245018E-3</c:v>
                </c:pt>
                <c:pt idx="38" formatCode="0.00E+00">
                  <c:v>1.4756859359754187E-3</c:v>
                </c:pt>
                <c:pt idx="39" formatCode="0.00E+00">
                  <c:v>1.5016126181406836E-3</c:v>
                </c:pt>
                <c:pt idx="40" formatCode="0.00E+00">
                  <c:v>1.5276214349660051E-3</c:v>
                </c:pt>
                <c:pt idx="41" formatCode="0.00E+00">
                  <c:v>1.5666123269593431E-3</c:v>
                </c:pt>
                <c:pt idx="42" formatCode="0.00E+00">
                  <c:v>1.6094338318399224E-3</c:v>
                </c:pt>
                <c:pt idx="43" formatCode="0.00E+00">
                  <c:v>1.6568663211644192E-3</c:v>
                </c:pt>
                <c:pt idx="44" formatCode="0.00E+00">
                  <c:v>1.7081812881839685E-3</c:v>
                </c:pt>
                <c:pt idx="45" formatCode="0.00E+00">
                  <c:v>1.7603980753137162E-3</c:v>
                </c:pt>
                <c:pt idx="46" formatCode="0.00E+00">
                  <c:v>1.7845493568158617E-3</c:v>
                </c:pt>
                <c:pt idx="47" formatCode="0.00E+00">
                  <c:v>1.8180510695056168E-3</c:v>
                </c:pt>
                <c:pt idx="48" formatCode="0.00E+00">
                  <c:v>1.8479085873006195E-3</c:v>
                </c:pt>
                <c:pt idx="49" formatCode="0.00E+00">
                  <c:v>1.8760039936359277E-3</c:v>
                </c:pt>
                <c:pt idx="50" formatCode="0.00E+00">
                  <c:v>1.8909964299665071E-3</c:v>
                </c:pt>
                <c:pt idx="51" formatCode="0.00E+00">
                  <c:v>1.8902585100318827E-3</c:v>
                </c:pt>
                <c:pt idx="52" formatCode="0.00E+00">
                  <c:v>1.8890626662959073E-3</c:v>
                </c:pt>
                <c:pt idx="53" formatCode="0.00E+00">
                  <c:v>1.8874328931536531E-3</c:v>
                </c:pt>
                <c:pt idx="54" formatCode="0.00E+00">
                  <c:v>1.8894672487112889E-3</c:v>
                </c:pt>
                <c:pt idx="55" formatCode="0.00E+00">
                  <c:v>1.8913378886656201E-3</c:v>
                </c:pt>
                <c:pt idx="56" formatCode="0.00E+00">
                  <c:v>1.8911140025023637E-3</c:v>
                </c:pt>
                <c:pt idx="57" formatCode="0.00E+00">
                  <c:v>1.890425178791504E-3</c:v>
                </c:pt>
                <c:pt idx="58" formatCode="0.00E+00">
                  <c:v>1.8935527559031118E-3</c:v>
                </c:pt>
                <c:pt idx="59" formatCode="0.00E+00">
                  <c:v>1.8964636451699846E-3</c:v>
                </c:pt>
                <c:pt idx="60" formatCode="0.00E+00">
                  <c:v>1.8957866340843915E-3</c:v>
                </c:pt>
                <c:pt idx="61" formatCode="0.00E+00">
                  <c:v>1.8949903893125133E-3</c:v>
                </c:pt>
                <c:pt idx="62" formatCode="0.00E+00">
                  <c:v>1.8967224154922315E-3</c:v>
                </c:pt>
                <c:pt idx="63" formatCode="0.00E+00">
                  <c:v>1.8990919542918078E-3</c:v>
                </c:pt>
                <c:pt idx="64" formatCode="0.00E+00">
                  <c:v>1.9004478221856921E-3</c:v>
                </c:pt>
                <c:pt idx="65" formatCode="0.00E+00">
                  <c:v>1.9004472684688823E-3</c:v>
                </c:pt>
                <c:pt idx="66" formatCode="0.00E+00">
                  <c:v>1.9035772450199976E-3</c:v>
                </c:pt>
                <c:pt idx="67" formatCode="0.00E+00">
                  <c:v>1.9056848757687405E-3</c:v>
                </c:pt>
                <c:pt idx="68" formatCode="0.00E+00">
                  <c:v>1.9060536511637826E-3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5.8865313057796388E-4</c:v>
                </c:pt>
                <c:pt idx="7" formatCode="0.00E+00">
                  <c:v>5.9843897019390836E-4</c:v>
                </c:pt>
                <c:pt idx="8" formatCode="0.00E+00">
                  <c:v>6.0822480980984937E-4</c:v>
                </c:pt>
                <c:pt idx="9" formatCode="0.00E+00">
                  <c:v>6.1801064942579385E-4</c:v>
                </c:pt>
                <c:pt idx="10" formatCode="0.00E+00">
                  <c:v>6.2779648904173833E-4</c:v>
                </c:pt>
                <c:pt idx="11" formatCode="0.00E+00">
                  <c:v>6.3758232865768281E-4</c:v>
                </c:pt>
                <c:pt idx="12" formatCode="0.00E+00">
                  <c:v>6.4736816827362729E-4</c:v>
                </c:pt>
                <c:pt idx="13" formatCode="0.00E+00">
                  <c:v>6.5715400788957177E-4</c:v>
                </c:pt>
                <c:pt idx="14" formatCode="0.00E+00">
                  <c:v>6.6693984750551625E-4</c:v>
                </c:pt>
                <c:pt idx="15" formatCode="0.00E+00">
                  <c:v>6.7672568712146073E-4</c:v>
                </c:pt>
                <c:pt idx="16" formatCode="0.00E+00">
                  <c:v>6.8651152673740521E-4</c:v>
                </c:pt>
                <c:pt idx="17" formatCode="0.00E+00">
                  <c:v>6.9629736635334969E-4</c:v>
                </c:pt>
                <c:pt idx="18" formatCode="0.00E+00">
                  <c:v>7.0608320596929417E-4</c:v>
                </c:pt>
                <c:pt idx="19" formatCode="0.00E+00">
                  <c:v>7.1586904558523518E-4</c:v>
                </c:pt>
                <c:pt idx="20" formatCode="0.00E+00">
                  <c:v>7.2565488520117967E-4</c:v>
                </c:pt>
                <c:pt idx="21" formatCode="0.00E+00">
                  <c:v>7.3544072481712415E-4</c:v>
                </c:pt>
                <c:pt idx="22" formatCode="0.00E+00">
                  <c:v>7.4522656443306863E-4</c:v>
                </c:pt>
                <c:pt idx="23" formatCode="0.00E+00">
                  <c:v>7.5501240404901311E-4</c:v>
                </c:pt>
                <c:pt idx="24" formatCode="0.00E+00">
                  <c:v>7.6479824366495759E-4</c:v>
                </c:pt>
                <c:pt idx="25" formatCode="0.00E+00">
                  <c:v>7.7458408328090207E-4</c:v>
                </c:pt>
                <c:pt idx="26" formatCode="0.00E+00">
                  <c:v>7.8436992289684655E-4</c:v>
                </c:pt>
                <c:pt idx="27" formatCode="0.00E+00">
                  <c:v>7.9415576251279103E-4</c:v>
                </c:pt>
                <c:pt idx="28" formatCode="0.00E+00">
                  <c:v>8.0394160212873551E-4</c:v>
                </c:pt>
                <c:pt idx="29" formatCode="0.00E+00">
                  <c:v>8.1372744174467652E-4</c:v>
                </c:pt>
                <c:pt idx="30" formatCode="0.00E+00">
                  <c:v>8.23513281360621E-4</c:v>
                </c:pt>
                <c:pt idx="31" formatCode="0.00E+00">
                  <c:v>8.3329912097656548E-4</c:v>
                </c:pt>
                <c:pt idx="32" formatCode="0.00E+00">
                  <c:v>8.4308496059250996E-4</c:v>
                </c:pt>
                <c:pt idx="33" formatCode="0.00E+00">
                  <c:v>8.5287080020845444E-4</c:v>
                </c:pt>
                <c:pt idx="34" formatCode="0.00E+00">
                  <c:v>8.6202927567441716E-4</c:v>
                </c:pt>
                <c:pt idx="35" formatCode="0.00E+00">
                  <c:v>8.8140406832930762E-4</c:v>
                </c:pt>
                <c:pt idx="36" formatCode="0.00E+00">
                  <c:v>9.1695393300934153E-4</c:v>
                </c:pt>
                <c:pt idx="37" formatCode="0.00E+00">
                  <c:v>9.2041870616651632E-4</c:v>
                </c:pt>
                <c:pt idx="38" formatCode="0.00E+00">
                  <c:v>9.306714780432442E-4</c:v>
                </c:pt>
                <c:pt idx="39" formatCode="0.00E+00">
                  <c:v>9.4702266973197924E-4</c:v>
                </c:pt>
                <c:pt idx="40" formatCode="0.00E+00">
                  <c:v>9.6342566132177042E-4</c:v>
                </c:pt>
                <c:pt idx="41" formatCode="0.00E+00">
                  <c:v>9.8801606378954112E-4</c:v>
                </c:pt>
                <c:pt idx="42" formatCode="0.00E+00">
                  <c:v>1.015022320519163E-3</c:v>
                </c:pt>
                <c:pt idx="43" formatCode="0.00E+00">
                  <c:v>1.0449365887728081E-3</c:v>
                </c:pt>
                <c:pt idx="44" formatCode="0.00E+00">
                  <c:v>1.0772994208887467E-3</c:v>
                </c:pt>
                <c:pt idx="45" formatCode="0.00E+00">
                  <c:v>1.1102310042778571E-3</c:v>
                </c:pt>
                <c:pt idx="46" formatCode="0.00E+00">
                  <c:v>1.1254625032738701E-3</c:v>
                </c:pt>
                <c:pt idx="47" formatCode="0.00E+00">
                  <c:v>1.1465910426912669E-3</c:v>
                </c:pt>
                <c:pt idx="48" formatCode="0.00E+00">
                  <c:v>1.1654212961615693E-3</c:v>
                </c:pt>
                <c:pt idx="49" formatCode="0.00E+00">
                  <c:v>1.1831402380467362E-3</c:v>
                </c:pt>
                <c:pt idx="50" formatCode="0.00E+00">
                  <c:v>1.1925955242557402E-3</c:v>
                </c:pt>
                <c:pt idx="51" formatCode="0.00E+00">
                  <c:v>1.192130139976137E-3</c:v>
                </c:pt>
                <c:pt idx="52" formatCode="0.00E+00">
                  <c:v>1.1913759566976108E-3</c:v>
                </c:pt>
                <c:pt idx="53" formatCode="0.00E+00">
                  <c:v>1.190348106975526E-3</c:v>
                </c:pt>
                <c:pt idx="54" formatCode="0.00E+00">
                  <c:v>1.1916311148619154E-3</c:v>
                </c:pt>
                <c:pt idx="55" formatCode="0.00E+00">
                  <c:v>1.1928108721590083E-3</c:v>
                </c:pt>
                <c:pt idx="56" formatCode="0.00E+00">
                  <c:v>1.1926696737770276E-3</c:v>
                </c:pt>
                <c:pt idx="57" formatCode="0.00E+00">
                  <c:v>1.1922352530337865E-3</c:v>
                </c:pt>
                <c:pt idx="58" formatCode="0.00E+00">
                  <c:v>1.1942077234234497E-3</c:v>
                </c:pt>
                <c:pt idx="59" formatCode="0.00E+00">
                  <c:v>1.1960435351977417E-3</c:v>
                </c:pt>
                <c:pt idx="60" formatCode="0.00E+00">
                  <c:v>1.1956165643279108E-3</c:v>
                </c:pt>
                <c:pt idx="61" formatCode="0.00E+00">
                  <c:v>1.1951143962983441E-3</c:v>
                </c:pt>
                <c:pt idx="62" formatCode="0.00E+00">
                  <c:v>1.1962067339871374E-3</c:v>
                </c:pt>
                <c:pt idx="63" formatCode="0.00E+00">
                  <c:v>1.1977011320315457E-3</c:v>
                </c:pt>
                <c:pt idx="64" formatCode="0.00E+00">
                  <c:v>1.1985562378139278E-3</c:v>
                </c:pt>
                <c:pt idx="65" formatCode="0.00E+00">
                  <c:v>1.1985558886011115E-3</c:v>
                </c:pt>
                <c:pt idx="66" formatCode="0.00E+00">
                  <c:v>1.2005298722463115E-3</c:v>
                </c:pt>
                <c:pt idx="67" formatCode="0.00E+00">
                  <c:v>1.2018590926286994E-3</c:v>
                </c:pt>
                <c:pt idx="68" formatCode="0.00E+00">
                  <c:v>1.2020916683642289E-3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4.3084909496441358E-4</c:v>
                </c:pt>
                <c:pt idx="11" formatCode="0.00E+00">
                  <c:v>4.3312200044517534E-4</c:v>
                </c:pt>
                <c:pt idx="12" formatCode="0.00E+00">
                  <c:v>4.3539490592593624E-4</c:v>
                </c:pt>
                <c:pt idx="13" formatCode="0.00E+00">
                  <c:v>4.3766781140669713E-4</c:v>
                </c:pt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7.2676555894299986E-5</c:v>
                </c:pt>
                <c:pt idx="11" formatCode="0.00E+00">
                  <c:v>7.4430678754561092E-5</c:v>
                </c:pt>
                <c:pt idx="12" formatCode="0.00E+00">
                  <c:v>7.6184801614821764E-5</c:v>
                </c:pt>
                <c:pt idx="13" formatCode="0.00E+00">
                  <c:v>7.7938924475082436E-5</c:v>
                </c:pt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2.6081961074983645E-3</c:v>
                </c:pt>
                <c:pt idx="1">
                  <c:v>2.6420808191899986E-3</c:v>
                </c:pt>
                <c:pt idx="2">
                  <c:v>2.6759655308816327E-3</c:v>
                </c:pt>
                <c:pt idx="3">
                  <c:v>2.7098502425732807E-3</c:v>
                </c:pt>
                <c:pt idx="4">
                  <c:v>2.7437349542649148E-3</c:v>
                </c:pt>
                <c:pt idx="5">
                  <c:v>2.7776196659565489E-3</c:v>
                </c:pt>
                <c:pt idx="6">
                  <c:v>2.811504377648183E-3</c:v>
                </c:pt>
                <c:pt idx="7">
                  <c:v>2.845389089339817E-3</c:v>
                </c:pt>
                <c:pt idx="8">
                  <c:v>2.8792738010314511E-3</c:v>
                </c:pt>
                <c:pt idx="9">
                  <c:v>2.9131585127230991E-3</c:v>
                </c:pt>
                <c:pt idx="10">
                  <c:v>2.9470432244147332E-3</c:v>
                </c:pt>
                <c:pt idx="11">
                  <c:v>2.9809279361063673E-3</c:v>
                </c:pt>
                <c:pt idx="12">
                  <c:v>3.0148126477980014E-3</c:v>
                </c:pt>
                <c:pt idx="13">
                  <c:v>3.0486973594896355E-3</c:v>
                </c:pt>
                <c:pt idx="14">
                  <c:v>3.0825820711812696E-3</c:v>
                </c:pt>
                <c:pt idx="15">
                  <c:v>3.1164667828729176E-3</c:v>
                </c:pt>
                <c:pt idx="16">
                  <c:v>3.1503514945645517E-3</c:v>
                </c:pt>
                <c:pt idx="17">
                  <c:v>3.1842362062561858E-3</c:v>
                </c:pt>
                <c:pt idx="18">
                  <c:v>3.2181209179478198E-3</c:v>
                </c:pt>
                <c:pt idx="19">
                  <c:v>3.2520056296394539E-3</c:v>
                </c:pt>
                <c:pt idx="20">
                  <c:v>3.285890341331088E-3</c:v>
                </c:pt>
                <c:pt idx="21">
                  <c:v>3.319775053022736E-3</c:v>
                </c:pt>
                <c:pt idx="22">
                  <c:v>3.3536597647143701E-3</c:v>
                </c:pt>
                <c:pt idx="23">
                  <c:v>3.3875444764060042E-3</c:v>
                </c:pt>
                <c:pt idx="24">
                  <c:v>3.4214291880976383E-3</c:v>
                </c:pt>
                <c:pt idx="25">
                  <c:v>3.4553138997892724E-3</c:v>
                </c:pt>
                <c:pt idx="26">
                  <c:v>3.4891986114809065E-3</c:v>
                </c:pt>
                <c:pt idx="27">
                  <c:v>3.5230833231725545E-3</c:v>
                </c:pt>
                <c:pt idx="28">
                  <c:v>3.5569680348641886E-3</c:v>
                </c:pt>
                <c:pt idx="29">
                  <c:v>3.5908527465558226E-3</c:v>
                </c:pt>
                <c:pt idx="30">
                  <c:v>3.6247374582474567E-3</c:v>
                </c:pt>
                <c:pt idx="31">
                  <c:v>3.6586221699390908E-3</c:v>
                </c:pt>
                <c:pt idx="32">
                  <c:v>3.6925068816307249E-3</c:v>
                </c:pt>
                <c:pt idx="33">
                  <c:v>3.7263915933223729E-3</c:v>
                </c:pt>
                <c:pt idx="34">
                  <c:v>3.7212456171101574E-3</c:v>
                </c:pt>
                <c:pt idx="35">
                  <c:v>3.7741099996407915E-3</c:v>
                </c:pt>
                <c:pt idx="36">
                  <c:v>3.79446750783136E-3</c:v>
                </c:pt>
                <c:pt idx="37">
                  <c:v>3.8149406512605257E-3</c:v>
                </c:pt>
                <c:pt idx="38">
                  <c:v>3.8298140444111657E-3</c:v>
                </c:pt>
                <c:pt idx="39">
                  <c:v>3.8773516961968964E-3</c:v>
                </c:pt>
                <c:pt idx="40">
                  <c:v>3.9240798890653782E-3</c:v>
                </c:pt>
                <c:pt idx="41">
                  <c:v>3.9701414824010097E-3</c:v>
                </c:pt>
                <c:pt idx="42">
                  <c:v>4.0161126356220008E-3</c:v>
                </c:pt>
                <c:pt idx="43">
                  <c:v>4.0292667794948134E-3</c:v>
                </c:pt>
                <c:pt idx="44">
                  <c:v>4.0978255876444368E-3</c:v>
                </c:pt>
                <c:pt idx="45">
                  <c:v>4.1652664073586702E-3</c:v>
                </c:pt>
                <c:pt idx="46">
                  <c:v>4.2315598161451699E-3</c:v>
                </c:pt>
                <c:pt idx="47">
                  <c:v>4.2970691750486905E-3</c:v>
                </c:pt>
                <c:pt idx="48">
                  <c:v>4.3055196249846541E-3</c:v>
                </c:pt>
                <c:pt idx="49">
                  <c:v>4.3336931734858728E-3</c:v>
                </c:pt>
                <c:pt idx="50">
                  <c:v>4.3616872213495137E-3</c:v>
                </c:pt>
                <c:pt idx="51">
                  <c:v>4.3889090622222671E-3</c:v>
                </c:pt>
                <c:pt idx="52">
                  <c:v>4.4182036224326713E-3</c:v>
                </c:pt>
                <c:pt idx="53">
                  <c:v>4.4290378337835347E-3</c:v>
                </c:pt>
                <c:pt idx="54">
                  <c:v>4.4644621339203026E-3</c:v>
                </c:pt>
                <c:pt idx="55">
                  <c:v>4.4992110112726793E-3</c:v>
                </c:pt>
                <c:pt idx="56">
                  <c:v>4.5358303647640187E-3</c:v>
                </c:pt>
                <c:pt idx="57">
                  <c:v>4.5749988349475246E-3</c:v>
                </c:pt>
                <c:pt idx="58">
                  <c:v>4.6134408414514163E-3</c:v>
                </c:pt>
                <c:pt idx="59">
                  <c:v>4.6292190908428163E-3</c:v>
                </c:pt>
                <c:pt idx="60">
                  <c:v>4.6464685144938936E-3</c:v>
                </c:pt>
                <c:pt idx="61">
                  <c:v>4.6649506258836931E-3</c:v>
                </c:pt>
                <c:pt idx="62">
                  <c:v>4.6856608292664744E-3</c:v>
                </c:pt>
                <c:pt idx="63">
                  <c:v>4.7080395883471711E-3</c:v>
                </c:pt>
                <c:pt idx="64">
                  <c:v>4.7329978183574175E-3</c:v>
                </c:pt>
                <c:pt idx="65">
                  <c:v>4.7618306481741193E-3</c:v>
                </c:pt>
                <c:pt idx="66">
                  <c:v>4.7908996493749162E-3</c:v>
                </c:pt>
                <c:pt idx="67">
                  <c:v>4.8241474873821789E-3</c:v>
                </c:pt>
                <c:pt idx="68">
                  <c:v>4.8586148660456855E-3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9.7979641522397912E-6</c:v>
                </c:pt>
                <c:pt idx="2">
                  <c:v>9.7979641522397912E-6</c:v>
                </c:pt>
                <c:pt idx="3">
                  <c:v>9.7979641522397912E-6</c:v>
                </c:pt>
                <c:pt idx="4">
                  <c:v>9.7979641522397912E-6</c:v>
                </c:pt>
                <c:pt idx="5">
                  <c:v>9.7979641522397912E-6</c:v>
                </c:pt>
                <c:pt idx="6">
                  <c:v>9.7979641522397912E-6</c:v>
                </c:pt>
                <c:pt idx="7">
                  <c:v>9.7979641522397912E-6</c:v>
                </c:pt>
                <c:pt idx="8">
                  <c:v>9.7979641522397912E-6</c:v>
                </c:pt>
                <c:pt idx="9">
                  <c:v>9.7979641522397912E-6</c:v>
                </c:pt>
                <c:pt idx="10">
                  <c:v>9.7979641522397912E-6</c:v>
                </c:pt>
                <c:pt idx="11">
                  <c:v>9.7979641522397912E-6</c:v>
                </c:pt>
                <c:pt idx="12">
                  <c:v>9.7979641522397912E-6</c:v>
                </c:pt>
                <c:pt idx="13">
                  <c:v>9.7979641522397912E-6</c:v>
                </c:pt>
                <c:pt idx="14">
                  <c:v>9.7979641522397912E-6</c:v>
                </c:pt>
                <c:pt idx="15">
                  <c:v>9.7979641522397912E-6</c:v>
                </c:pt>
                <c:pt idx="16">
                  <c:v>9.7979641522397912E-6</c:v>
                </c:pt>
                <c:pt idx="17">
                  <c:v>9.7979641522397912E-6</c:v>
                </c:pt>
                <c:pt idx="18">
                  <c:v>9.7979641522397912E-6</c:v>
                </c:pt>
                <c:pt idx="19">
                  <c:v>9.7979641522397912E-6</c:v>
                </c:pt>
                <c:pt idx="20">
                  <c:v>9.7979641522397912E-6</c:v>
                </c:pt>
                <c:pt idx="21">
                  <c:v>9.7979641522397912E-6</c:v>
                </c:pt>
                <c:pt idx="22">
                  <c:v>9.7979641522397912E-6</c:v>
                </c:pt>
                <c:pt idx="23">
                  <c:v>9.7979641522397912E-6</c:v>
                </c:pt>
                <c:pt idx="24">
                  <c:v>9.7979641522397912E-6</c:v>
                </c:pt>
                <c:pt idx="25">
                  <c:v>9.7979641522397912E-6</c:v>
                </c:pt>
                <c:pt idx="26">
                  <c:v>9.7979641522397912E-6</c:v>
                </c:pt>
                <c:pt idx="27">
                  <c:v>9.7979641522397912E-6</c:v>
                </c:pt>
                <c:pt idx="28">
                  <c:v>9.7979641522397912E-6</c:v>
                </c:pt>
                <c:pt idx="29">
                  <c:v>9.7979641522397912E-6</c:v>
                </c:pt>
                <c:pt idx="30">
                  <c:v>9.7979641522397912E-6</c:v>
                </c:pt>
                <c:pt idx="31">
                  <c:v>9.7979641522397912E-6</c:v>
                </c:pt>
                <c:pt idx="32">
                  <c:v>9.7979641522397912E-6</c:v>
                </c:pt>
                <c:pt idx="33">
                  <c:v>9.7979641522397912E-6</c:v>
                </c:pt>
                <c:pt idx="34">
                  <c:v>9.7979641522397912E-6</c:v>
                </c:pt>
                <c:pt idx="35">
                  <c:v>9.7979641522397912E-6</c:v>
                </c:pt>
                <c:pt idx="36">
                  <c:v>9.7979641522397912E-6</c:v>
                </c:pt>
                <c:pt idx="37">
                  <c:v>9.7979641522397912E-6</c:v>
                </c:pt>
                <c:pt idx="38">
                  <c:v>9.7979641522397912E-6</c:v>
                </c:pt>
                <c:pt idx="39">
                  <c:v>9.7979641522397912E-6</c:v>
                </c:pt>
                <c:pt idx="40">
                  <c:v>9.7979641522397912E-6</c:v>
                </c:pt>
                <c:pt idx="41">
                  <c:v>9.7979641522397912E-6</c:v>
                </c:pt>
                <c:pt idx="42">
                  <c:v>9.7979641522397912E-6</c:v>
                </c:pt>
                <c:pt idx="43">
                  <c:v>9.7979641522397912E-6</c:v>
                </c:pt>
                <c:pt idx="44">
                  <c:v>9.7979641522397912E-6</c:v>
                </c:pt>
                <c:pt idx="45">
                  <c:v>9.7979641522397912E-6</c:v>
                </c:pt>
                <c:pt idx="46">
                  <c:v>9.7979641522397912E-6</c:v>
                </c:pt>
                <c:pt idx="47">
                  <c:v>9.7979641522397912E-6</c:v>
                </c:pt>
                <c:pt idx="48">
                  <c:v>9.7979641522397912E-6</c:v>
                </c:pt>
                <c:pt idx="49">
                  <c:v>9.7979641522397912E-6</c:v>
                </c:pt>
                <c:pt idx="50">
                  <c:v>9.7979641522397912E-6</c:v>
                </c:pt>
                <c:pt idx="51">
                  <c:v>9.7979641522397912E-6</c:v>
                </c:pt>
                <c:pt idx="52">
                  <c:v>9.7979641522397912E-6</c:v>
                </c:pt>
                <c:pt idx="53">
                  <c:v>9.7979641522397912E-6</c:v>
                </c:pt>
                <c:pt idx="54">
                  <c:v>9.7979641522397912E-6</c:v>
                </c:pt>
                <c:pt idx="55">
                  <c:v>9.7979641522397912E-6</c:v>
                </c:pt>
                <c:pt idx="56">
                  <c:v>9.7979641522397912E-6</c:v>
                </c:pt>
                <c:pt idx="57">
                  <c:v>9.7979641522397912E-6</c:v>
                </c:pt>
                <c:pt idx="58">
                  <c:v>9.7979641522397912E-6</c:v>
                </c:pt>
                <c:pt idx="59">
                  <c:v>9.7979641522397912E-6</c:v>
                </c:pt>
                <c:pt idx="60">
                  <c:v>9.7979641522397912E-6</c:v>
                </c:pt>
                <c:pt idx="61">
                  <c:v>9.7979641522397912E-6</c:v>
                </c:pt>
                <c:pt idx="62">
                  <c:v>9.7979641522397912E-6</c:v>
                </c:pt>
                <c:pt idx="63">
                  <c:v>9.7979641522397912E-6</c:v>
                </c:pt>
                <c:pt idx="64">
                  <c:v>9.7979641522397912E-6</c:v>
                </c:pt>
                <c:pt idx="65">
                  <c:v>9.7979641522397912E-6</c:v>
                </c:pt>
                <c:pt idx="66">
                  <c:v>9.7979641522397912E-6</c:v>
                </c:pt>
                <c:pt idx="67">
                  <c:v>9.7979641522397912E-6</c:v>
                </c:pt>
                <c:pt idx="68">
                  <c:v>9.7979641522397912E-6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136917</xdr:colOff>
      <xdr:row>52</xdr:row>
      <xdr:rowOff>26695</xdr:rowOff>
    </xdr:from>
    <xdr:to>
      <xdr:col>2</xdr:col>
      <xdr:colOff>523875</xdr:colOff>
      <xdr:row>55</xdr:row>
      <xdr:rowOff>9525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21139B50-F067-4585-948F-7C8DA7547FCA}"/>
            </a:ext>
          </a:extLst>
        </xdr:cNvPr>
        <xdr:cNvSpPr/>
      </xdr:nvSpPr>
      <xdr:spPr>
        <a:xfrm>
          <a:off x="2584842" y="12723520"/>
          <a:ext cx="386958" cy="5448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2</xdr:col>
      <xdr:colOff>11641</xdr:colOff>
      <xdr:row>4</xdr:row>
      <xdr:rowOff>155575</xdr:rowOff>
    </xdr:from>
    <xdr:to>
      <xdr:col>2</xdr:col>
      <xdr:colOff>838200</xdr:colOff>
      <xdr:row>5</xdr:row>
      <xdr:rowOff>54429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2B4AFBD2-7D35-4352-997A-C2BFCC52CADA}"/>
            </a:ext>
          </a:extLst>
        </xdr:cNvPr>
        <xdr:cNvSpPr/>
      </xdr:nvSpPr>
      <xdr:spPr>
        <a:xfrm>
          <a:off x="2459566" y="1184275"/>
          <a:ext cx="721784" cy="3179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5</xdr:col>
      <xdr:colOff>8467</xdr:colOff>
      <xdr:row>4</xdr:row>
      <xdr:rowOff>169334</xdr:rowOff>
    </xdr:from>
    <xdr:to>
      <xdr:col>5</xdr:col>
      <xdr:colOff>751115</xdr:colOff>
      <xdr:row>5</xdr:row>
      <xdr:rowOff>108857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B07D832-5D2E-41A8-9128-EE2BFE71DBB3}"/>
            </a:ext>
          </a:extLst>
        </xdr:cNvPr>
        <xdr:cNvSpPr/>
      </xdr:nvSpPr>
      <xdr:spPr>
        <a:xfrm>
          <a:off x="4504267" y="1198034"/>
          <a:ext cx="723598" cy="3586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8</xdr:col>
      <xdr:colOff>22225</xdr:colOff>
      <xdr:row>4</xdr:row>
      <xdr:rowOff>158751</xdr:rowOff>
    </xdr:from>
    <xdr:to>
      <xdr:col>10</xdr:col>
      <xdr:colOff>7408</xdr:colOff>
      <xdr:row>5</xdr:row>
      <xdr:rowOff>71968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1E02D4B-878A-4C96-BE93-5A55507B4F75}"/>
            </a:ext>
          </a:extLst>
        </xdr:cNvPr>
        <xdr:cNvSpPr/>
      </xdr:nvSpPr>
      <xdr:spPr>
        <a:xfrm>
          <a:off x="6718300" y="1187451"/>
          <a:ext cx="1585383" cy="3323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5</xdr:col>
      <xdr:colOff>40821</xdr:colOff>
      <xdr:row>6</xdr:row>
      <xdr:rowOff>37837</xdr:rowOff>
    </xdr:from>
    <xdr:to>
      <xdr:col>7</xdr:col>
      <xdr:colOff>211666</xdr:colOff>
      <xdr:row>9</xdr:row>
      <xdr:rowOff>27214</xdr:rowOff>
    </xdr:to>
    <xdr:sp macro="" textlink="">
      <xdr:nvSpPr>
        <xdr:cNvPr id="6" name="Arrow: Bent-Up 5">
          <a:extLst>
            <a:ext uri="{FF2B5EF4-FFF2-40B4-BE49-F238E27FC236}">
              <a16:creationId xmlns:a16="http://schemas.microsoft.com/office/drawing/2014/main" id="{EACFCC10-75A0-48F1-9493-C11A2B976981}"/>
            </a:ext>
          </a:extLst>
        </xdr:cNvPr>
        <xdr:cNvSpPr/>
      </xdr:nvSpPr>
      <xdr:spPr>
        <a:xfrm>
          <a:off x="4536621" y="1904737"/>
          <a:ext cx="1637695" cy="1380027"/>
        </a:xfrm>
        <a:prstGeom prst="bentUpArrow">
          <a:avLst>
            <a:gd name="adj1" fmla="val 16497"/>
            <a:gd name="adj2" fmla="val 25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0</xdr:col>
      <xdr:colOff>242209</xdr:colOff>
      <xdr:row>6</xdr:row>
      <xdr:rowOff>37350</xdr:rowOff>
    </xdr:from>
    <xdr:to>
      <xdr:col>0</xdr:col>
      <xdr:colOff>775609</xdr:colOff>
      <xdr:row>7</xdr:row>
      <xdr:rowOff>456448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37124917-9F6C-4022-A47A-942DCD68ADBF}"/>
            </a:ext>
          </a:extLst>
        </xdr:cNvPr>
        <xdr:cNvSpPr/>
      </xdr:nvSpPr>
      <xdr:spPr>
        <a:xfrm rot="5400000">
          <a:off x="89810" y="2056649"/>
          <a:ext cx="838198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10</xdr:col>
      <xdr:colOff>441629</xdr:colOff>
      <xdr:row>6</xdr:row>
      <xdr:rowOff>46569</xdr:rowOff>
    </xdr:from>
    <xdr:to>
      <xdr:col>11</xdr:col>
      <xdr:colOff>95255</xdr:colOff>
      <xdr:row>10</xdr:row>
      <xdr:rowOff>180975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22F6C4C8-7CBA-47D4-BA35-B17ABD7E1395}"/>
            </a:ext>
          </a:extLst>
        </xdr:cNvPr>
        <xdr:cNvSpPr/>
      </xdr:nvSpPr>
      <xdr:spPr>
        <a:xfrm rot="16200000">
          <a:off x="7959352" y="2692021"/>
          <a:ext cx="1944156" cy="387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12</xdr:col>
      <xdr:colOff>31750</xdr:colOff>
      <xdr:row>4</xdr:row>
      <xdr:rowOff>196851</xdr:rowOff>
    </xdr:from>
    <xdr:to>
      <xdr:col>14</xdr:col>
      <xdr:colOff>16933</xdr:colOff>
      <xdr:row>5</xdr:row>
      <xdr:rowOff>110068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A1B60A50-0894-4FF5-8B96-9F5DFF5D7558}"/>
            </a:ext>
          </a:extLst>
        </xdr:cNvPr>
        <xdr:cNvSpPr/>
      </xdr:nvSpPr>
      <xdr:spPr>
        <a:xfrm>
          <a:off x="9861550" y="1225551"/>
          <a:ext cx="1452033" cy="3323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0</xdr:col>
      <xdr:colOff>666750</xdr:colOff>
      <xdr:row>10</xdr:row>
      <xdr:rowOff>171450</xdr:rowOff>
    </xdr:from>
    <xdr:to>
      <xdr:col>10</xdr:col>
      <xdr:colOff>876300</xdr:colOff>
      <xdr:row>12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6C91CCA-DB36-478A-94A1-2BD7490097AC}"/>
            </a:ext>
          </a:extLst>
        </xdr:cNvPr>
        <xdr:cNvSpPr/>
      </xdr:nvSpPr>
      <xdr:spPr>
        <a:xfrm>
          <a:off x="666750" y="3848100"/>
          <a:ext cx="83629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0</xdr:col>
      <xdr:colOff>590550</xdr:colOff>
      <xdr:row>10</xdr:row>
      <xdr:rowOff>9525</xdr:rowOff>
    </xdr:from>
    <xdr:to>
      <xdr:col>0</xdr:col>
      <xdr:colOff>809625</xdr:colOff>
      <xdr:row>12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9D3D817-F2F8-49E4-8578-68F7BD98EB0D}"/>
            </a:ext>
          </a:extLst>
        </xdr:cNvPr>
        <xdr:cNvSpPr/>
      </xdr:nvSpPr>
      <xdr:spPr>
        <a:xfrm>
          <a:off x="590550" y="3686175"/>
          <a:ext cx="219075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14</xdr:col>
      <xdr:colOff>523874</xdr:colOff>
      <xdr:row>6</xdr:row>
      <xdr:rowOff>34019</xdr:rowOff>
    </xdr:from>
    <xdr:to>
      <xdr:col>15</xdr:col>
      <xdr:colOff>219074</xdr:colOff>
      <xdr:row>7</xdr:row>
      <xdr:rowOff>453117</xdr:rowOff>
    </xdr:to>
    <xdr:sp macro="" textlink="">
      <xdr:nvSpPr>
        <xdr:cNvPr id="12" name="Arrow: Right 7">
          <a:extLst>
            <a:ext uri="{FF2B5EF4-FFF2-40B4-BE49-F238E27FC236}">
              <a16:creationId xmlns:a16="http://schemas.microsoft.com/office/drawing/2014/main" id="{EA4C3F41-E7C7-465C-B7A0-FC4B3E9F8869}"/>
            </a:ext>
          </a:extLst>
        </xdr:cNvPr>
        <xdr:cNvSpPr/>
      </xdr:nvSpPr>
      <xdr:spPr>
        <a:xfrm rot="5400000">
          <a:off x="11615738" y="2105705"/>
          <a:ext cx="838198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~2019\&#39321;&#28207;&#39033;&#30446;\PCM%2020190611%20L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MEWORK"/>
      <sheetName val="GHG &amp; Energy rpt"/>
      <sheetName val="Results summary rpt"/>
      <sheetName val="Result Report"/>
      <sheetName val="Key parameters rpt"/>
      <sheetName val="Sheet4"/>
      <sheetName val="2016 Data Source"/>
      <sheetName val="Pivot_Table"/>
      <sheetName val="Population and GDP"/>
      <sheetName val="Population and GDP (1)"/>
      <sheetName val="Sheet3"/>
      <sheetName val="Building"/>
      <sheetName val="Transport"/>
      <sheetName val="Transport-1"/>
      <sheetName val="Transport-2"/>
      <sheetName val="Electricity"/>
      <sheetName val="Waste"/>
      <sheetName val="PMC ref file ---&gt;"/>
      <sheetName val="Trans rough work"/>
      <sheetName val="Trans analysis"/>
      <sheetName val="EF-1"/>
      <sheetName val="Elc"/>
      <sheetName val="Housing demand"/>
      <sheetName val="Commerical demand"/>
      <sheetName val="Elderly &amp; Children pax trips"/>
      <sheetName val="Marine VKM"/>
      <sheetName val="Sheet1"/>
      <sheetName val="Sheet2"/>
      <sheetName val="data demand"/>
    </sheetNames>
    <sheetDataSet>
      <sheetData sheetId="0">
        <row r="2">
          <cell r="B2">
            <v>43599</v>
          </cell>
          <cell r="D2" t="str">
            <v>Core higher population</v>
          </cell>
        </row>
      </sheetData>
      <sheetData sheetId="1"/>
      <sheetData sheetId="2"/>
      <sheetData sheetId="3"/>
      <sheetData sheetId="4">
        <row r="4">
          <cell r="D4">
            <v>7.1167999999999996</v>
          </cell>
          <cell r="I4">
            <v>9.0664999999999996</v>
          </cell>
          <cell r="O4">
            <v>9.0664999999999996</v>
          </cell>
        </row>
        <row r="5">
          <cell r="D5">
            <v>2490617</v>
          </cell>
          <cell r="O5">
            <v>6232620.9488792457</v>
          </cell>
        </row>
        <row r="51">
          <cell r="C51">
            <v>0.3</v>
          </cell>
        </row>
        <row r="52">
          <cell r="C52">
            <v>1</v>
          </cell>
        </row>
        <row r="53">
          <cell r="C53">
            <v>0.4</v>
          </cell>
        </row>
        <row r="56">
          <cell r="C56">
            <v>0.02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3">
          <cell r="C63">
            <v>0.5</v>
          </cell>
        </row>
        <row r="64">
          <cell r="C64">
            <v>0</v>
          </cell>
        </row>
        <row r="65">
          <cell r="C65">
            <v>1</v>
          </cell>
        </row>
        <row r="67">
          <cell r="C67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0.21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7.0000000000000007E-2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0.14000000000000001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8.5000000000000006E-2</v>
          </cell>
        </row>
        <row r="73">
          <cell r="F73">
            <v>0.505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0.06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0.01</v>
          </cell>
        </row>
        <row r="76">
          <cell r="F76">
            <v>6.9999999999999993E-2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0.42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5.0000000000000001E-3</v>
          </cell>
        </row>
        <row r="79">
          <cell r="F79">
            <v>0.99999999999999989</v>
          </cell>
        </row>
        <row r="81">
          <cell r="C81">
            <v>0</v>
          </cell>
          <cell r="D81">
            <v>0</v>
          </cell>
          <cell r="E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</row>
        <row r="88">
          <cell r="C88">
            <v>0.15</v>
          </cell>
          <cell r="D88">
            <v>0</v>
          </cell>
          <cell r="E88">
            <v>0.85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C89">
            <v>0.15</v>
          </cell>
          <cell r="D89">
            <v>0</v>
          </cell>
          <cell r="E89">
            <v>0.85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C90">
            <v>0</v>
          </cell>
          <cell r="D90">
            <v>0</v>
          </cell>
          <cell r="E90">
            <v>0.5</v>
          </cell>
          <cell r="F90">
            <v>0</v>
          </cell>
          <cell r="G90">
            <v>0</v>
          </cell>
          <cell r="H90">
            <v>0.5</v>
          </cell>
          <cell r="I90">
            <v>0</v>
          </cell>
        </row>
        <row r="91">
          <cell r="C91">
            <v>0</v>
          </cell>
          <cell r="D91">
            <v>0</v>
          </cell>
          <cell r="E91">
            <v>1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C92">
            <v>0</v>
          </cell>
          <cell r="D92">
            <v>0.2</v>
          </cell>
          <cell r="E92">
            <v>0.05</v>
          </cell>
          <cell r="F92">
            <v>0</v>
          </cell>
          <cell r="G92">
            <v>0</v>
          </cell>
          <cell r="H92">
            <v>0.75</v>
          </cell>
          <cell r="I92">
            <v>0</v>
          </cell>
        </row>
        <row r="94">
          <cell r="C94">
            <v>0.3</v>
          </cell>
          <cell r="D94">
            <v>0.3</v>
          </cell>
          <cell r="E94">
            <v>0.3</v>
          </cell>
          <cell r="F94">
            <v>0.3</v>
          </cell>
          <cell r="G94">
            <v>0.3</v>
          </cell>
          <cell r="H94">
            <v>0.3</v>
          </cell>
          <cell r="I94">
            <v>0.3</v>
          </cell>
        </row>
        <row r="95">
          <cell r="C95">
            <v>0.3</v>
          </cell>
          <cell r="D95">
            <v>0.3</v>
          </cell>
          <cell r="E95">
            <v>0.3</v>
          </cell>
          <cell r="F95">
            <v>0.3</v>
          </cell>
          <cell r="G95">
            <v>0.3</v>
          </cell>
          <cell r="H95">
            <v>0.3</v>
          </cell>
          <cell r="I95">
            <v>0.3</v>
          </cell>
        </row>
        <row r="96">
          <cell r="C96">
            <v>0.3</v>
          </cell>
          <cell r="D96">
            <v>0.3</v>
          </cell>
          <cell r="E96">
            <v>0.3</v>
          </cell>
          <cell r="F96">
            <v>0.3</v>
          </cell>
          <cell r="G96">
            <v>0.3</v>
          </cell>
          <cell r="H96">
            <v>0.3</v>
          </cell>
          <cell r="I96">
            <v>0.3</v>
          </cell>
        </row>
        <row r="97">
          <cell r="C97">
            <v>0.3</v>
          </cell>
          <cell r="D97">
            <v>0.3</v>
          </cell>
          <cell r="E97">
            <v>0.3</v>
          </cell>
          <cell r="F97">
            <v>0.3</v>
          </cell>
          <cell r="G97">
            <v>0.3</v>
          </cell>
          <cell r="H97">
            <v>0.3</v>
          </cell>
          <cell r="I97">
            <v>0.3</v>
          </cell>
        </row>
        <row r="98">
          <cell r="C98">
            <v>0.3</v>
          </cell>
          <cell r="D98">
            <v>0.3</v>
          </cell>
          <cell r="E98">
            <v>0.3</v>
          </cell>
          <cell r="F98">
            <v>0.3</v>
          </cell>
          <cell r="G98">
            <v>0.3</v>
          </cell>
          <cell r="H98">
            <v>0.3</v>
          </cell>
          <cell r="I98">
            <v>0.3</v>
          </cell>
        </row>
        <row r="99">
          <cell r="E99">
            <v>0.1</v>
          </cell>
        </row>
        <row r="113">
          <cell r="R113">
            <v>0.10375303197353915</v>
          </cell>
        </row>
        <row r="114">
          <cell r="R114">
            <v>0.61625578831312011</v>
          </cell>
        </row>
        <row r="115">
          <cell r="R115">
            <v>0.2799911797133407</v>
          </cell>
        </row>
      </sheetData>
      <sheetData sheetId="5"/>
      <sheetData sheetId="6"/>
      <sheetData sheetId="7"/>
      <sheetData sheetId="8">
        <row r="6">
          <cell r="E6">
            <v>7116800</v>
          </cell>
          <cell r="I6">
            <v>0.159</v>
          </cell>
          <cell r="J6">
            <v>0.72799999999999998</v>
          </cell>
          <cell r="K6">
            <v>0.113</v>
          </cell>
        </row>
        <row r="41">
          <cell r="E41">
            <v>9066500</v>
          </cell>
          <cell r="I41">
            <v>8.8999999999999996E-2</v>
          </cell>
          <cell r="J41">
            <v>0.59</v>
          </cell>
        </row>
      </sheetData>
      <sheetData sheetId="9"/>
      <sheetData sheetId="10"/>
      <sheetData sheetId="11"/>
      <sheetData sheetId="12">
        <row r="42">
          <cell r="F42">
            <v>5363.8</v>
          </cell>
          <cell r="N42">
            <v>7216.6808034134247</v>
          </cell>
        </row>
        <row r="43">
          <cell r="E43">
            <v>9.1452543261667553E-3</v>
          </cell>
          <cell r="M43">
            <v>5.0000000000000001E-3</v>
          </cell>
        </row>
        <row r="60">
          <cell r="Z60">
            <v>268.00074266298708</v>
          </cell>
          <cell r="AU60">
            <v>0</v>
          </cell>
          <cell r="AZ60">
            <v>0</v>
          </cell>
        </row>
        <row r="61">
          <cell r="Z61">
            <v>0.28804678427252117</v>
          </cell>
          <cell r="AU61">
            <v>0</v>
          </cell>
          <cell r="AZ61">
            <v>0</v>
          </cell>
        </row>
        <row r="62">
          <cell r="Z62">
            <v>27.845686339679975</v>
          </cell>
          <cell r="AU62">
            <v>17.534994425552124</v>
          </cell>
          <cell r="AZ62">
            <v>83.2</v>
          </cell>
        </row>
        <row r="63">
          <cell r="Z63">
            <v>0.67654021912679618</v>
          </cell>
          <cell r="AU63">
            <v>18.252049891419901</v>
          </cell>
          <cell r="AZ63">
            <v>18.252049891419901</v>
          </cell>
        </row>
        <row r="64">
          <cell r="Z64">
            <v>38.906602337521605</v>
          </cell>
          <cell r="AU64">
            <v>5.3845709398698628E-2</v>
          </cell>
          <cell r="AZ64">
            <v>56.433107618487192</v>
          </cell>
        </row>
        <row r="72">
          <cell r="T72">
            <v>2961</v>
          </cell>
        </row>
        <row r="78">
          <cell r="T78">
            <v>0</v>
          </cell>
          <cell r="W78">
            <v>0.85</v>
          </cell>
        </row>
        <row r="79">
          <cell r="T79">
            <v>0</v>
          </cell>
          <cell r="W79">
            <v>0.85</v>
          </cell>
        </row>
        <row r="80">
          <cell r="T80">
            <v>0</v>
          </cell>
          <cell r="W80">
            <v>0.5</v>
          </cell>
        </row>
        <row r="81">
          <cell r="T81">
            <v>0</v>
          </cell>
          <cell r="W81">
            <v>1</v>
          </cell>
        </row>
        <row r="82">
          <cell r="T82">
            <v>10711.366362777053</v>
          </cell>
          <cell r="W82">
            <v>0.05</v>
          </cell>
        </row>
        <row r="89">
          <cell r="T89">
            <v>4636</v>
          </cell>
        </row>
        <row r="90">
          <cell r="T90">
            <v>2961</v>
          </cell>
        </row>
      </sheetData>
      <sheetData sheetId="13"/>
      <sheetData sheetId="14"/>
      <sheetData sheetId="15">
        <row r="19">
          <cell r="R19">
            <v>8.765039029278613E-3</v>
          </cell>
          <cell r="S19">
            <v>2.4347330636885038E-3</v>
          </cell>
        </row>
        <row r="94">
          <cell r="I94">
            <v>0.59421285392666068</v>
          </cell>
        </row>
        <row r="96">
          <cell r="J96">
            <v>0.1695765977691425</v>
          </cell>
        </row>
      </sheetData>
      <sheetData sheetId="16">
        <row r="6">
          <cell r="N6">
            <v>26849.137275667843</v>
          </cell>
        </row>
      </sheetData>
      <sheetData sheetId="17"/>
      <sheetData sheetId="18"/>
      <sheetData sheetId="19"/>
      <sheetData sheetId="20">
        <row r="9">
          <cell r="R9">
            <v>32625000</v>
          </cell>
        </row>
        <row r="11">
          <cell r="U11">
            <v>0.85</v>
          </cell>
        </row>
        <row r="14">
          <cell r="K14">
            <v>67.599999999999994</v>
          </cell>
        </row>
        <row r="16">
          <cell r="B16">
            <v>43330</v>
          </cell>
          <cell r="K16">
            <v>72.511520737327174</v>
          </cell>
        </row>
        <row r="22">
          <cell r="R22">
            <v>22.854734139999998</v>
          </cell>
          <cell r="U22">
            <v>0.41819423023000002</v>
          </cell>
        </row>
        <row r="25">
          <cell r="R25">
            <v>37.258945704780558</v>
          </cell>
        </row>
        <row r="27">
          <cell r="K27">
            <v>60.849162639091837</v>
          </cell>
        </row>
        <row r="28">
          <cell r="K28">
            <v>22</v>
          </cell>
        </row>
        <row r="30">
          <cell r="I30">
            <v>1.9236749116607777E-3</v>
          </cell>
          <cell r="K30">
            <v>19.2</v>
          </cell>
        </row>
        <row r="31">
          <cell r="B31">
            <v>50000</v>
          </cell>
        </row>
      </sheetData>
      <sheetData sheetId="21"/>
      <sheetData sheetId="22"/>
      <sheetData sheetId="23"/>
      <sheetData sheetId="24">
        <row r="11">
          <cell r="G11">
            <v>0.27731467397662501</v>
          </cell>
        </row>
        <row r="12">
          <cell r="G12">
            <v>1</v>
          </cell>
        </row>
        <row r="13">
          <cell r="G13">
            <v>0.43604752178703804</v>
          </cell>
        </row>
      </sheetData>
      <sheetData sheetId="25">
        <row r="27">
          <cell r="H27">
            <v>3272115.5</v>
          </cell>
        </row>
      </sheetData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iteseerx.ist.psu.edu/viewdoc/download?doi=10.1.1.201.5043&amp;rep=rep1&amp;type=pdf" TargetMode="External"/><Relationship Id="rId3" Type="http://schemas.openxmlformats.org/officeDocument/2006/relationships/hyperlink" Target="https://www.td.gov.hk/filemanager/en/content_4652/tcs2011_eng.pdf" TargetMode="External"/><Relationship Id="rId7" Type="http://schemas.openxmlformats.org/officeDocument/2006/relationships/hyperlink" Target="https://www.statistics.gov.hk/pub/B1120015072017XXXXB0100.pdf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thb.gov.hk/eng/boards/transport/land/Full_Eng_C_cover.pdf" TargetMode="External"/><Relationship Id="rId1" Type="http://schemas.openxmlformats.org/officeDocument/2006/relationships/hyperlink" Target="https://www.td.gov.hk/filemanager/en/content_4854/table21s.pdf" TargetMode="External"/><Relationship Id="rId6" Type="http://schemas.openxmlformats.org/officeDocument/2006/relationships/hyperlink" Target="https://www.statistics.gov.hk/pub/B1120015072017XXXXB0100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statistics.gov.hk/pub/B1120017042017XXXXB0100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td.gov.hk/filemanager/en/content_4880/1801.pdf" TargetMode="External"/><Relationship Id="rId9" Type="http://schemas.openxmlformats.org/officeDocument/2006/relationships/hyperlink" Target="https://www.cryogas.pl/pliki_do_pobrania/artykuly/20171110_Raport_LNG_Unilever_Link_Iveco_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4" sqref="B4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tabSelected="1" topLeftCell="R1" workbookViewId="0">
      <selection activeCell="AJ7" sqref="AJ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6.6369758061061539E-3</v>
      </c>
      <c r="C2" s="4">
        <f>C$5/(1-'Other Values'!$B$3)</f>
        <v>6.6369758061061539E-3</v>
      </c>
      <c r="D2" s="4">
        <f>D$5/(1-'Other Values'!$B$3)</f>
        <v>6.6369758061061539E-3</v>
      </c>
      <c r="E2" s="4">
        <f>E$5/(1-'Other Values'!$B$3)</f>
        <v>6.6369758061061539E-3</v>
      </c>
      <c r="F2" s="4">
        <f>F$5/(1-'Other Values'!$B$3)</f>
        <v>6.6369758061061539E-3</v>
      </c>
      <c r="G2" s="4">
        <f>G$5/(1-'Other Values'!$B$3)</f>
        <v>6.6369758061061539E-3</v>
      </c>
      <c r="H2" s="4">
        <f>H$5/(1-'Other Values'!$B$3)</f>
        <v>6.6369758061061539E-3</v>
      </c>
      <c r="I2" s="4">
        <f>I$5/(1-'Other Values'!$B$3)</f>
        <v>6.6369758061061539E-3</v>
      </c>
      <c r="J2" s="4">
        <f>J$5/(1-'Other Values'!$B$3)</f>
        <v>6.6369758061061539E-3</v>
      </c>
      <c r="K2" s="4">
        <f>K$5/(1-'Other Values'!$B$3)</f>
        <v>6.6369758061061539E-3</v>
      </c>
      <c r="L2" s="4">
        <f>L$5/(1-'Other Values'!$B$3)</f>
        <v>6.6369758061061539E-3</v>
      </c>
      <c r="M2" s="4">
        <f>M$5/(1-'Other Values'!$B$3)</f>
        <v>6.6369758061061539E-3</v>
      </c>
      <c r="N2" s="4">
        <f>N$5/(1-'Other Values'!$B$3)</f>
        <v>6.6369758061061539E-3</v>
      </c>
      <c r="O2" s="4">
        <f>O$5/(1-'Other Values'!$B$3)</f>
        <v>6.6369758061061539E-3</v>
      </c>
      <c r="P2" s="4">
        <f>P$5/(1-'Other Values'!$B$3)</f>
        <v>6.6369758061061539E-3</v>
      </c>
      <c r="Q2" s="4">
        <f>Q$5/(1-'Other Values'!$B$3)</f>
        <v>6.6369758061061539E-3</v>
      </c>
      <c r="R2" s="4">
        <f>R$5/(1-'Other Values'!$B$3)</f>
        <v>6.6369758061061539E-3</v>
      </c>
      <c r="S2" s="4">
        <f>S$5/(1-'Other Values'!$B$3)</f>
        <v>6.6369758061061539E-3</v>
      </c>
      <c r="T2" s="4">
        <f>T$5/(1-'Other Values'!$B$3)</f>
        <v>6.6369758061061539E-3</v>
      </c>
      <c r="U2" s="4">
        <f>U$5/(1-'Other Values'!$B$3)</f>
        <v>6.6369758061061539E-3</v>
      </c>
      <c r="V2" s="4">
        <f>V$5/(1-'Other Values'!$B$3)</f>
        <v>6.6369758061061539E-3</v>
      </c>
      <c r="W2" s="4">
        <f>W$5/(1-'Other Values'!$B$3)</f>
        <v>6.6369758061061539E-3</v>
      </c>
      <c r="X2" s="4">
        <f>X$5/(1-'Other Values'!$B$3)</f>
        <v>6.6369758061061539E-3</v>
      </c>
      <c r="Y2" s="4">
        <f>Y$5/(1-'Other Values'!$B$3)</f>
        <v>6.6369758061061539E-3</v>
      </c>
      <c r="Z2" s="4">
        <f>Z$5/(1-'Other Values'!$B$3)</f>
        <v>6.6369758061061539E-3</v>
      </c>
      <c r="AA2" s="4">
        <f>AA$5/(1-'Other Values'!$B$3)</f>
        <v>6.6369758061061539E-3</v>
      </c>
      <c r="AB2" s="4">
        <f>AB$5/(1-'Other Values'!$B$3)</f>
        <v>6.6369758061061539E-3</v>
      </c>
      <c r="AC2" s="4">
        <f>AC$5/(1-'Other Values'!$B$3)</f>
        <v>6.6369758061061539E-3</v>
      </c>
      <c r="AD2" s="4">
        <f>AD$5/(1-'Other Values'!$B$3)</f>
        <v>6.6369758061061539E-3</v>
      </c>
      <c r="AE2" s="4">
        <f>AE$5/(1-'Other Values'!$B$3)</f>
        <v>6.6369758061061539E-3</v>
      </c>
      <c r="AF2" s="4">
        <f>AF$5/(1-'Other Values'!$B$3)</f>
        <v>6.6369758061061539E-3</v>
      </c>
      <c r="AG2" s="4">
        <f>AG$5/(1-'Other Values'!$B$3)</f>
        <v>6.6369758061061539E-3</v>
      </c>
      <c r="AH2" s="4">
        <f>AH$5/(1-'Other Values'!$B$3)</f>
        <v>6.6369758061061539E-3</v>
      </c>
      <c r="AI2" s="4">
        <f>AI$5/(1-'Other Values'!$B$3)</f>
        <v>6.6369758061061539E-3</v>
      </c>
      <c r="AJ2" s="4">
        <f>AJ$5/(1-'Other Values'!$B$3)</f>
        <v>6.6369758061061539E-3</v>
      </c>
    </row>
    <row r="3" spans="1:36">
      <c r="A3" t="s">
        <v>3</v>
      </c>
      <c r="B3" s="4">
        <f>B$5</f>
        <v>2.0653580777070034E-3</v>
      </c>
      <c r="C3" s="4">
        <f t="shared" ref="C3:AJ4" si="0">C$5</f>
        <v>2.0653580777070034E-3</v>
      </c>
      <c r="D3" s="4">
        <f t="shared" si="0"/>
        <v>2.0653580777070034E-3</v>
      </c>
      <c r="E3" s="4">
        <f t="shared" si="0"/>
        <v>2.0653580777070034E-3</v>
      </c>
      <c r="F3" s="4">
        <f t="shared" si="0"/>
        <v>2.0653580777070034E-3</v>
      </c>
      <c r="G3" s="4">
        <f t="shared" si="0"/>
        <v>2.0653580777070034E-3</v>
      </c>
      <c r="H3" s="4">
        <f t="shared" si="0"/>
        <v>2.0653580777070034E-3</v>
      </c>
      <c r="I3" s="4">
        <f t="shared" si="0"/>
        <v>2.0653580777070034E-3</v>
      </c>
      <c r="J3" s="4">
        <f t="shared" si="0"/>
        <v>2.0653580777070034E-3</v>
      </c>
      <c r="K3" s="4">
        <f t="shared" si="0"/>
        <v>2.0653580777070034E-3</v>
      </c>
      <c r="L3" s="4">
        <f t="shared" si="0"/>
        <v>2.0653580777070034E-3</v>
      </c>
      <c r="M3" s="4">
        <f t="shared" si="0"/>
        <v>2.0653580777070034E-3</v>
      </c>
      <c r="N3" s="4">
        <f t="shared" si="0"/>
        <v>2.0653580777070034E-3</v>
      </c>
      <c r="O3" s="4">
        <f t="shared" si="0"/>
        <v>2.0653580777070034E-3</v>
      </c>
      <c r="P3" s="4">
        <f t="shared" si="0"/>
        <v>2.0653580777070034E-3</v>
      </c>
      <c r="Q3" s="4">
        <f t="shared" si="0"/>
        <v>2.0653580777070034E-3</v>
      </c>
      <c r="R3" s="4">
        <f t="shared" si="0"/>
        <v>2.0653580777070034E-3</v>
      </c>
      <c r="S3" s="4">
        <f t="shared" si="0"/>
        <v>2.0653580777070034E-3</v>
      </c>
      <c r="T3" s="4">
        <f t="shared" si="0"/>
        <v>2.0653580777070034E-3</v>
      </c>
      <c r="U3" s="4">
        <f t="shared" si="0"/>
        <v>2.0653580777070034E-3</v>
      </c>
      <c r="V3" s="4">
        <f t="shared" si="0"/>
        <v>2.0653580777070034E-3</v>
      </c>
      <c r="W3" s="4">
        <f t="shared" si="0"/>
        <v>2.0653580777070034E-3</v>
      </c>
      <c r="X3" s="4">
        <f t="shared" si="0"/>
        <v>2.0653580777070034E-3</v>
      </c>
      <c r="Y3" s="4">
        <f t="shared" si="0"/>
        <v>2.0653580777070034E-3</v>
      </c>
      <c r="Z3" s="4">
        <f t="shared" si="0"/>
        <v>2.0653580777070034E-3</v>
      </c>
      <c r="AA3" s="4">
        <f t="shared" si="0"/>
        <v>2.0653580777070034E-3</v>
      </c>
      <c r="AB3" s="4">
        <f t="shared" si="0"/>
        <v>2.0653580777070034E-3</v>
      </c>
      <c r="AC3" s="4">
        <f t="shared" si="0"/>
        <v>2.0653580777070034E-3</v>
      </c>
      <c r="AD3" s="4">
        <f t="shared" si="0"/>
        <v>2.0653580777070034E-3</v>
      </c>
      <c r="AE3" s="4">
        <f t="shared" si="0"/>
        <v>2.0653580777070034E-3</v>
      </c>
      <c r="AF3" s="4">
        <f t="shared" si="0"/>
        <v>2.0653580777070034E-3</v>
      </c>
      <c r="AG3" s="4">
        <f t="shared" si="0"/>
        <v>2.0653580777070034E-3</v>
      </c>
      <c r="AH3" s="4">
        <f t="shared" si="0"/>
        <v>2.0653580777070034E-3</v>
      </c>
      <c r="AI3" s="4">
        <f t="shared" si="0"/>
        <v>2.0653580777070034E-3</v>
      </c>
      <c r="AJ3" s="4">
        <f t="shared" si="0"/>
        <v>2.0653580777070034E-3</v>
      </c>
    </row>
    <row r="4" spans="1:36">
      <c r="A4" t="s">
        <v>4</v>
      </c>
      <c r="B4" s="4">
        <f>B$5</f>
        <v>2.0653580777070034E-3</v>
      </c>
      <c r="C4" s="4">
        <f t="shared" si="0"/>
        <v>2.0653580777070034E-3</v>
      </c>
      <c r="D4" s="4">
        <f t="shared" si="0"/>
        <v>2.0653580777070034E-3</v>
      </c>
      <c r="E4" s="4">
        <f t="shared" si="0"/>
        <v>2.0653580777070034E-3</v>
      </c>
      <c r="F4" s="4">
        <f t="shared" si="0"/>
        <v>2.0653580777070034E-3</v>
      </c>
      <c r="G4" s="4">
        <f t="shared" si="0"/>
        <v>2.0653580777070034E-3</v>
      </c>
      <c r="H4" s="4">
        <f t="shared" si="0"/>
        <v>2.0653580777070034E-3</v>
      </c>
      <c r="I4" s="4">
        <f t="shared" si="0"/>
        <v>2.0653580777070034E-3</v>
      </c>
      <c r="J4" s="4">
        <f t="shared" si="0"/>
        <v>2.0653580777070034E-3</v>
      </c>
      <c r="K4" s="4">
        <f t="shared" si="0"/>
        <v>2.0653580777070034E-3</v>
      </c>
      <c r="L4" s="4">
        <f t="shared" si="0"/>
        <v>2.0653580777070034E-3</v>
      </c>
      <c r="M4" s="4">
        <f t="shared" si="0"/>
        <v>2.0653580777070034E-3</v>
      </c>
      <c r="N4" s="4">
        <f t="shared" si="0"/>
        <v>2.0653580777070034E-3</v>
      </c>
      <c r="O4" s="4">
        <f t="shared" si="0"/>
        <v>2.0653580777070034E-3</v>
      </c>
      <c r="P4" s="4">
        <f t="shared" si="0"/>
        <v>2.0653580777070034E-3</v>
      </c>
      <c r="Q4" s="4">
        <f t="shared" si="0"/>
        <v>2.0653580777070034E-3</v>
      </c>
      <c r="R4" s="4">
        <f t="shared" si="0"/>
        <v>2.0653580777070034E-3</v>
      </c>
      <c r="S4" s="4">
        <f t="shared" si="0"/>
        <v>2.0653580777070034E-3</v>
      </c>
      <c r="T4" s="4">
        <f t="shared" si="0"/>
        <v>2.0653580777070034E-3</v>
      </c>
      <c r="U4" s="4">
        <f t="shared" si="0"/>
        <v>2.0653580777070034E-3</v>
      </c>
      <c r="V4" s="4">
        <f t="shared" si="0"/>
        <v>2.0653580777070034E-3</v>
      </c>
      <c r="W4" s="4">
        <f t="shared" si="0"/>
        <v>2.0653580777070034E-3</v>
      </c>
      <c r="X4" s="4">
        <f t="shared" si="0"/>
        <v>2.0653580777070034E-3</v>
      </c>
      <c r="Y4" s="4">
        <f t="shared" si="0"/>
        <v>2.0653580777070034E-3</v>
      </c>
      <c r="Z4" s="4">
        <f t="shared" si="0"/>
        <v>2.0653580777070034E-3</v>
      </c>
      <c r="AA4" s="4">
        <f t="shared" si="0"/>
        <v>2.0653580777070034E-3</v>
      </c>
      <c r="AB4" s="4">
        <f t="shared" si="0"/>
        <v>2.0653580777070034E-3</v>
      </c>
      <c r="AC4" s="4">
        <f t="shared" si="0"/>
        <v>2.0653580777070034E-3</v>
      </c>
      <c r="AD4" s="4">
        <f t="shared" si="0"/>
        <v>2.0653580777070034E-3</v>
      </c>
      <c r="AE4" s="4">
        <f t="shared" si="0"/>
        <v>2.0653580777070034E-3</v>
      </c>
      <c r="AF4" s="4">
        <f t="shared" si="0"/>
        <v>2.0653580777070034E-3</v>
      </c>
      <c r="AG4" s="4">
        <f t="shared" si="0"/>
        <v>2.0653580777070034E-3</v>
      </c>
      <c r="AH4" s="4">
        <f t="shared" si="0"/>
        <v>2.0653580777070034E-3</v>
      </c>
      <c r="AI4" s="4">
        <f t="shared" si="0"/>
        <v>2.0653580777070034E-3</v>
      </c>
      <c r="AJ4" s="4">
        <f t="shared" si="0"/>
        <v>2.0653580777070034E-3</v>
      </c>
    </row>
    <row r="5" spans="1:36">
      <c r="A5" t="s">
        <v>5</v>
      </c>
      <c r="B5" s="4">
        <f>'BUS DIESEL'!F6</f>
        <v>2.0653580777070034E-3</v>
      </c>
      <c r="C5" s="4">
        <f>$B$5</f>
        <v>2.0653580777070034E-3</v>
      </c>
      <c r="D5" s="4">
        <f t="shared" ref="D5:AJ5" si="1">$B$5</f>
        <v>2.0653580777070034E-3</v>
      </c>
      <c r="E5" s="4">
        <f t="shared" si="1"/>
        <v>2.0653580777070034E-3</v>
      </c>
      <c r="F5" s="4">
        <f t="shared" si="1"/>
        <v>2.0653580777070034E-3</v>
      </c>
      <c r="G5" s="4">
        <f t="shared" si="1"/>
        <v>2.0653580777070034E-3</v>
      </c>
      <c r="H5" s="4">
        <f t="shared" si="1"/>
        <v>2.0653580777070034E-3</v>
      </c>
      <c r="I5" s="4">
        <f t="shared" si="1"/>
        <v>2.0653580777070034E-3</v>
      </c>
      <c r="J5" s="4">
        <f t="shared" si="1"/>
        <v>2.0653580777070034E-3</v>
      </c>
      <c r="K5" s="4">
        <f t="shared" si="1"/>
        <v>2.0653580777070034E-3</v>
      </c>
      <c r="L5" s="4">
        <f t="shared" si="1"/>
        <v>2.0653580777070034E-3</v>
      </c>
      <c r="M5" s="4">
        <f t="shared" si="1"/>
        <v>2.0653580777070034E-3</v>
      </c>
      <c r="N5" s="4">
        <f t="shared" si="1"/>
        <v>2.0653580777070034E-3</v>
      </c>
      <c r="O5" s="4">
        <f t="shared" si="1"/>
        <v>2.0653580777070034E-3</v>
      </c>
      <c r="P5" s="4">
        <f t="shared" si="1"/>
        <v>2.0653580777070034E-3</v>
      </c>
      <c r="Q5" s="4">
        <f t="shared" si="1"/>
        <v>2.0653580777070034E-3</v>
      </c>
      <c r="R5" s="4">
        <f t="shared" si="1"/>
        <v>2.0653580777070034E-3</v>
      </c>
      <c r="S5" s="4">
        <f t="shared" si="1"/>
        <v>2.0653580777070034E-3</v>
      </c>
      <c r="T5" s="4">
        <f t="shared" si="1"/>
        <v>2.0653580777070034E-3</v>
      </c>
      <c r="U5" s="4">
        <f t="shared" si="1"/>
        <v>2.0653580777070034E-3</v>
      </c>
      <c r="V5" s="4">
        <f t="shared" si="1"/>
        <v>2.0653580777070034E-3</v>
      </c>
      <c r="W5" s="4">
        <f t="shared" si="1"/>
        <v>2.0653580777070034E-3</v>
      </c>
      <c r="X5" s="4">
        <f t="shared" si="1"/>
        <v>2.0653580777070034E-3</v>
      </c>
      <c r="Y5" s="4">
        <f t="shared" si="1"/>
        <v>2.0653580777070034E-3</v>
      </c>
      <c r="Z5" s="4">
        <f t="shared" si="1"/>
        <v>2.0653580777070034E-3</v>
      </c>
      <c r="AA5" s="4">
        <f t="shared" si="1"/>
        <v>2.0653580777070034E-3</v>
      </c>
      <c r="AB5" s="4">
        <f t="shared" si="1"/>
        <v>2.0653580777070034E-3</v>
      </c>
      <c r="AC5" s="4">
        <f t="shared" si="1"/>
        <v>2.0653580777070034E-3</v>
      </c>
      <c r="AD5" s="4">
        <f t="shared" si="1"/>
        <v>2.0653580777070034E-3</v>
      </c>
      <c r="AE5" s="4">
        <f t="shared" si="1"/>
        <v>2.0653580777070034E-3</v>
      </c>
      <c r="AF5" s="4">
        <f t="shared" si="1"/>
        <v>2.0653580777070034E-3</v>
      </c>
      <c r="AG5" s="4">
        <f t="shared" si="1"/>
        <v>2.0653580777070034E-3</v>
      </c>
      <c r="AH5" s="4">
        <f t="shared" si="1"/>
        <v>2.0653580777070034E-3</v>
      </c>
      <c r="AI5" s="4">
        <f t="shared" si="1"/>
        <v>2.0653580777070034E-3</v>
      </c>
      <c r="AJ5" s="4">
        <f t="shared" si="1"/>
        <v>2.0653580777070034E-3</v>
      </c>
    </row>
    <row r="6" spans="1:36">
      <c r="A6" t="s">
        <v>6</v>
      </c>
      <c r="B6" s="4">
        <f>B$5/(1-'Other Values'!$B$3)*'Other Values'!$B$6+B$5*(1-'Other Values'!$B$6)</f>
        <v>4.5797478283265362E-3</v>
      </c>
      <c r="C6" s="4">
        <f>C$5/(1-'Other Values'!$B$3)*'Other Values'!$B$6+C$5*(1-'Other Values'!$B$6)</f>
        <v>4.5797478283265362E-3</v>
      </c>
      <c r="D6" s="4">
        <f>D$5/(1-'Other Values'!$B$3)*'Other Values'!$B$6+D$5*(1-'Other Values'!$B$6)</f>
        <v>4.5797478283265362E-3</v>
      </c>
      <c r="E6" s="4">
        <f>E$5/(1-'Other Values'!$B$3)*'Other Values'!$B$6+E$5*(1-'Other Values'!$B$6)</f>
        <v>4.5797478283265362E-3</v>
      </c>
      <c r="F6" s="4">
        <f>F$5/(1-'Other Values'!$B$3)*'Other Values'!$B$6+F$5*(1-'Other Values'!$B$6)</f>
        <v>4.5797478283265362E-3</v>
      </c>
      <c r="G6" s="4">
        <f>G$5/(1-'Other Values'!$B$3)*'Other Values'!$B$6+G$5*(1-'Other Values'!$B$6)</f>
        <v>4.5797478283265362E-3</v>
      </c>
      <c r="H6" s="4">
        <f>H$5/(1-'Other Values'!$B$3)*'Other Values'!$B$6+H$5*(1-'Other Values'!$B$6)</f>
        <v>4.5797478283265362E-3</v>
      </c>
      <c r="I6" s="4">
        <f>I$5/(1-'Other Values'!$B$3)*'Other Values'!$B$6+I$5*(1-'Other Values'!$B$6)</f>
        <v>4.5797478283265362E-3</v>
      </c>
      <c r="J6" s="4">
        <f>J$5/(1-'Other Values'!$B$3)*'Other Values'!$B$6+J$5*(1-'Other Values'!$B$6)</f>
        <v>4.5797478283265362E-3</v>
      </c>
      <c r="K6" s="4">
        <f>K$5/(1-'Other Values'!$B$3)*'Other Values'!$B$6+K$5*(1-'Other Values'!$B$6)</f>
        <v>4.5797478283265362E-3</v>
      </c>
      <c r="L6" s="4">
        <f>L$5/(1-'Other Values'!$B$3)*'Other Values'!$B$6+L$5*(1-'Other Values'!$B$6)</f>
        <v>4.5797478283265362E-3</v>
      </c>
      <c r="M6" s="4">
        <f>M$5/(1-'Other Values'!$B$3)*'Other Values'!$B$6+M$5*(1-'Other Values'!$B$6)</f>
        <v>4.5797478283265362E-3</v>
      </c>
      <c r="N6" s="4">
        <f>N$5/(1-'Other Values'!$B$3)*'Other Values'!$B$6+N$5*(1-'Other Values'!$B$6)</f>
        <v>4.5797478283265362E-3</v>
      </c>
      <c r="O6" s="4">
        <f>O$5/(1-'Other Values'!$B$3)*'Other Values'!$B$6+O$5*(1-'Other Values'!$B$6)</f>
        <v>4.5797478283265362E-3</v>
      </c>
      <c r="P6" s="4">
        <f>P$5/(1-'Other Values'!$B$3)*'Other Values'!$B$6+P$5*(1-'Other Values'!$B$6)</f>
        <v>4.5797478283265362E-3</v>
      </c>
      <c r="Q6" s="4">
        <f>Q$5/(1-'Other Values'!$B$3)*'Other Values'!$B$6+Q$5*(1-'Other Values'!$B$6)</f>
        <v>4.5797478283265362E-3</v>
      </c>
      <c r="R6" s="4">
        <f>R$5/(1-'Other Values'!$B$3)*'Other Values'!$B$6+R$5*(1-'Other Values'!$B$6)</f>
        <v>4.5797478283265362E-3</v>
      </c>
      <c r="S6" s="4">
        <f>S$5/(1-'Other Values'!$B$3)*'Other Values'!$B$6+S$5*(1-'Other Values'!$B$6)</f>
        <v>4.5797478283265362E-3</v>
      </c>
      <c r="T6" s="4">
        <f>T$5/(1-'Other Values'!$B$3)*'Other Values'!$B$6+T$5*(1-'Other Values'!$B$6)</f>
        <v>4.5797478283265362E-3</v>
      </c>
      <c r="U6" s="4">
        <f>U$5/(1-'Other Values'!$B$3)*'Other Values'!$B$6+U$5*(1-'Other Values'!$B$6)</f>
        <v>4.5797478283265362E-3</v>
      </c>
      <c r="V6" s="4">
        <f>V$5/(1-'Other Values'!$B$3)*'Other Values'!$B$6+V$5*(1-'Other Values'!$B$6)</f>
        <v>4.5797478283265362E-3</v>
      </c>
      <c r="W6" s="4">
        <f>W$5/(1-'Other Values'!$B$3)*'Other Values'!$B$6+W$5*(1-'Other Values'!$B$6)</f>
        <v>4.5797478283265362E-3</v>
      </c>
      <c r="X6" s="4">
        <f>X$5/(1-'Other Values'!$B$3)*'Other Values'!$B$6+X$5*(1-'Other Values'!$B$6)</f>
        <v>4.5797478283265362E-3</v>
      </c>
      <c r="Y6" s="4">
        <f>Y$5/(1-'Other Values'!$B$3)*'Other Values'!$B$6+Y$5*(1-'Other Values'!$B$6)</f>
        <v>4.5797478283265362E-3</v>
      </c>
      <c r="Z6" s="4">
        <f>Z$5/(1-'Other Values'!$B$3)*'Other Values'!$B$6+Z$5*(1-'Other Values'!$B$6)</f>
        <v>4.5797478283265362E-3</v>
      </c>
      <c r="AA6" s="4">
        <f>AA$5/(1-'Other Values'!$B$3)*'Other Values'!$B$6+AA$5*(1-'Other Values'!$B$6)</f>
        <v>4.5797478283265362E-3</v>
      </c>
      <c r="AB6" s="4">
        <f>AB$5/(1-'Other Values'!$B$3)*'Other Values'!$B$6+AB$5*(1-'Other Values'!$B$6)</f>
        <v>4.5797478283265362E-3</v>
      </c>
      <c r="AC6" s="4">
        <f>AC$5/(1-'Other Values'!$B$3)*'Other Values'!$B$6+AC$5*(1-'Other Values'!$B$6)</f>
        <v>4.5797478283265362E-3</v>
      </c>
      <c r="AD6" s="4">
        <f>AD$5/(1-'Other Values'!$B$3)*'Other Values'!$B$6+AD$5*(1-'Other Values'!$B$6)</f>
        <v>4.5797478283265362E-3</v>
      </c>
      <c r="AE6" s="4">
        <f>AE$5/(1-'Other Values'!$B$3)*'Other Values'!$B$6+AE$5*(1-'Other Values'!$B$6)</f>
        <v>4.5797478283265362E-3</v>
      </c>
      <c r="AF6" s="4">
        <f>AF$5/(1-'Other Values'!$B$3)*'Other Values'!$B$6+AF$5*(1-'Other Values'!$B$6)</f>
        <v>4.5797478283265362E-3</v>
      </c>
      <c r="AG6" s="4">
        <f>AG$5/(1-'Other Values'!$B$3)*'Other Values'!$B$6+AG$5*(1-'Other Values'!$B$6)</f>
        <v>4.5797478283265362E-3</v>
      </c>
      <c r="AH6" s="4">
        <f>AH$5/(1-'Other Values'!$B$3)*'Other Values'!$B$6+AH$5*(1-'Other Values'!$B$6)</f>
        <v>4.5797478283265362E-3</v>
      </c>
      <c r="AI6" s="4">
        <f>AI$5/(1-'Other Values'!$B$3)*'Other Values'!$B$6+AI$5*(1-'Other Values'!$B$6)</f>
        <v>4.5797478283265362E-3</v>
      </c>
      <c r="AJ6" s="4">
        <f>AJ$5/(1-'Other Values'!$B$3)*'Other Values'!$B$6+AJ$5*(1-'Other Values'!$B$6)</f>
        <v>4.5797478283265362E-3</v>
      </c>
    </row>
    <row r="7" spans="1:36">
      <c r="A7" t="s">
        <v>56</v>
      </c>
      <c r="B7" s="4">
        <f>'Bus LPG'!F6</f>
        <v>5.3510477281848894E-3</v>
      </c>
      <c r="C7" s="4">
        <f>$B$7</f>
        <v>5.3510477281848894E-3</v>
      </c>
      <c r="D7" s="4">
        <f t="shared" ref="D7:AJ7" si="2">$B$7</f>
        <v>5.3510477281848894E-3</v>
      </c>
      <c r="E7" s="4">
        <f t="shared" si="2"/>
        <v>5.3510477281848894E-3</v>
      </c>
      <c r="F7" s="4">
        <f t="shared" si="2"/>
        <v>5.3510477281848894E-3</v>
      </c>
      <c r="G7" s="4">
        <f t="shared" si="2"/>
        <v>5.3510477281848894E-3</v>
      </c>
      <c r="H7" s="4">
        <f t="shared" si="2"/>
        <v>5.3510477281848894E-3</v>
      </c>
      <c r="I7" s="4">
        <f t="shared" si="2"/>
        <v>5.3510477281848894E-3</v>
      </c>
      <c r="J7" s="4">
        <f t="shared" si="2"/>
        <v>5.3510477281848894E-3</v>
      </c>
      <c r="K7" s="4">
        <f t="shared" si="2"/>
        <v>5.3510477281848894E-3</v>
      </c>
      <c r="L7" s="4">
        <f t="shared" si="2"/>
        <v>5.3510477281848894E-3</v>
      </c>
      <c r="M7" s="4">
        <f t="shared" si="2"/>
        <v>5.3510477281848894E-3</v>
      </c>
      <c r="N7" s="4">
        <f t="shared" si="2"/>
        <v>5.3510477281848894E-3</v>
      </c>
      <c r="O7" s="4">
        <f t="shared" si="2"/>
        <v>5.3510477281848894E-3</v>
      </c>
      <c r="P7" s="4">
        <f t="shared" si="2"/>
        <v>5.3510477281848894E-3</v>
      </c>
      <c r="Q7" s="4">
        <f t="shared" si="2"/>
        <v>5.3510477281848894E-3</v>
      </c>
      <c r="R7" s="4">
        <f t="shared" si="2"/>
        <v>5.3510477281848894E-3</v>
      </c>
      <c r="S7" s="4">
        <f t="shared" si="2"/>
        <v>5.3510477281848894E-3</v>
      </c>
      <c r="T7" s="4">
        <f t="shared" si="2"/>
        <v>5.3510477281848894E-3</v>
      </c>
      <c r="U7" s="4">
        <f t="shared" si="2"/>
        <v>5.3510477281848894E-3</v>
      </c>
      <c r="V7" s="4">
        <f t="shared" si="2"/>
        <v>5.3510477281848894E-3</v>
      </c>
      <c r="W7" s="4">
        <f t="shared" si="2"/>
        <v>5.3510477281848894E-3</v>
      </c>
      <c r="X7" s="4">
        <f t="shared" si="2"/>
        <v>5.3510477281848894E-3</v>
      </c>
      <c r="Y7" s="4">
        <f t="shared" si="2"/>
        <v>5.3510477281848894E-3</v>
      </c>
      <c r="Z7" s="4">
        <f t="shared" si="2"/>
        <v>5.3510477281848894E-3</v>
      </c>
      <c r="AA7" s="4">
        <f t="shared" si="2"/>
        <v>5.3510477281848894E-3</v>
      </c>
      <c r="AB7" s="4">
        <f t="shared" si="2"/>
        <v>5.3510477281848894E-3</v>
      </c>
      <c r="AC7" s="4">
        <f t="shared" si="2"/>
        <v>5.3510477281848894E-3</v>
      </c>
      <c r="AD7" s="4">
        <f t="shared" si="2"/>
        <v>5.3510477281848894E-3</v>
      </c>
      <c r="AE7" s="4">
        <f t="shared" si="2"/>
        <v>5.3510477281848894E-3</v>
      </c>
      <c r="AF7" s="4">
        <f t="shared" si="2"/>
        <v>5.3510477281848894E-3</v>
      </c>
      <c r="AG7" s="4">
        <f t="shared" si="2"/>
        <v>5.3510477281848894E-3</v>
      </c>
      <c r="AH7" s="4">
        <f t="shared" si="2"/>
        <v>5.3510477281848894E-3</v>
      </c>
      <c r="AI7" s="4">
        <f t="shared" si="2"/>
        <v>5.3510477281848894E-3</v>
      </c>
      <c r="AJ7" s="4">
        <f t="shared" si="2"/>
        <v>5.3510477281848894E-3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1.8916219071184379E-3</v>
      </c>
      <c r="C2" s="4">
        <f>C$5/(1-'Other Values'!$B$3)</f>
        <v>1.9230684545595313E-3</v>
      </c>
      <c r="D2" s="4">
        <f>D$5/(1-'Other Values'!$B$3)</f>
        <v>1.9545150020006136E-3</v>
      </c>
      <c r="E2" s="4">
        <f>E$5/(1-'Other Values'!$B$3)</f>
        <v>1.985961549441707E-3</v>
      </c>
      <c r="F2" s="4">
        <f>F$5/(1-'Other Values'!$B$3)</f>
        <v>2.0174080968828004E-3</v>
      </c>
      <c r="G2" s="4">
        <f>G$5/(1-'Other Values'!$B$3)</f>
        <v>2.0488546443238934E-3</v>
      </c>
      <c r="H2" s="4">
        <f>H$5/(1-'Other Values'!$B$3)</f>
        <v>2.0803011917649868E-3</v>
      </c>
      <c r="I2" s="4">
        <f>I$5/(1-'Other Values'!$B$3)</f>
        <v>2.1117477392060802E-3</v>
      </c>
      <c r="J2" s="4">
        <f>J$5/(1-'Other Values'!$B$3)</f>
        <v>2.1431942866471736E-3</v>
      </c>
      <c r="K2" s="4">
        <f>K$5/(1-'Other Values'!$B$3)</f>
        <v>2.174640834088267E-3</v>
      </c>
      <c r="L2" s="4">
        <f>L$5/(1-'Other Values'!$B$3)</f>
        <v>2.2060873815293604E-3</v>
      </c>
      <c r="M2" s="4">
        <f>M$5/(1-'Other Values'!$B$3)</f>
        <v>2.2375339289704538E-3</v>
      </c>
      <c r="N2" s="4">
        <f>N$5/(1-'Other Values'!$B$3)</f>
        <v>2.2689804764115472E-3</v>
      </c>
      <c r="O2" s="4">
        <f>O$5/(1-'Other Values'!$B$3)</f>
        <v>2.3004270238526294E-3</v>
      </c>
      <c r="P2" s="4">
        <f>P$5/(1-'Other Values'!$B$3)</f>
        <v>2.3318735712937228E-3</v>
      </c>
      <c r="Q2" s="4">
        <f>Q$5/(1-'Other Values'!$B$3)</f>
        <v>2.3633201187348157E-3</v>
      </c>
      <c r="R2" s="4">
        <f>R$5/(1-'Other Values'!$B$3)</f>
        <v>2.3947666661759091E-3</v>
      </c>
      <c r="S2" s="4">
        <f>S$5/(1-'Other Values'!$B$3)</f>
        <v>2.4262132136170025E-3</v>
      </c>
      <c r="T2" s="4">
        <f>T$5/(1-'Other Values'!$B$3)</f>
        <v>2.4576597610580959E-3</v>
      </c>
      <c r="U2" s="4">
        <f>U$5/(1-'Other Values'!$B$3)</f>
        <v>2.4891063084991893E-3</v>
      </c>
      <c r="V2" s="4">
        <f>V$5/(1-'Other Values'!$B$3)</f>
        <v>2.5205528559402827E-3</v>
      </c>
      <c r="W2" s="4">
        <f>W$5/(1-'Other Values'!$B$3)</f>
        <v>2.5519994033813762E-3</v>
      </c>
      <c r="X2" s="4">
        <f>X$5/(1-'Other Values'!$B$3)</f>
        <v>2.5834459508224696E-3</v>
      </c>
      <c r="Y2" s="4">
        <f>Y$5/(1-'Other Values'!$B$3)</f>
        <v>2.6148924982635517E-3</v>
      </c>
      <c r="Z2" s="4">
        <f>Z$5/(1-'Other Values'!$B$3)</f>
        <v>2.6463390457046451E-3</v>
      </c>
      <c r="AA2" s="4">
        <f>AA$5/(1-'Other Values'!$B$3)</f>
        <v>2.6777855931457385E-3</v>
      </c>
      <c r="AB2" s="4">
        <f>AB$5/(1-'Other Values'!$B$3)</f>
        <v>2.7092321405868315E-3</v>
      </c>
      <c r="AC2" s="4">
        <f>AC$5/(1-'Other Values'!$B$3)</f>
        <v>2.7406786880279249E-3</v>
      </c>
      <c r="AD2" s="4">
        <f>AD$5/(1-'Other Values'!$B$3)</f>
        <v>2.770109216682741E-3</v>
      </c>
      <c r="AE2" s="4">
        <f>AE$5/(1-'Other Values'!$B$3)</f>
        <v>2.8323696215427031E-3</v>
      </c>
      <c r="AF2" s="4">
        <f>AF$5/(1-'Other Values'!$B$3)</f>
        <v>2.946608210162494E-3</v>
      </c>
      <c r="AG2" s="4">
        <f>AG$5/(1-'Other Values'!$B$3)</f>
        <v>2.957742170837897E-3</v>
      </c>
      <c r="AH2" s="4">
        <f>AH$5/(1-'Other Values'!$B$3)</f>
        <v>2.9906891932578133E-3</v>
      </c>
      <c r="AI2" s="4">
        <f>AI$5/(1-'Other Values'!$B$3)</f>
        <v>3.0432333330902739E-3</v>
      </c>
      <c r="AJ2" s="4">
        <f>AJ$5/(1-'Other Values'!$B$3)</f>
        <v>3.0959439305911548E-3</v>
      </c>
    </row>
    <row r="3" spans="1:36">
      <c r="A3" t="s">
        <v>3</v>
      </c>
      <c r="B3" s="4">
        <f>B$5</f>
        <v>5.8865313057796388E-4</v>
      </c>
      <c r="C3" s="4">
        <f t="shared" ref="C3:AJ4" si="0">C$5</f>
        <v>5.9843897019390836E-4</v>
      </c>
      <c r="D3" s="4">
        <f t="shared" si="0"/>
        <v>6.0822480980984937E-4</v>
      </c>
      <c r="E3" s="4">
        <f t="shared" si="0"/>
        <v>6.1801064942579385E-4</v>
      </c>
      <c r="F3" s="4">
        <f t="shared" si="0"/>
        <v>6.2779648904173833E-4</v>
      </c>
      <c r="G3" s="4">
        <f t="shared" si="0"/>
        <v>6.3758232865768281E-4</v>
      </c>
      <c r="H3" s="4">
        <f t="shared" si="0"/>
        <v>6.4736816827362729E-4</v>
      </c>
      <c r="I3" s="4">
        <f t="shared" si="0"/>
        <v>6.5715400788957177E-4</v>
      </c>
      <c r="J3" s="4">
        <f t="shared" si="0"/>
        <v>6.6693984750551625E-4</v>
      </c>
      <c r="K3" s="4">
        <f t="shared" si="0"/>
        <v>6.7672568712146073E-4</v>
      </c>
      <c r="L3" s="4">
        <f t="shared" si="0"/>
        <v>6.8651152673740521E-4</v>
      </c>
      <c r="M3" s="4">
        <f t="shared" si="0"/>
        <v>6.9629736635334969E-4</v>
      </c>
      <c r="N3" s="4">
        <f t="shared" si="0"/>
        <v>7.0608320596929417E-4</v>
      </c>
      <c r="O3" s="4">
        <f t="shared" si="0"/>
        <v>7.1586904558523518E-4</v>
      </c>
      <c r="P3" s="4">
        <f t="shared" si="0"/>
        <v>7.2565488520117967E-4</v>
      </c>
      <c r="Q3" s="4">
        <f t="shared" si="0"/>
        <v>7.3544072481712415E-4</v>
      </c>
      <c r="R3" s="4">
        <f t="shared" si="0"/>
        <v>7.4522656443306863E-4</v>
      </c>
      <c r="S3" s="4">
        <f t="shared" si="0"/>
        <v>7.5501240404901311E-4</v>
      </c>
      <c r="T3" s="4">
        <f t="shared" si="0"/>
        <v>7.6479824366495759E-4</v>
      </c>
      <c r="U3" s="4">
        <f t="shared" si="0"/>
        <v>7.7458408328090207E-4</v>
      </c>
      <c r="V3" s="4">
        <f t="shared" si="0"/>
        <v>7.8436992289684655E-4</v>
      </c>
      <c r="W3" s="4">
        <f t="shared" si="0"/>
        <v>7.9415576251279103E-4</v>
      </c>
      <c r="X3" s="4">
        <f t="shared" si="0"/>
        <v>8.0394160212873551E-4</v>
      </c>
      <c r="Y3" s="4">
        <f t="shared" si="0"/>
        <v>8.1372744174467652E-4</v>
      </c>
      <c r="Z3" s="4">
        <f t="shared" si="0"/>
        <v>8.23513281360621E-4</v>
      </c>
      <c r="AA3" s="4">
        <f t="shared" si="0"/>
        <v>8.3329912097656548E-4</v>
      </c>
      <c r="AB3" s="4">
        <f t="shared" si="0"/>
        <v>8.4308496059250996E-4</v>
      </c>
      <c r="AC3" s="4">
        <f t="shared" si="0"/>
        <v>8.5287080020845444E-4</v>
      </c>
      <c r="AD3" s="4">
        <f t="shared" si="0"/>
        <v>8.6202927567441716E-4</v>
      </c>
      <c r="AE3" s="4">
        <f t="shared" si="0"/>
        <v>8.8140406832930762E-4</v>
      </c>
      <c r="AF3" s="4">
        <f t="shared" si="0"/>
        <v>9.1695393300934153E-4</v>
      </c>
      <c r="AG3" s="4">
        <f t="shared" si="0"/>
        <v>9.2041870616651632E-4</v>
      </c>
      <c r="AH3" s="4">
        <f t="shared" si="0"/>
        <v>9.306714780432442E-4</v>
      </c>
      <c r="AI3" s="4">
        <f t="shared" si="0"/>
        <v>9.4702266973197924E-4</v>
      </c>
      <c r="AJ3" s="4">
        <f t="shared" si="0"/>
        <v>9.6342566132177042E-4</v>
      </c>
    </row>
    <row r="4" spans="1:36">
      <c r="A4" t="s">
        <v>4</v>
      </c>
      <c r="B4" s="4">
        <f>B$5</f>
        <v>5.8865313057796388E-4</v>
      </c>
      <c r="C4" s="4">
        <f t="shared" si="0"/>
        <v>5.9843897019390836E-4</v>
      </c>
      <c r="D4" s="4">
        <f t="shared" si="0"/>
        <v>6.0822480980984937E-4</v>
      </c>
      <c r="E4" s="4">
        <f t="shared" si="0"/>
        <v>6.1801064942579385E-4</v>
      </c>
      <c r="F4" s="4">
        <f t="shared" si="0"/>
        <v>6.2779648904173833E-4</v>
      </c>
      <c r="G4" s="4">
        <f t="shared" si="0"/>
        <v>6.3758232865768281E-4</v>
      </c>
      <c r="H4" s="4">
        <f t="shared" si="0"/>
        <v>6.4736816827362729E-4</v>
      </c>
      <c r="I4" s="4">
        <f t="shared" si="0"/>
        <v>6.5715400788957177E-4</v>
      </c>
      <c r="J4" s="4">
        <f t="shared" si="0"/>
        <v>6.6693984750551625E-4</v>
      </c>
      <c r="K4" s="4">
        <f t="shared" si="0"/>
        <v>6.7672568712146073E-4</v>
      </c>
      <c r="L4" s="4">
        <f t="shared" si="0"/>
        <v>6.8651152673740521E-4</v>
      </c>
      <c r="M4" s="4">
        <f t="shared" si="0"/>
        <v>6.9629736635334969E-4</v>
      </c>
      <c r="N4" s="4">
        <f t="shared" si="0"/>
        <v>7.0608320596929417E-4</v>
      </c>
      <c r="O4" s="4">
        <f t="shared" si="0"/>
        <v>7.1586904558523518E-4</v>
      </c>
      <c r="P4" s="4">
        <f t="shared" si="0"/>
        <v>7.2565488520117967E-4</v>
      </c>
      <c r="Q4" s="4">
        <f t="shared" si="0"/>
        <v>7.3544072481712415E-4</v>
      </c>
      <c r="R4" s="4">
        <f t="shared" si="0"/>
        <v>7.4522656443306863E-4</v>
      </c>
      <c r="S4" s="4">
        <f t="shared" si="0"/>
        <v>7.5501240404901311E-4</v>
      </c>
      <c r="T4" s="4">
        <f t="shared" si="0"/>
        <v>7.6479824366495759E-4</v>
      </c>
      <c r="U4" s="4">
        <f t="shared" si="0"/>
        <v>7.7458408328090207E-4</v>
      </c>
      <c r="V4" s="4">
        <f t="shared" si="0"/>
        <v>7.8436992289684655E-4</v>
      </c>
      <c r="W4" s="4">
        <f t="shared" si="0"/>
        <v>7.9415576251279103E-4</v>
      </c>
      <c r="X4" s="4">
        <f t="shared" si="0"/>
        <v>8.0394160212873551E-4</v>
      </c>
      <c r="Y4" s="4">
        <f t="shared" si="0"/>
        <v>8.1372744174467652E-4</v>
      </c>
      <c r="Z4" s="4">
        <f t="shared" si="0"/>
        <v>8.23513281360621E-4</v>
      </c>
      <c r="AA4" s="4">
        <f t="shared" si="0"/>
        <v>8.3329912097656548E-4</v>
      </c>
      <c r="AB4" s="4">
        <f t="shared" si="0"/>
        <v>8.4308496059250996E-4</v>
      </c>
      <c r="AC4" s="4">
        <f t="shared" si="0"/>
        <v>8.5287080020845444E-4</v>
      </c>
      <c r="AD4" s="4">
        <f t="shared" si="0"/>
        <v>8.6202927567441716E-4</v>
      </c>
      <c r="AE4" s="4">
        <f t="shared" si="0"/>
        <v>8.8140406832930762E-4</v>
      </c>
      <c r="AF4" s="4">
        <f t="shared" si="0"/>
        <v>9.1695393300934153E-4</v>
      </c>
      <c r="AG4" s="4">
        <f t="shared" si="0"/>
        <v>9.2041870616651632E-4</v>
      </c>
      <c r="AH4" s="4">
        <f t="shared" si="0"/>
        <v>9.306714780432442E-4</v>
      </c>
      <c r="AI4" s="4">
        <f t="shared" si="0"/>
        <v>9.4702266973197924E-4</v>
      </c>
      <c r="AJ4" s="4">
        <f t="shared" si="0"/>
        <v>9.6342566132177042E-4</v>
      </c>
    </row>
    <row r="5" spans="1:36">
      <c r="A5" t="s">
        <v>5</v>
      </c>
      <c r="B5" s="4">
        <f>Extrapolations!I5</f>
        <v>5.8865313057796388E-4</v>
      </c>
      <c r="C5" s="4">
        <f>Extrapolations!J5</f>
        <v>5.9843897019390836E-4</v>
      </c>
      <c r="D5" s="4">
        <f>Extrapolations!K5</f>
        <v>6.0822480980984937E-4</v>
      </c>
      <c r="E5" s="4">
        <f>Extrapolations!L5</f>
        <v>6.1801064942579385E-4</v>
      </c>
      <c r="F5" s="4">
        <f>Extrapolations!M5</f>
        <v>6.2779648904173833E-4</v>
      </c>
      <c r="G5" s="4">
        <f>Extrapolations!N5</f>
        <v>6.3758232865768281E-4</v>
      </c>
      <c r="H5" s="4">
        <f>Extrapolations!O5</f>
        <v>6.4736816827362729E-4</v>
      </c>
      <c r="I5" s="4">
        <f>Extrapolations!P5</f>
        <v>6.5715400788957177E-4</v>
      </c>
      <c r="J5" s="4">
        <f>Extrapolations!Q5</f>
        <v>6.6693984750551625E-4</v>
      </c>
      <c r="K5" s="4">
        <f>Extrapolations!R5</f>
        <v>6.7672568712146073E-4</v>
      </c>
      <c r="L5" s="4">
        <f>Extrapolations!S5</f>
        <v>6.8651152673740521E-4</v>
      </c>
      <c r="M5" s="4">
        <f>Extrapolations!T5</f>
        <v>6.9629736635334969E-4</v>
      </c>
      <c r="N5" s="4">
        <f>Extrapolations!U5</f>
        <v>7.0608320596929417E-4</v>
      </c>
      <c r="O5" s="4">
        <f>Extrapolations!V5</f>
        <v>7.1586904558523518E-4</v>
      </c>
      <c r="P5" s="4">
        <f>Extrapolations!W5</f>
        <v>7.2565488520117967E-4</v>
      </c>
      <c r="Q5" s="4">
        <f>Extrapolations!X5</f>
        <v>7.3544072481712415E-4</v>
      </c>
      <c r="R5" s="4">
        <f>Extrapolations!Y5</f>
        <v>7.4522656443306863E-4</v>
      </c>
      <c r="S5" s="4">
        <f>Extrapolations!Z5</f>
        <v>7.5501240404901311E-4</v>
      </c>
      <c r="T5" s="4">
        <f>Extrapolations!AA5</f>
        <v>7.6479824366495759E-4</v>
      </c>
      <c r="U5" s="4">
        <f>Extrapolations!AB5</f>
        <v>7.7458408328090207E-4</v>
      </c>
      <c r="V5" s="4">
        <f>Extrapolations!AC5</f>
        <v>7.8436992289684655E-4</v>
      </c>
      <c r="W5" s="4">
        <f>Extrapolations!AD5</f>
        <v>7.9415576251279103E-4</v>
      </c>
      <c r="X5" s="4">
        <f>Extrapolations!AE5</f>
        <v>8.0394160212873551E-4</v>
      </c>
      <c r="Y5" s="4">
        <f>Extrapolations!AF5</f>
        <v>8.1372744174467652E-4</v>
      </c>
      <c r="Z5" s="4">
        <f>Extrapolations!AG5</f>
        <v>8.23513281360621E-4</v>
      </c>
      <c r="AA5" s="4">
        <f>Extrapolations!AH5</f>
        <v>8.3329912097656548E-4</v>
      </c>
      <c r="AB5" s="4">
        <f>Extrapolations!AI5</f>
        <v>8.4308496059250996E-4</v>
      </c>
      <c r="AC5" s="4">
        <f>Extrapolations!AJ5</f>
        <v>8.5287080020845444E-4</v>
      </c>
      <c r="AD5" s="4">
        <f>Extrapolations!AK5</f>
        <v>8.6202927567441716E-4</v>
      </c>
      <c r="AE5" s="4">
        <f>Extrapolations!AL5</f>
        <v>8.8140406832930762E-4</v>
      </c>
      <c r="AF5" s="4">
        <f>Extrapolations!AM5</f>
        <v>9.1695393300934153E-4</v>
      </c>
      <c r="AG5" s="4">
        <f>Extrapolations!AN5</f>
        <v>9.2041870616651632E-4</v>
      </c>
      <c r="AH5" s="4">
        <f>Extrapolations!AO5</f>
        <v>9.306714780432442E-4</v>
      </c>
      <c r="AI5" s="4">
        <f>Extrapolations!AP5</f>
        <v>9.4702266973197924E-4</v>
      </c>
      <c r="AJ5" s="4">
        <f>Extrapolations!AQ5</f>
        <v>9.6342566132177042E-4</v>
      </c>
    </row>
    <row r="6" spans="1:36">
      <c r="A6" t="s">
        <v>6</v>
      </c>
      <c r="B6" s="4">
        <f>B$5/(1-'Other Values'!$B$3)*'Other Values'!$B$6+B$5*(1-'Other Values'!$B$6)</f>
        <v>1.3052859576752245E-3</v>
      </c>
      <c r="C6" s="4">
        <f>C$5/(1-'Other Values'!$B$3)*'Other Values'!$B$6+C$5*(1-'Other Values'!$B$6)</f>
        <v>1.3269851865950011E-3</v>
      </c>
      <c r="D6" s="4">
        <f>D$5/(1-'Other Values'!$B$3)*'Other Values'!$B$6+D$5*(1-'Other Values'!$B$6)</f>
        <v>1.3486844155147699E-3</v>
      </c>
      <c r="E6" s="4">
        <f>E$5/(1-'Other Values'!$B$3)*'Other Values'!$B$6+E$5*(1-'Other Values'!$B$6)</f>
        <v>1.3703836444345463E-3</v>
      </c>
      <c r="F6" s="4">
        <f>F$5/(1-'Other Values'!$B$3)*'Other Values'!$B$6+F$5*(1-'Other Values'!$B$6)</f>
        <v>1.3920828733543225E-3</v>
      </c>
      <c r="G6" s="4">
        <f>G$5/(1-'Other Values'!$B$3)*'Other Values'!$B$6+G$5*(1-'Other Values'!$B$6)</f>
        <v>1.4137821022740986E-3</v>
      </c>
      <c r="H6" s="4">
        <f>H$5/(1-'Other Values'!$B$3)*'Other Values'!$B$6+H$5*(1-'Other Values'!$B$6)</f>
        <v>1.4354813311938752E-3</v>
      </c>
      <c r="I6" s="4">
        <f>I$5/(1-'Other Values'!$B$3)*'Other Values'!$B$6+I$5*(1-'Other Values'!$B$6)</f>
        <v>1.4571805601136516E-3</v>
      </c>
      <c r="J6" s="4">
        <f>J$5/(1-'Other Values'!$B$3)*'Other Values'!$B$6+J$5*(1-'Other Values'!$B$6)</f>
        <v>1.4788797890334278E-3</v>
      </c>
      <c r="K6" s="4">
        <f>K$5/(1-'Other Values'!$B$3)*'Other Values'!$B$6+K$5*(1-'Other Values'!$B$6)</f>
        <v>1.5005790179532042E-3</v>
      </c>
      <c r="L6" s="4">
        <f>L$5/(1-'Other Values'!$B$3)*'Other Values'!$B$6+L$5*(1-'Other Values'!$B$6)</f>
        <v>1.5222782468729806E-3</v>
      </c>
      <c r="M6" s="4">
        <f>M$5/(1-'Other Values'!$B$3)*'Other Values'!$B$6+M$5*(1-'Other Values'!$B$6)</f>
        <v>1.5439774757927572E-3</v>
      </c>
      <c r="N6" s="4">
        <f>N$5/(1-'Other Values'!$B$3)*'Other Values'!$B$6+N$5*(1-'Other Values'!$B$6)</f>
        <v>1.5656767047125336E-3</v>
      </c>
      <c r="O6" s="4">
        <f>O$5/(1-'Other Values'!$B$3)*'Other Values'!$B$6+O$5*(1-'Other Values'!$B$6)</f>
        <v>1.5873759336323019E-3</v>
      </c>
      <c r="P6" s="4">
        <f>P$5/(1-'Other Values'!$B$3)*'Other Values'!$B$6+P$5*(1-'Other Values'!$B$6)</f>
        <v>1.6090751625520785E-3</v>
      </c>
      <c r="Q6" s="4">
        <f>Q$5/(1-'Other Values'!$B$3)*'Other Values'!$B$6+Q$5*(1-'Other Values'!$B$6)</f>
        <v>1.6307743914718547E-3</v>
      </c>
      <c r="R6" s="4">
        <f>R$5/(1-'Other Values'!$B$3)*'Other Values'!$B$6+R$5*(1-'Other Values'!$B$6)</f>
        <v>1.6524736203916311E-3</v>
      </c>
      <c r="S6" s="4">
        <f>S$5/(1-'Other Values'!$B$3)*'Other Values'!$B$6+S$5*(1-'Other Values'!$B$6)</f>
        <v>1.6741728493114075E-3</v>
      </c>
      <c r="T6" s="4">
        <f>T$5/(1-'Other Values'!$B$3)*'Other Values'!$B$6+T$5*(1-'Other Values'!$B$6)</f>
        <v>1.6958720782311836E-3</v>
      </c>
      <c r="U6" s="4">
        <f>U$5/(1-'Other Values'!$B$3)*'Other Values'!$B$6+U$5*(1-'Other Values'!$B$6)</f>
        <v>1.7175713071509602E-3</v>
      </c>
      <c r="V6" s="4">
        <f>V$5/(1-'Other Values'!$B$3)*'Other Values'!$B$6+V$5*(1-'Other Values'!$B$6)</f>
        <v>1.7392705360707366E-3</v>
      </c>
      <c r="W6" s="4">
        <f>W$5/(1-'Other Values'!$B$3)*'Other Values'!$B$6+W$5*(1-'Other Values'!$B$6)</f>
        <v>1.760969764990513E-3</v>
      </c>
      <c r="X6" s="4">
        <f>X$5/(1-'Other Values'!$B$3)*'Other Values'!$B$6+X$5*(1-'Other Values'!$B$6)</f>
        <v>1.7826689939102894E-3</v>
      </c>
      <c r="Y6" s="4">
        <f>Y$5/(1-'Other Values'!$B$3)*'Other Values'!$B$6+Y$5*(1-'Other Values'!$B$6)</f>
        <v>1.804368222830058E-3</v>
      </c>
      <c r="Z6" s="4">
        <f>Z$5/(1-'Other Values'!$B$3)*'Other Values'!$B$6+Z$5*(1-'Other Values'!$B$6)</f>
        <v>1.8260674517498344E-3</v>
      </c>
      <c r="AA6" s="4">
        <f>AA$5/(1-'Other Values'!$B$3)*'Other Values'!$B$6+AA$5*(1-'Other Values'!$B$6)</f>
        <v>1.8477666806696108E-3</v>
      </c>
      <c r="AB6" s="4">
        <f>AB$5/(1-'Other Values'!$B$3)*'Other Values'!$B$6+AB$5*(1-'Other Values'!$B$6)</f>
        <v>1.8694659095893867E-3</v>
      </c>
      <c r="AC6" s="4">
        <f>AC$5/(1-'Other Values'!$B$3)*'Other Values'!$B$6+AC$5*(1-'Other Values'!$B$6)</f>
        <v>1.8911651385091631E-3</v>
      </c>
      <c r="AD6" s="4">
        <f>AD$5/(1-'Other Values'!$B$3)*'Other Values'!$B$6+AD$5*(1-'Other Values'!$B$6)</f>
        <v>1.9114732432289954E-3</v>
      </c>
      <c r="AE6" s="4">
        <f>AE$5/(1-'Other Values'!$B$3)*'Other Values'!$B$6+AE$5*(1-'Other Values'!$B$6)</f>
        <v>1.954435122596675E-3</v>
      </c>
      <c r="AF6" s="4">
        <f>AF$5/(1-'Other Values'!$B$3)*'Other Values'!$B$6+AF$5*(1-'Other Values'!$B$6)</f>
        <v>2.0332637854435756E-3</v>
      </c>
      <c r="AG6" s="4">
        <f>AG$5/(1-'Other Values'!$B$3)*'Other Values'!$B$6+AG$5*(1-'Other Values'!$B$6)</f>
        <v>2.0409466117357758E-3</v>
      </c>
      <c r="AH6" s="4">
        <f>AH$5/(1-'Other Values'!$B$3)*'Other Values'!$B$6+AH$5*(1-'Other Values'!$B$6)</f>
        <v>2.0636812214112573E-3</v>
      </c>
      <c r="AI6" s="4">
        <f>AI$5/(1-'Other Values'!$B$3)*'Other Values'!$B$6+AI$5*(1-'Other Values'!$B$6)</f>
        <v>2.0999385345790412E-3</v>
      </c>
      <c r="AJ6" s="4">
        <f>AJ$5/(1-'Other Values'!$B$3)*'Other Values'!$B$6+AJ$5*(1-'Other Values'!$B$6)</f>
        <v>2.1363107094199319E-3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4.3084909496441358E-4</v>
      </c>
      <c r="C7" s="4">
        <f>Extrapolations!N6</f>
        <v>4.3312200044517534E-4</v>
      </c>
      <c r="D7" s="4">
        <f>Extrapolations!O6</f>
        <v>4.3539490592593624E-4</v>
      </c>
      <c r="E7" s="4">
        <f>Extrapolations!P6</f>
        <v>4.3766781140669713E-4</v>
      </c>
      <c r="F7" s="4">
        <f>Extrapolations!Q6</f>
        <v>4.3994071688745889E-4</v>
      </c>
      <c r="G7" s="4">
        <f>Extrapolations!R6</f>
        <v>4.4221362236821979E-4</v>
      </c>
      <c r="H7" s="4">
        <f>Extrapolations!S6</f>
        <v>4.4448652784898068E-4</v>
      </c>
      <c r="I7" s="4">
        <f>Extrapolations!T6</f>
        <v>4.4675943332974245E-4</v>
      </c>
      <c r="J7" s="4">
        <f>Extrapolations!U6</f>
        <v>4.4903233881050334E-4</v>
      </c>
      <c r="K7" s="4">
        <f>Extrapolations!V6</f>
        <v>4.5130524429126424E-4</v>
      </c>
      <c r="L7" s="4">
        <f>Extrapolations!W6</f>
        <v>4.53578149772026E-4</v>
      </c>
      <c r="M7" s="4">
        <f>Extrapolations!X6</f>
        <v>4.5585105525278689E-4</v>
      </c>
      <c r="N7" s="4">
        <f>Extrapolations!Y6</f>
        <v>4.5812396073354779E-4</v>
      </c>
      <c r="O7" s="4">
        <f>Extrapolations!Z6</f>
        <v>4.6039686621430955E-4</v>
      </c>
      <c r="P7" s="4">
        <f>Extrapolations!AA6</f>
        <v>4.6266977169507045E-4</v>
      </c>
      <c r="Q7" s="4">
        <f>Extrapolations!AB6</f>
        <v>4.6494267717583221E-4</v>
      </c>
      <c r="R7" s="4">
        <f>Extrapolations!AC6</f>
        <v>4.672155826565931E-4</v>
      </c>
      <c r="S7" s="4">
        <f>Extrapolations!AD6</f>
        <v>4.69488488137354E-4</v>
      </c>
      <c r="T7" s="4">
        <f>Extrapolations!AE6</f>
        <v>4.7176139361811576E-4</v>
      </c>
      <c r="U7" s="4">
        <f>Extrapolations!AF6</f>
        <v>4.7403429909887666E-4</v>
      </c>
      <c r="V7" s="4">
        <f>Extrapolations!AG6</f>
        <v>4.7630720457963755E-4</v>
      </c>
      <c r="W7" s="4">
        <f>Extrapolations!AH6</f>
        <v>4.7858011006039931E-4</v>
      </c>
      <c r="X7" s="4">
        <f>Extrapolations!AI6</f>
        <v>4.8085301554116021E-4</v>
      </c>
      <c r="Y7" s="4">
        <f>Extrapolations!AJ6</f>
        <v>4.831259210219211E-4</v>
      </c>
      <c r="Z7" s="4">
        <f>Extrapolations!AK6</f>
        <v>4.8938430261690022E-4</v>
      </c>
      <c r="AA7" s="4">
        <f>Extrapolations!AL6</f>
        <v>4.9094930125429513E-4</v>
      </c>
      <c r="AB7" s="4">
        <f>Extrapolations!AM6</f>
        <v>4.9015296740417727E-4</v>
      </c>
      <c r="AC7" s="4">
        <f>Extrapolations!AN6</f>
        <v>4.9002718091810653E-4</v>
      </c>
      <c r="AD7" s="4">
        <f>Extrapolations!AO6</f>
        <v>4.8834101036056721E-4</v>
      </c>
      <c r="AE7" s="4">
        <f>Extrapolations!AP6</f>
        <v>4.9090237763877006E-4</v>
      </c>
      <c r="AF7" s="4">
        <f>Extrapolations!AQ6</f>
        <v>4.9363046291435334E-4</v>
      </c>
      <c r="AG7" s="4">
        <f>Extrapolations!AR6</f>
        <v>4.9672649529711762E-4</v>
      </c>
      <c r="AH7" s="4">
        <f>Extrapolations!AS6</f>
        <v>4.9947333327800606E-4</v>
      </c>
      <c r="AI7" s="4">
        <f>Extrapolations!AT6</f>
        <v>4.9860284908454942E-4</v>
      </c>
      <c r="AJ7" s="4">
        <f>Extrapolations!AU6</f>
        <v>5.0509516951304531E-4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7.2676555894299986E-5</v>
      </c>
      <c r="C7" s="4">
        <f>Extrapolations!N7</f>
        <v>7.4430678754561092E-5</v>
      </c>
      <c r="D7" s="4">
        <f>Extrapolations!O7</f>
        <v>7.6184801614821764E-5</v>
      </c>
      <c r="E7" s="4">
        <f>Extrapolations!P7</f>
        <v>7.7938924475082436E-5</v>
      </c>
      <c r="F7" s="4">
        <f>Extrapolations!Q7</f>
        <v>7.9693047335343542E-5</v>
      </c>
      <c r="G7" s="4">
        <f>Extrapolations!R7</f>
        <v>8.1447170195604214E-5</v>
      </c>
      <c r="H7" s="4">
        <f>Extrapolations!S7</f>
        <v>8.3201293055865319E-5</v>
      </c>
      <c r="I7" s="4">
        <f>Extrapolations!T7</f>
        <v>8.4955415916125991E-5</v>
      </c>
      <c r="J7" s="4">
        <f>Extrapolations!U7</f>
        <v>8.6709538776387097E-5</v>
      </c>
      <c r="K7" s="4">
        <f>Extrapolations!V7</f>
        <v>8.8463661636647769E-5</v>
      </c>
      <c r="L7" s="4">
        <f>Extrapolations!W7</f>
        <v>9.0217784496908875E-5</v>
      </c>
      <c r="M7" s="4">
        <f>Extrapolations!X7</f>
        <v>9.1971907357169547E-5</v>
      </c>
      <c r="N7" s="4">
        <f>Extrapolations!Y7</f>
        <v>9.3726030217430653E-5</v>
      </c>
      <c r="O7" s="4">
        <f>Extrapolations!Z7</f>
        <v>9.5480153077691325E-5</v>
      </c>
      <c r="P7" s="4">
        <f>Extrapolations!AA7</f>
        <v>9.723427593795243E-5</v>
      </c>
      <c r="Q7" s="4">
        <f>Extrapolations!AB7</f>
        <v>9.8988398798213103E-5</v>
      </c>
      <c r="R7" s="4">
        <f>Extrapolations!AC7</f>
        <v>1.0074252165847421E-4</v>
      </c>
      <c r="S7" s="4">
        <f>Extrapolations!AD7</f>
        <v>1.0249664451873488E-4</v>
      </c>
      <c r="T7" s="4">
        <f>Extrapolations!AE7</f>
        <v>1.0425076737899555E-4</v>
      </c>
      <c r="U7" s="4">
        <f>Extrapolations!AF7</f>
        <v>1.0600489023925666E-4</v>
      </c>
      <c r="V7" s="4">
        <f>Extrapolations!AG7</f>
        <v>1.0775901309951733E-4</v>
      </c>
      <c r="W7" s="4">
        <f>Extrapolations!AH7</f>
        <v>1.0951313595977844E-4</v>
      </c>
      <c r="X7" s="4">
        <f>Extrapolations!AI7</f>
        <v>1.1126725882003911E-4</v>
      </c>
      <c r="Y7" s="4">
        <f>Extrapolations!AJ7</f>
        <v>1.1302138168030021E-4</v>
      </c>
      <c r="Z7" s="4">
        <f>Extrapolations!AK7</f>
        <v>1.13088178981932E-4</v>
      </c>
      <c r="AA7" s="4">
        <f>Extrapolations!AL7</f>
        <v>1.1814218661480272E-4</v>
      </c>
      <c r="AB7" s="4">
        <f>Extrapolations!AM7</f>
        <v>1.1790234457221552E-4</v>
      </c>
      <c r="AC7" s="4">
        <f>Extrapolations!AN7</f>
        <v>1.1757358267513993E-4</v>
      </c>
      <c r="AD7" s="4">
        <f>Extrapolations!AO7</f>
        <v>1.2024584389221321E-4</v>
      </c>
      <c r="AE7" s="4">
        <f>Extrapolations!AP7</f>
        <v>1.2485594117817294E-4</v>
      </c>
      <c r="AF7" s="4">
        <f>Extrapolations!AQ7</f>
        <v>1.2871537566981403E-4</v>
      </c>
      <c r="AG7" s="4">
        <f>Extrapolations!AR7</f>
        <v>1.3183661097842603E-4</v>
      </c>
      <c r="AH7" s="4">
        <f>Extrapolations!AS7</f>
        <v>1.3609847550038039E-4</v>
      </c>
      <c r="AI7" s="4">
        <f>Extrapolations!AT7</f>
        <v>1.3772373811961089E-4</v>
      </c>
      <c r="AJ7" s="4">
        <f>Extrapolations!AU7</f>
        <v>1.4020262324112415E-4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 s="4">
        <f>Extrapolations!AK8</f>
        <v>8.816700298691681E-4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2.6081961074983645E-3</v>
      </c>
      <c r="C7" s="4">
        <f>Extrapolations!D9</f>
        <v>2.6420808191899986E-3</v>
      </c>
      <c r="D7" s="4">
        <f>Extrapolations!E9</f>
        <v>2.6759655308816327E-3</v>
      </c>
      <c r="E7" s="4">
        <f>Extrapolations!F9</f>
        <v>2.7098502425732807E-3</v>
      </c>
      <c r="F7" s="4">
        <f>Extrapolations!G9</f>
        <v>2.7437349542649148E-3</v>
      </c>
      <c r="G7" s="4">
        <f>Extrapolations!H9</f>
        <v>2.7776196659565489E-3</v>
      </c>
      <c r="H7" s="4">
        <f>Extrapolations!I9</f>
        <v>2.811504377648183E-3</v>
      </c>
      <c r="I7" s="4">
        <f>Extrapolations!J9</f>
        <v>2.845389089339817E-3</v>
      </c>
      <c r="J7" s="4">
        <f>Extrapolations!K9</f>
        <v>2.8792738010314511E-3</v>
      </c>
      <c r="K7" s="4">
        <f>Extrapolations!L9</f>
        <v>2.9131585127230991E-3</v>
      </c>
      <c r="L7" s="4">
        <f>Extrapolations!M9</f>
        <v>2.9470432244147332E-3</v>
      </c>
      <c r="M7" s="4">
        <f>Extrapolations!N9</f>
        <v>2.9809279361063673E-3</v>
      </c>
      <c r="N7" s="4">
        <f>Extrapolations!O9</f>
        <v>3.0148126477980014E-3</v>
      </c>
      <c r="O7" s="4">
        <f>Extrapolations!P9</f>
        <v>3.0486973594896355E-3</v>
      </c>
      <c r="P7" s="4">
        <f>Extrapolations!Q9</f>
        <v>3.0825820711812696E-3</v>
      </c>
      <c r="Q7" s="4">
        <f>Extrapolations!R9</f>
        <v>3.1164667828729176E-3</v>
      </c>
      <c r="R7" s="4">
        <f>Extrapolations!S9</f>
        <v>3.1503514945645517E-3</v>
      </c>
      <c r="S7" s="4">
        <f>Extrapolations!T9</f>
        <v>3.1842362062561858E-3</v>
      </c>
      <c r="T7" s="4">
        <f>Extrapolations!U9</f>
        <v>3.2181209179478198E-3</v>
      </c>
      <c r="U7" s="4">
        <f>Extrapolations!V9</f>
        <v>3.2520056296394539E-3</v>
      </c>
      <c r="V7" s="4">
        <f>Extrapolations!W9</f>
        <v>3.285890341331088E-3</v>
      </c>
      <c r="W7" s="4">
        <f>Extrapolations!X9</f>
        <v>3.319775053022736E-3</v>
      </c>
      <c r="X7" s="4">
        <f>Extrapolations!Y9</f>
        <v>3.3536597647143701E-3</v>
      </c>
      <c r="Y7" s="4">
        <f>Extrapolations!Z9</f>
        <v>3.3875444764060042E-3</v>
      </c>
      <c r="Z7" s="4">
        <f>Extrapolations!AA9</f>
        <v>3.4214291880976383E-3</v>
      </c>
      <c r="AA7" s="4">
        <f>Extrapolations!AB9</f>
        <v>3.4553138997892724E-3</v>
      </c>
      <c r="AB7" s="4">
        <f>Extrapolations!AC9</f>
        <v>3.4891986114809065E-3</v>
      </c>
      <c r="AC7" s="4">
        <f>Extrapolations!AD9</f>
        <v>3.5230833231725545E-3</v>
      </c>
      <c r="AD7" s="4">
        <f>Extrapolations!AE9</f>
        <v>3.5569680348641886E-3</v>
      </c>
      <c r="AE7" s="4">
        <f>Extrapolations!AF9</f>
        <v>3.5908527465558226E-3</v>
      </c>
      <c r="AF7" s="4">
        <f>Extrapolations!AG9</f>
        <v>3.6247374582474567E-3</v>
      </c>
      <c r="AG7" s="4">
        <f>Extrapolations!AH9</f>
        <v>3.6586221699390908E-3</v>
      </c>
      <c r="AH7" s="4">
        <f>Extrapolations!AI9</f>
        <v>3.6925068816307249E-3</v>
      </c>
      <c r="AI7" s="4">
        <f>Extrapolations!AJ9</f>
        <v>3.7263915933223729E-3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9.7979641522397912E-6</v>
      </c>
      <c r="C7" s="4">
        <f>Extrapolations!E10</f>
        <v>9.7979641522397912E-6</v>
      </c>
      <c r="D7" s="4">
        <f>Extrapolations!F10</f>
        <v>9.7979641522397912E-6</v>
      </c>
      <c r="E7" s="4">
        <f>Extrapolations!G10</f>
        <v>9.7979641522397912E-6</v>
      </c>
      <c r="F7" s="4">
        <f>Extrapolations!H10</f>
        <v>9.7979641522397912E-6</v>
      </c>
      <c r="G7" s="4">
        <f>Extrapolations!I10</f>
        <v>9.7979641522397912E-6</v>
      </c>
      <c r="H7" s="4">
        <f>Extrapolations!J10</f>
        <v>9.7979641522397912E-6</v>
      </c>
      <c r="I7" s="4">
        <f>Extrapolations!K10</f>
        <v>9.7979641522397912E-6</v>
      </c>
      <c r="J7" s="4">
        <f>Extrapolations!L10</f>
        <v>9.7979641522397912E-6</v>
      </c>
      <c r="K7" s="4">
        <f>Extrapolations!M10</f>
        <v>9.7979641522397912E-6</v>
      </c>
      <c r="L7" s="4">
        <f>Extrapolations!N10</f>
        <v>9.7979641522397912E-6</v>
      </c>
      <c r="M7" s="4">
        <f>Extrapolations!O10</f>
        <v>9.7979641522397912E-6</v>
      </c>
      <c r="N7" s="4">
        <f>Extrapolations!P10</f>
        <v>9.7979641522397912E-6</v>
      </c>
      <c r="O7" s="4">
        <f>Extrapolations!Q10</f>
        <v>9.7979641522397912E-6</v>
      </c>
      <c r="P7" s="4">
        <f>Extrapolations!R10</f>
        <v>9.7979641522397912E-6</v>
      </c>
      <c r="Q7" s="4">
        <f>Extrapolations!S10</f>
        <v>9.7979641522397912E-6</v>
      </c>
      <c r="R7" s="4">
        <f>Extrapolations!T10</f>
        <v>9.7979641522397912E-6</v>
      </c>
      <c r="S7" s="4">
        <f>Extrapolations!U10</f>
        <v>9.7979641522397912E-6</v>
      </c>
      <c r="T7" s="4">
        <f>Extrapolations!V10</f>
        <v>9.7979641522397912E-6</v>
      </c>
      <c r="U7" s="4">
        <f>Extrapolations!W10</f>
        <v>9.7979641522397912E-6</v>
      </c>
      <c r="V7" s="4">
        <f>Extrapolations!X10</f>
        <v>9.7979641522397912E-6</v>
      </c>
      <c r="W7" s="4">
        <f>Extrapolations!Y10</f>
        <v>9.7979641522397912E-6</v>
      </c>
      <c r="X7" s="4">
        <f>Extrapolations!Z10</f>
        <v>9.7979641522397912E-6</v>
      </c>
      <c r="Y7" s="4">
        <f>Extrapolations!AA10</f>
        <v>9.7979641522397912E-6</v>
      </c>
      <c r="Z7" s="4">
        <f>Extrapolations!AB10</f>
        <v>9.7979641522397912E-6</v>
      </c>
      <c r="AA7" s="4">
        <f>Extrapolations!AC10</f>
        <v>9.7979641522397912E-6</v>
      </c>
      <c r="AB7" s="4">
        <f>Extrapolations!AD10</f>
        <v>9.7979641522397912E-6</v>
      </c>
      <c r="AC7" s="4">
        <f>Extrapolations!AE10</f>
        <v>9.7979641522397912E-6</v>
      </c>
      <c r="AD7" s="4">
        <f>Extrapolations!AF10</f>
        <v>9.7979641522397912E-6</v>
      </c>
      <c r="AE7" s="4">
        <f>Extrapolations!AG10</f>
        <v>9.7979641522397912E-6</v>
      </c>
      <c r="AF7" s="4">
        <f>Extrapolations!AH10</f>
        <v>9.7979641522397912E-6</v>
      </c>
      <c r="AG7" s="4">
        <f>Extrapolations!AI10</f>
        <v>9.7979641522397912E-6</v>
      </c>
      <c r="AH7" s="4">
        <f>Extrapolations!AJ10</f>
        <v>9.7979641522397912E-6</v>
      </c>
      <c r="AI7" s="4">
        <f>Extrapolations!AK10</f>
        <v>9.7979641522397912E-6</v>
      </c>
      <c r="AJ7" s="4">
        <f>Extrapolations!AL10</f>
        <v>9.7979641522397912E-6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 s="4">
        <f>Extrapolations!AK11</f>
        <v>5.3224604033574249E-3</v>
      </c>
      <c r="AJ7" s="4">
        <f>Extrapolations!AL11</f>
        <v>5.4077143049242422E-3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3.6164265612794438E-3</v>
      </c>
      <c r="C2" s="4">
        <f>C$4/(1-'Other Values'!$B$2)</f>
        <v>3.6164265612794438E-3</v>
      </c>
      <c r="D2" s="4">
        <f>D$4/(1-'Other Values'!$B$2)</f>
        <v>3.6164265612794438E-3</v>
      </c>
      <c r="E2" s="4">
        <f>E$4/(1-'Other Values'!$B$2)</f>
        <v>3.6164265612794438E-3</v>
      </c>
      <c r="F2" s="4">
        <f>F$4/(1-'Other Values'!$B$2)</f>
        <v>3.6164265612794438E-3</v>
      </c>
      <c r="G2" s="4">
        <f>G$4/(1-'Other Values'!$B$2)</f>
        <v>3.6164265612794438E-3</v>
      </c>
      <c r="H2" s="4">
        <f>H$4/(1-'Other Values'!$B$2)</f>
        <v>3.6164265612794438E-3</v>
      </c>
      <c r="I2" s="4">
        <f>I$4/(1-'Other Values'!$B$2)</f>
        <v>3.6164265612794438E-3</v>
      </c>
      <c r="J2" s="4">
        <f>J$4/(1-'Other Values'!$B$2)</f>
        <v>3.6164265612794438E-3</v>
      </c>
      <c r="K2" s="4">
        <f>K$4/(1-'Other Values'!$B$2)</f>
        <v>3.6164265612794438E-3</v>
      </c>
      <c r="L2" s="4">
        <f>L$4/(1-'Other Values'!$B$2)</f>
        <v>3.6164265612794438E-3</v>
      </c>
      <c r="M2" s="4">
        <f>M$4/(1-'Other Values'!$B$2)</f>
        <v>3.6164265612794438E-3</v>
      </c>
      <c r="N2" s="4">
        <f>N$4/(1-'Other Values'!$B$2)</f>
        <v>3.6164265612794438E-3</v>
      </c>
      <c r="O2" s="4">
        <f>O$4/(1-'Other Values'!$B$2)</f>
        <v>3.6164265612794438E-3</v>
      </c>
      <c r="P2" s="4">
        <f>P$4/(1-'Other Values'!$B$2)</f>
        <v>3.6164265612794438E-3</v>
      </c>
      <c r="Q2" s="4">
        <f>Q$4/(1-'Other Values'!$B$2)</f>
        <v>3.6164265612794438E-3</v>
      </c>
      <c r="R2" s="4">
        <f>R$4/(1-'Other Values'!$B$2)</f>
        <v>3.6164265612794438E-3</v>
      </c>
      <c r="S2" s="4">
        <f>S$4/(1-'Other Values'!$B$2)</f>
        <v>3.6164265612794451E-3</v>
      </c>
      <c r="T2" s="4">
        <f>T$4/(1-'Other Values'!$B$2)</f>
        <v>3.6164265612794451E-3</v>
      </c>
      <c r="U2" s="4">
        <f>U$4/(1-'Other Values'!$B$2)</f>
        <v>3.6164265612794451E-3</v>
      </c>
      <c r="V2" s="4">
        <f>V$4/(1-'Other Values'!$B$2)</f>
        <v>3.6164265612794451E-3</v>
      </c>
      <c r="W2" s="4">
        <f>W$4/(1-'Other Values'!$B$2)</f>
        <v>3.6164265612794451E-3</v>
      </c>
      <c r="X2" s="4">
        <f>X$4/(1-'Other Values'!$B$2)</f>
        <v>3.6164265612794451E-3</v>
      </c>
      <c r="Y2" s="4">
        <f>Y$4/(1-'Other Values'!$B$2)</f>
        <v>3.6164265612794451E-3</v>
      </c>
      <c r="Z2" s="4">
        <f>Z$4/(1-'Other Values'!$B$2)</f>
        <v>3.6164265612794451E-3</v>
      </c>
      <c r="AA2" s="4">
        <f>AA$4/(1-'Other Values'!$B$2)</f>
        <v>3.6164265612794451E-3</v>
      </c>
      <c r="AB2" s="4">
        <f>AB$4/(1-'Other Values'!$B$2)</f>
        <v>3.6164265612794451E-3</v>
      </c>
      <c r="AC2" s="4">
        <f>AC$4/(1-'Other Values'!$B$2)</f>
        <v>3.6164265612794451E-3</v>
      </c>
      <c r="AD2" s="4">
        <f>AD$4/(1-'Other Values'!$B$2)</f>
        <v>3.6164265612794451E-3</v>
      </c>
      <c r="AE2" s="4">
        <f>AE$4/(1-'Other Values'!$B$2)</f>
        <v>3.6164265612794451E-3</v>
      </c>
      <c r="AF2" s="4">
        <f>AF$4/(1-'Other Values'!$B$2)</f>
        <v>3.6164265612794451E-3</v>
      </c>
      <c r="AG2" s="4">
        <f>AG$4/(1-'Other Values'!$B$2)</f>
        <v>3.6164265612794451E-3</v>
      </c>
      <c r="AH2" s="4">
        <f>AH$4/(1-'Other Values'!$B$2)</f>
        <v>3.6164265612794451E-3</v>
      </c>
      <c r="AI2" s="4">
        <f>AI$4/(1-'Other Values'!$B$2)</f>
        <v>3.6164265612794451E-3</v>
      </c>
      <c r="AJ2" s="4">
        <f>AJ$4/(1-'Other Values'!$B$2)</f>
        <v>3.6164265612794451E-3</v>
      </c>
    </row>
    <row r="3" spans="1:36">
      <c r="A3" t="s">
        <v>3</v>
      </c>
      <c r="B3" s="4">
        <f>B$4</f>
        <v>1.1357372671786685E-3</v>
      </c>
      <c r="C3" s="4">
        <f t="shared" ref="C3:AJ3" si="0">C$4</f>
        <v>1.1357372671786685E-3</v>
      </c>
      <c r="D3" s="4">
        <f t="shared" si="0"/>
        <v>1.1357372671786685E-3</v>
      </c>
      <c r="E3" s="4">
        <f t="shared" si="0"/>
        <v>1.1357372671786685E-3</v>
      </c>
      <c r="F3" s="4">
        <f t="shared" si="0"/>
        <v>1.1357372671786685E-3</v>
      </c>
      <c r="G3" s="4">
        <f t="shared" si="0"/>
        <v>1.1357372671786685E-3</v>
      </c>
      <c r="H3" s="4">
        <f t="shared" si="0"/>
        <v>1.1357372671786685E-3</v>
      </c>
      <c r="I3" s="4">
        <f t="shared" si="0"/>
        <v>1.1357372671786685E-3</v>
      </c>
      <c r="J3" s="4">
        <f t="shared" si="0"/>
        <v>1.1357372671786685E-3</v>
      </c>
      <c r="K3" s="4">
        <f t="shared" si="0"/>
        <v>1.1357372671786685E-3</v>
      </c>
      <c r="L3" s="4">
        <f t="shared" si="0"/>
        <v>1.1357372671786685E-3</v>
      </c>
      <c r="M3" s="4">
        <f t="shared" si="0"/>
        <v>1.1357372671786685E-3</v>
      </c>
      <c r="N3" s="4">
        <f t="shared" si="0"/>
        <v>1.1357372671786685E-3</v>
      </c>
      <c r="O3" s="4">
        <f t="shared" si="0"/>
        <v>1.1357372671786685E-3</v>
      </c>
      <c r="P3" s="4">
        <f t="shared" si="0"/>
        <v>1.1357372671786685E-3</v>
      </c>
      <c r="Q3" s="4">
        <f t="shared" si="0"/>
        <v>1.1357372671786685E-3</v>
      </c>
      <c r="R3" s="4">
        <f t="shared" si="0"/>
        <v>1.1357372671786685E-3</v>
      </c>
      <c r="S3" s="4">
        <f t="shared" si="0"/>
        <v>1.1357372671786689E-3</v>
      </c>
      <c r="T3" s="4">
        <f t="shared" si="0"/>
        <v>1.1357372671786689E-3</v>
      </c>
      <c r="U3" s="4">
        <f t="shared" si="0"/>
        <v>1.1357372671786689E-3</v>
      </c>
      <c r="V3" s="4">
        <f t="shared" si="0"/>
        <v>1.1357372671786689E-3</v>
      </c>
      <c r="W3" s="4">
        <f t="shared" si="0"/>
        <v>1.1357372671786689E-3</v>
      </c>
      <c r="X3" s="4">
        <f t="shared" si="0"/>
        <v>1.1357372671786689E-3</v>
      </c>
      <c r="Y3" s="4">
        <f t="shared" si="0"/>
        <v>1.1357372671786689E-3</v>
      </c>
      <c r="Z3" s="4">
        <f t="shared" si="0"/>
        <v>1.1357372671786689E-3</v>
      </c>
      <c r="AA3" s="4">
        <f t="shared" si="0"/>
        <v>1.1357372671786689E-3</v>
      </c>
      <c r="AB3" s="4">
        <f t="shared" si="0"/>
        <v>1.1357372671786689E-3</v>
      </c>
      <c r="AC3" s="4">
        <f t="shared" si="0"/>
        <v>1.1357372671786689E-3</v>
      </c>
      <c r="AD3" s="4">
        <f t="shared" si="0"/>
        <v>1.1357372671786689E-3</v>
      </c>
      <c r="AE3" s="4">
        <f t="shared" si="0"/>
        <v>1.1357372671786689E-3</v>
      </c>
      <c r="AF3" s="4">
        <f t="shared" si="0"/>
        <v>1.1357372671786689E-3</v>
      </c>
      <c r="AG3" s="4">
        <f t="shared" si="0"/>
        <v>1.1357372671786689E-3</v>
      </c>
      <c r="AH3" s="4">
        <f t="shared" si="0"/>
        <v>1.1357372671786689E-3</v>
      </c>
      <c r="AI3" s="4">
        <f t="shared" si="0"/>
        <v>1.1357372671786689E-3</v>
      </c>
      <c r="AJ3" s="4">
        <f t="shared" si="0"/>
        <v>1.1357372671786689E-3</v>
      </c>
    </row>
    <row r="4" spans="1:36">
      <c r="A4" t="s">
        <v>4</v>
      </c>
      <c r="B4" s="4">
        <f>Extrapolations!T12</f>
        <v>1.1357372671786685E-3</v>
      </c>
      <c r="C4" s="4">
        <f>Extrapolations!U12</f>
        <v>1.1357372671786685E-3</v>
      </c>
      <c r="D4" s="4">
        <f>Extrapolations!V12</f>
        <v>1.1357372671786685E-3</v>
      </c>
      <c r="E4" s="4">
        <f>Extrapolations!W12</f>
        <v>1.1357372671786685E-3</v>
      </c>
      <c r="F4" s="4">
        <f>Extrapolations!X12</f>
        <v>1.1357372671786685E-3</v>
      </c>
      <c r="G4" s="4">
        <f>Extrapolations!Y12</f>
        <v>1.1357372671786685E-3</v>
      </c>
      <c r="H4" s="4">
        <f>Extrapolations!Z12</f>
        <v>1.1357372671786685E-3</v>
      </c>
      <c r="I4" s="4">
        <f>Extrapolations!AA12</f>
        <v>1.1357372671786685E-3</v>
      </c>
      <c r="J4" s="4">
        <f>Extrapolations!AB12</f>
        <v>1.1357372671786685E-3</v>
      </c>
      <c r="K4" s="4">
        <f>Extrapolations!AC12</f>
        <v>1.1357372671786685E-3</v>
      </c>
      <c r="L4" s="4">
        <f>Extrapolations!AD12</f>
        <v>1.1357372671786685E-3</v>
      </c>
      <c r="M4" s="4">
        <f>Extrapolations!AE12</f>
        <v>1.1357372671786685E-3</v>
      </c>
      <c r="N4" s="4">
        <f>Extrapolations!AF12</f>
        <v>1.1357372671786685E-3</v>
      </c>
      <c r="O4" s="4">
        <f>Extrapolations!AG12</f>
        <v>1.1357372671786685E-3</v>
      </c>
      <c r="P4" s="4">
        <f>Extrapolations!AH12</f>
        <v>1.1357372671786685E-3</v>
      </c>
      <c r="Q4" s="4">
        <f>Extrapolations!AI12</f>
        <v>1.1357372671786685E-3</v>
      </c>
      <c r="R4" s="4">
        <f>Extrapolations!AJ12</f>
        <v>1.1357372671786685E-3</v>
      </c>
      <c r="S4" s="4">
        <f>Extrapolations!AK12</f>
        <v>1.1357372671786689E-3</v>
      </c>
      <c r="T4" s="4">
        <f>Extrapolations!AL12</f>
        <v>1.1357372671786689E-3</v>
      </c>
      <c r="U4" s="4">
        <f>Extrapolations!AM12</f>
        <v>1.1357372671786689E-3</v>
      </c>
      <c r="V4" s="4">
        <f>Extrapolations!AN12</f>
        <v>1.1357372671786689E-3</v>
      </c>
      <c r="W4" s="4">
        <f>Extrapolations!AO12</f>
        <v>1.1357372671786689E-3</v>
      </c>
      <c r="X4" s="4">
        <f>Extrapolations!AP12</f>
        <v>1.1357372671786689E-3</v>
      </c>
      <c r="Y4" s="4">
        <f>Extrapolations!AQ12</f>
        <v>1.1357372671786689E-3</v>
      </c>
      <c r="Z4" s="4">
        <f>Extrapolations!AR12</f>
        <v>1.1357372671786689E-3</v>
      </c>
      <c r="AA4" s="4">
        <f>Extrapolations!AS12</f>
        <v>1.1357372671786689E-3</v>
      </c>
      <c r="AB4" s="4">
        <f>Extrapolations!AT12</f>
        <v>1.1357372671786689E-3</v>
      </c>
      <c r="AC4" s="4">
        <f>Extrapolations!AU12</f>
        <v>1.1357372671786689E-3</v>
      </c>
      <c r="AD4" s="4">
        <f>Extrapolations!AV12</f>
        <v>1.1357372671786689E-3</v>
      </c>
      <c r="AE4" s="4">
        <f>Extrapolations!AW12</f>
        <v>1.1357372671786689E-3</v>
      </c>
      <c r="AF4" s="4">
        <f>Extrapolations!AX12</f>
        <v>1.1357372671786689E-3</v>
      </c>
      <c r="AG4" s="4">
        <f>Extrapolations!AY12</f>
        <v>1.1357372671786689E-3</v>
      </c>
      <c r="AH4" s="4">
        <f>Extrapolations!AZ12</f>
        <v>1.1357372671786689E-3</v>
      </c>
      <c r="AI4" s="4">
        <f>Extrapolations!BA12</f>
        <v>1.1357372671786689E-3</v>
      </c>
      <c r="AJ4" s="4">
        <f>Extrapolations!BB12</f>
        <v>1.1357372671786689E-3</v>
      </c>
    </row>
    <row r="5" spans="1:36">
      <c r="A5" t="s">
        <v>5</v>
      </c>
      <c r="B5" s="4">
        <f>B$4</f>
        <v>1.1357372671786685E-3</v>
      </c>
      <c r="C5" s="4">
        <f t="shared" ref="C5:AJ5" si="1">C$4</f>
        <v>1.1357372671786685E-3</v>
      </c>
      <c r="D5" s="4">
        <f t="shared" si="1"/>
        <v>1.1357372671786685E-3</v>
      </c>
      <c r="E5" s="4">
        <f t="shared" si="1"/>
        <v>1.1357372671786685E-3</v>
      </c>
      <c r="F5" s="4">
        <f t="shared" si="1"/>
        <v>1.1357372671786685E-3</v>
      </c>
      <c r="G5" s="4">
        <f t="shared" si="1"/>
        <v>1.1357372671786685E-3</v>
      </c>
      <c r="H5" s="4">
        <f t="shared" si="1"/>
        <v>1.1357372671786685E-3</v>
      </c>
      <c r="I5" s="4">
        <f t="shared" si="1"/>
        <v>1.1357372671786685E-3</v>
      </c>
      <c r="J5" s="4">
        <f t="shared" si="1"/>
        <v>1.1357372671786685E-3</v>
      </c>
      <c r="K5" s="4">
        <f t="shared" si="1"/>
        <v>1.1357372671786685E-3</v>
      </c>
      <c r="L5" s="4">
        <f t="shared" si="1"/>
        <v>1.1357372671786685E-3</v>
      </c>
      <c r="M5" s="4">
        <f t="shared" si="1"/>
        <v>1.1357372671786685E-3</v>
      </c>
      <c r="N5" s="4">
        <f t="shared" si="1"/>
        <v>1.1357372671786685E-3</v>
      </c>
      <c r="O5" s="4">
        <f t="shared" si="1"/>
        <v>1.1357372671786685E-3</v>
      </c>
      <c r="P5" s="4">
        <f t="shared" si="1"/>
        <v>1.1357372671786685E-3</v>
      </c>
      <c r="Q5" s="4">
        <f t="shared" si="1"/>
        <v>1.1357372671786685E-3</v>
      </c>
      <c r="R5" s="4">
        <f t="shared" si="1"/>
        <v>1.1357372671786685E-3</v>
      </c>
      <c r="S5" s="4">
        <f t="shared" si="1"/>
        <v>1.1357372671786689E-3</v>
      </c>
      <c r="T5" s="4">
        <f t="shared" si="1"/>
        <v>1.1357372671786689E-3</v>
      </c>
      <c r="U5" s="4">
        <f t="shared" si="1"/>
        <v>1.1357372671786689E-3</v>
      </c>
      <c r="V5" s="4">
        <f t="shared" si="1"/>
        <v>1.1357372671786689E-3</v>
      </c>
      <c r="W5" s="4">
        <f t="shared" si="1"/>
        <v>1.1357372671786689E-3</v>
      </c>
      <c r="X5" s="4">
        <f t="shared" si="1"/>
        <v>1.1357372671786689E-3</v>
      </c>
      <c r="Y5" s="4">
        <f t="shared" si="1"/>
        <v>1.1357372671786689E-3</v>
      </c>
      <c r="Z5" s="4">
        <f t="shared" si="1"/>
        <v>1.1357372671786689E-3</v>
      </c>
      <c r="AA5" s="4">
        <f t="shared" si="1"/>
        <v>1.1357372671786689E-3</v>
      </c>
      <c r="AB5" s="4">
        <f t="shared" si="1"/>
        <v>1.1357372671786689E-3</v>
      </c>
      <c r="AC5" s="4">
        <f t="shared" si="1"/>
        <v>1.1357372671786689E-3</v>
      </c>
      <c r="AD5" s="4">
        <f t="shared" si="1"/>
        <v>1.1357372671786689E-3</v>
      </c>
      <c r="AE5" s="4">
        <f t="shared" si="1"/>
        <v>1.1357372671786689E-3</v>
      </c>
      <c r="AF5" s="4">
        <f t="shared" si="1"/>
        <v>1.1357372671786689E-3</v>
      </c>
      <c r="AG5" s="4">
        <f t="shared" si="1"/>
        <v>1.1357372671786689E-3</v>
      </c>
      <c r="AH5" s="4">
        <f t="shared" si="1"/>
        <v>1.1357372671786689E-3</v>
      </c>
      <c r="AI5" s="4">
        <f t="shared" si="1"/>
        <v>1.1357372671786689E-3</v>
      </c>
      <c r="AJ5" s="4">
        <f t="shared" si="1"/>
        <v>1.1357372671786689E-3</v>
      </c>
    </row>
    <row r="6" spans="1:36">
      <c r="A6" t="s">
        <v>6</v>
      </c>
      <c r="B6" s="4">
        <f>B$4/(1-'Other Values'!$B$2)*'Other Values'!$B$6+B$4*(1-'Other Values'!$B$6)</f>
        <v>2.5001163789340952E-3</v>
      </c>
      <c r="C6" s="4">
        <f>C$4/(1-'Other Values'!$B$2)*'Other Values'!$B$6+C$4*(1-'Other Values'!$B$6)</f>
        <v>2.5001163789340952E-3</v>
      </c>
      <c r="D6" s="4">
        <f>D$4/(1-'Other Values'!$B$2)*'Other Values'!$B$6+D$4*(1-'Other Values'!$B$6)</f>
        <v>2.5001163789340952E-3</v>
      </c>
      <c r="E6" s="4">
        <f>E$4/(1-'Other Values'!$B$2)*'Other Values'!$B$6+E$4*(1-'Other Values'!$B$6)</f>
        <v>2.5001163789340952E-3</v>
      </c>
      <c r="F6" s="4">
        <f>F$4/(1-'Other Values'!$B$2)*'Other Values'!$B$6+F$4*(1-'Other Values'!$B$6)</f>
        <v>2.5001163789340952E-3</v>
      </c>
      <c r="G6" s="4">
        <f>G$4/(1-'Other Values'!$B$2)*'Other Values'!$B$6+G$4*(1-'Other Values'!$B$6)</f>
        <v>2.5001163789340952E-3</v>
      </c>
      <c r="H6" s="4">
        <f>H$4/(1-'Other Values'!$B$2)*'Other Values'!$B$6+H$4*(1-'Other Values'!$B$6)</f>
        <v>2.5001163789340952E-3</v>
      </c>
      <c r="I6" s="4">
        <f>I$4/(1-'Other Values'!$B$2)*'Other Values'!$B$6+I$4*(1-'Other Values'!$B$6)</f>
        <v>2.5001163789340952E-3</v>
      </c>
      <c r="J6" s="4">
        <f>J$4/(1-'Other Values'!$B$2)*'Other Values'!$B$6+J$4*(1-'Other Values'!$B$6)</f>
        <v>2.5001163789340952E-3</v>
      </c>
      <c r="K6" s="4">
        <f>K$4/(1-'Other Values'!$B$2)*'Other Values'!$B$6+K$4*(1-'Other Values'!$B$6)</f>
        <v>2.5001163789340952E-3</v>
      </c>
      <c r="L6" s="4">
        <f>L$4/(1-'Other Values'!$B$2)*'Other Values'!$B$6+L$4*(1-'Other Values'!$B$6)</f>
        <v>2.5001163789340952E-3</v>
      </c>
      <c r="M6" s="4">
        <f>M$4/(1-'Other Values'!$B$2)*'Other Values'!$B$6+M$4*(1-'Other Values'!$B$6)</f>
        <v>2.5001163789340952E-3</v>
      </c>
      <c r="N6" s="4">
        <f>N$4/(1-'Other Values'!$B$2)*'Other Values'!$B$6+N$4*(1-'Other Values'!$B$6)</f>
        <v>2.5001163789340952E-3</v>
      </c>
      <c r="O6" s="4">
        <f>O$4/(1-'Other Values'!$B$2)*'Other Values'!$B$6+O$4*(1-'Other Values'!$B$6)</f>
        <v>2.5001163789340952E-3</v>
      </c>
      <c r="P6" s="4">
        <f>P$4/(1-'Other Values'!$B$2)*'Other Values'!$B$6+P$4*(1-'Other Values'!$B$6)</f>
        <v>2.5001163789340952E-3</v>
      </c>
      <c r="Q6" s="4">
        <f>Q$4/(1-'Other Values'!$B$2)*'Other Values'!$B$6+Q$4*(1-'Other Values'!$B$6)</f>
        <v>2.5001163789340952E-3</v>
      </c>
      <c r="R6" s="4">
        <f>R$4/(1-'Other Values'!$B$2)*'Other Values'!$B$6+R$4*(1-'Other Values'!$B$6)</f>
        <v>2.5001163789340952E-3</v>
      </c>
      <c r="S6" s="4">
        <f>S$4/(1-'Other Values'!$B$2)*'Other Values'!$B$6+S$4*(1-'Other Values'!$B$6)</f>
        <v>2.5001163789340961E-3</v>
      </c>
      <c r="T6" s="4">
        <f>T$4/(1-'Other Values'!$B$2)*'Other Values'!$B$6+T$4*(1-'Other Values'!$B$6)</f>
        <v>2.5001163789340961E-3</v>
      </c>
      <c r="U6" s="4">
        <f>U$4/(1-'Other Values'!$B$2)*'Other Values'!$B$6+U$4*(1-'Other Values'!$B$6)</f>
        <v>2.5001163789340961E-3</v>
      </c>
      <c r="V6" s="4">
        <f>V$4/(1-'Other Values'!$B$2)*'Other Values'!$B$6+V$4*(1-'Other Values'!$B$6)</f>
        <v>2.5001163789340961E-3</v>
      </c>
      <c r="W6" s="4">
        <f>W$4/(1-'Other Values'!$B$2)*'Other Values'!$B$6+W$4*(1-'Other Values'!$B$6)</f>
        <v>2.5001163789340961E-3</v>
      </c>
      <c r="X6" s="4">
        <f>X$4/(1-'Other Values'!$B$2)*'Other Values'!$B$6+X$4*(1-'Other Values'!$B$6)</f>
        <v>2.5001163789340961E-3</v>
      </c>
      <c r="Y6" s="4">
        <f>Y$4/(1-'Other Values'!$B$2)*'Other Values'!$B$6+Y$4*(1-'Other Values'!$B$6)</f>
        <v>2.5001163789340961E-3</v>
      </c>
      <c r="Z6" s="4">
        <f>Z$4/(1-'Other Values'!$B$2)*'Other Values'!$B$6+Z$4*(1-'Other Values'!$B$6)</f>
        <v>2.5001163789340961E-3</v>
      </c>
      <c r="AA6" s="4">
        <f>AA$4/(1-'Other Values'!$B$2)*'Other Values'!$B$6+AA$4*(1-'Other Values'!$B$6)</f>
        <v>2.5001163789340961E-3</v>
      </c>
      <c r="AB6" s="4">
        <f>AB$4/(1-'Other Values'!$B$2)*'Other Values'!$B$6+AB$4*(1-'Other Values'!$B$6)</f>
        <v>2.5001163789340961E-3</v>
      </c>
      <c r="AC6" s="4">
        <f>AC$4/(1-'Other Values'!$B$2)*'Other Values'!$B$6+AC$4*(1-'Other Values'!$B$6)</f>
        <v>2.5001163789340961E-3</v>
      </c>
      <c r="AD6" s="4">
        <f>AD$4/(1-'Other Values'!$B$2)*'Other Values'!$B$6+AD$4*(1-'Other Values'!$B$6)</f>
        <v>2.5001163789340961E-3</v>
      </c>
      <c r="AE6" s="4">
        <f>AE$4/(1-'Other Values'!$B$2)*'Other Values'!$B$6+AE$4*(1-'Other Values'!$B$6)</f>
        <v>2.5001163789340961E-3</v>
      </c>
      <c r="AF6" s="4">
        <f>AF$4/(1-'Other Values'!$B$2)*'Other Values'!$B$6+AF$4*(1-'Other Values'!$B$6)</f>
        <v>2.5001163789340961E-3</v>
      </c>
      <c r="AG6" s="4">
        <f>AG$4/(1-'Other Values'!$B$2)*'Other Values'!$B$6+AG$4*(1-'Other Values'!$B$6)</f>
        <v>2.5001163789340961E-3</v>
      </c>
      <c r="AH6" s="4">
        <f>AH$4/(1-'Other Values'!$B$2)*'Other Values'!$B$6+AH$4*(1-'Other Values'!$B$6)</f>
        <v>2.5001163789340961E-3</v>
      </c>
      <c r="AI6" s="4">
        <f>AI$4/(1-'Other Values'!$B$2)*'Other Values'!$B$6+AI$4*(1-'Other Values'!$B$6)</f>
        <v>2.5001163789340961E-3</v>
      </c>
      <c r="AJ6" s="4">
        <f>AJ$4/(1-'Other Values'!$B$2)*'Other Values'!$B$6+AJ$4*(1-'Other Values'!$B$6)</f>
        <v>2.5001163789340961E-3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>
      <selection activeCell="A9" sqref="A9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8">
        <f>B$4/(1-'Other Values'!$B$2)</f>
        <v>9.4157087635782038E-4</v>
      </c>
      <c r="C2" s="4">
        <f>C$4/(1-'Other Values'!$B$2)</f>
        <v>9.539355264057528E-4</v>
      </c>
      <c r="D2" s="4">
        <f>D$4/(1-'Other Values'!$B$2)</f>
        <v>9.6630017645368241E-4</v>
      </c>
      <c r="E2" s="4">
        <f>E$4/(1-'Other Values'!$B$2)</f>
        <v>9.7866482650161494E-4</v>
      </c>
      <c r="F2" s="4">
        <f>F$4/(1-'Other Values'!$B$2)</f>
        <v>9.9102947654954726E-4</v>
      </c>
      <c r="G2" s="4">
        <f>G$4/(1-'Other Values'!$B$2)</f>
        <v>1.0033941265974798E-3</v>
      </c>
      <c r="H2" s="4">
        <f>H$4/(1-'Other Values'!$B$2)</f>
        <v>1.0157587766454095E-3</v>
      </c>
      <c r="I2" s="4">
        <f>I$4/(1-'Other Values'!$B$2)</f>
        <v>1.0281234266933418E-3</v>
      </c>
      <c r="J2" s="4">
        <f>J$4/(1-'Other Values'!$B$2)</f>
        <v>1.0404880767412744E-3</v>
      </c>
      <c r="K2" s="4">
        <f>K$4/(1-'Other Values'!$B$2)</f>
        <v>1.0528527267892041E-3</v>
      </c>
      <c r="L2" s="4">
        <f>L$4/(1-'Other Values'!$B$2)</f>
        <v>1.0652173768371392E-3</v>
      </c>
      <c r="M2" s="4">
        <f>M$4/(1-'Other Values'!$B$2)</f>
        <v>1.0775820268850689E-3</v>
      </c>
      <c r="N2" s="4">
        <f>N$4/(1-'Other Values'!$B$2)</f>
        <v>1.0899466769330041E-3</v>
      </c>
      <c r="O2" s="4">
        <f>O$4/(1-'Other Values'!$B$2)</f>
        <v>1.1045982621303912E-3</v>
      </c>
      <c r="P2" s="4">
        <f>P$4/(1-'Other Values'!$B$2)</f>
        <v>1.1252191578012478E-3</v>
      </c>
      <c r="Q2" s="4">
        <f>Q$4/(1-'Other Values'!$B$2)</f>
        <v>1.1448424347850017E-3</v>
      </c>
      <c r="R2" s="4">
        <f>R$4/(1-'Other Values'!$B$2)</f>
        <v>1.188565825783602E-3</v>
      </c>
      <c r="S2" s="4">
        <f>S$4/(1-'Other Values'!$B$2)</f>
        <v>1.2454820861176102E-3</v>
      </c>
      <c r="T2" s="4">
        <f>T$4/(1-'Other Values'!$B$2)</f>
        <v>1.3137701931264752E-3</v>
      </c>
      <c r="U2" s="4">
        <f>U$4/(1-'Other Values'!$B$2)</f>
        <v>1.3711702115708562E-3</v>
      </c>
      <c r="V2" s="4">
        <f>V$4/(1-'Other Values'!$B$2)</f>
        <v>1.4355279604869977E-3</v>
      </c>
      <c r="W2" s="4">
        <f>W$4/(1-'Other Values'!$B$2)</f>
        <v>1.5077536201663225E-3</v>
      </c>
      <c r="X2" s="4">
        <f>X$4/(1-'Other Values'!$B$2)</f>
        <v>1.5779469661199169E-3</v>
      </c>
      <c r="Y2" s="4">
        <f>Y$4/(1-'Other Values'!$B$2)</f>
        <v>1.5861882887091725E-3</v>
      </c>
      <c r="Z2" s="4">
        <f>Z$4/(1-'Other Values'!$B$2)</f>
        <v>1.593815335602985E-3</v>
      </c>
      <c r="AA2" s="4">
        <f>AA$4/(1-'Other Values'!$B$2)</f>
        <v>1.594862257009913E-3</v>
      </c>
      <c r="AB2" s="4">
        <f>AB$4/(1-'Other Values'!$B$2)</f>
        <v>1.5977935398445811E-3</v>
      </c>
      <c r="AC2" s="4">
        <f>AC$4/(1-'Other Values'!$B$2)</f>
        <v>1.6024344397311712E-3</v>
      </c>
      <c r="AD2" s="4">
        <f>AD$4/(1-'Other Values'!$B$2)</f>
        <v>1.6055401138335478E-3</v>
      </c>
      <c r="AE2" s="4">
        <f>AE$4/(1-'Other Values'!$B$2)</f>
        <v>1.6084550212796256E-3</v>
      </c>
      <c r="AF2" s="4">
        <f>AF$4/(1-'Other Values'!$B$2)</f>
        <v>1.6097973176203686E-3</v>
      </c>
      <c r="AG2" s="4">
        <f>AG$4/(1-'Other Values'!$B$2)</f>
        <v>1.6112434718838951E-3</v>
      </c>
      <c r="AH2" s="4">
        <f>AH$4/(1-'Other Values'!$B$2)</f>
        <v>1.6120820153675505E-3</v>
      </c>
      <c r="AI2" s="4">
        <f>AI$4/(1-'Other Values'!$B$2)</f>
        <v>1.6141151235865275E-3</v>
      </c>
      <c r="AJ2" s="4">
        <f>AJ$4/(1-'Other Values'!$B$2)</f>
        <v>1.6143789836215463E-3</v>
      </c>
    </row>
    <row r="3" spans="1:36">
      <c r="A3" t="s">
        <v>3</v>
      </c>
      <c r="B3" s="8">
        <f>B$4</f>
        <v>2.9569994464129901E-4</v>
      </c>
      <c r="C3" s="4">
        <f t="shared" ref="C3:AJ5" si="0">C$4</f>
        <v>2.9958305787949267E-4</v>
      </c>
      <c r="D3" s="4">
        <f t="shared" si="0"/>
        <v>3.0346617111768546E-4</v>
      </c>
      <c r="E3" s="4">
        <f t="shared" si="0"/>
        <v>3.0734928435587912E-4</v>
      </c>
      <c r="F3" s="4">
        <f t="shared" si="0"/>
        <v>3.1123239759407278E-4</v>
      </c>
      <c r="G3" s="4">
        <f t="shared" si="0"/>
        <v>3.1511551083226644E-4</v>
      </c>
      <c r="H3" s="4">
        <f t="shared" si="0"/>
        <v>3.1899862407045923E-4</v>
      </c>
      <c r="I3" s="4">
        <f t="shared" si="0"/>
        <v>3.2288173730865289E-4</v>
      </c>
      <c r="J3" s="4">
        <f t="shared" si="0"/>
        <v>3.2676485054684655E-4</v>
      </c>
      <c r="K3" s="4">
        <f t="shared" si="0"/>
        <v>3.3064796378503935E-4</v>
      </c>
      <c r="L3" s="4">
        <f t="shared" si="0"/>
        <v>3.3453107702323387E-4</v>
      </c>
      <c r="M3" s="4">
        <f t="shared" si="0"/>
        <v>3.3841419026142667E-4</v>
      </c>
      <c r="N3" s="4">
        <f t="shared" si="0"/>
        <v>3.4229730349962119E-4</v>
      </c>
      <c r="O3" s="4">
        <f t="shared" si="0"/>
        <v>3.4689862777648655E-4</v>
      </c>
      <c r="P3" s="4">
        <f t="shared" si="0"/>
        <v>3.533746115408878E-4</v>
      </c>
      <c r="Q3" s="4">
        <f t="shared" si="0"/>
        <v>3.595372935688436E-4</v>
      </c>
      <c r="R3" s="4">
        <f t="shared" si="0"/>
        <v>3.7326860644443704E-4</v>
      </c>
      <c r="S3" s="4">
        <f t="shared" si="0"/>
        <v>3.9114313448321655E-4</v>
      </c>
      <c r="T3" s="4">
        <f t="shared" si="0"/>
        <v>4.1258898627112453E-4</v>
      </c>
      <c r="U3" s="4">
        <f t="shared" si="0"/>
        <v>4.3061543834456651E-4</v>
      </c>
      <c r="V3" s="4">
        <f t="shared" si="0"/>
        <v>4.5082696279756963E-4</v>
      </c>
      <c r="W3" s="4">
        <f t="shared" si="0"/>
        <v>4.7350940137454764E-4</v>
      </c>
      <c r="X3" s="4">
        <f t="shared" si="0"/>
        <v>4.9555359266575917E-4</v>
      </c>
      <c r="Y3" s="4">
        <f t="shared" si="0"/>
        <v>4.9814177661940964E-4</v>
      </c>
      <c r="Z3" s="4">
        <f t="shared" si="0"/>
        <v>5.005370475447392E-4</v>
      </c>
      <c r="AA3" s="4">
        <f t="shared" si="0"/>
        <v>5.0086583277997277E-4</v>
      </c>
      <c r="AB3" s="4">
        <f t="shared" si="0"/>
        <v>5.0178640094292637E-4</v>
      </c>
      <c r="AC3" s="4">
        <f t="shared" si="0"/>
        <v>5.0324387363458276E-4</v>
      </c>
      <c r="AD3" s="4">
        <f t="shared" si="0"/>
        <v>5.0421920930309773E-4</v>
      </c>
      <c r="AE3" s="4">
        <f t="shared" si="0"/>
        <v>5.0513463478203127E-4</v>
      </c>
      <c r="AF3" s="4">
        <f t="shared" si="0"/>
        <v>5.0555618239317369E-4</v>
      </c>
      <c r="AG3" s="4">
        <f t="shared" si="0"/>
        <v>5.0601034654204982E-4</v>
      </c>
      <c r="AH3" s="4">
        <f t="shared" si="0"/>
        <v>5.0627369077658622E-4</v>
      </c>
      <c r="AI3" s="4">
        <f t="shared" si="0"/>
        <v>5.0691218757262853E-4</v>
      </c>
      <c r="AJ3" s="4">
        <f t="shared" si="0"/>
        <v>5.0699505270759317E-4</v>
      </c>
    </row>
    <row r="4" spans="1:36">
      <c r="A4" t="s">
        <v>4</v>
      </c>
      <c r="B4" s="8">
        <f>Extrapolations!X2</f>
        <v>2.9569994464129901E-4</v>
      </c>
      <c r="C4" s="4">
        <f>Extrapolations!Y2</f>
        <v>2.9958305787949267E-4</v>
      </c>
      <c r="D4" s="4">
        <f>Extrapolations!Z2</f>
        <v>3.0346617111768546E-4</v>
      </c>
      <c r="E4" s="4">
        <f>Extrapolations!AA2</f>
        <v>3.0734928435587912E-4</v>
      </c>
      <c r="F4" s="4">
        <f>Extrapolations!AB2</f>
        <v>3.1123239759407278E-4</v>
      </c>
      <c r="G4" s="4">
        <f>Extrapolations!AC2</f>
        <v>3.1511551083226644E-4</v>
      </c>
      <c r="H4" s="4">
        <f>Extrapolations!AD2</f>
        <v>3.1899862407045923E-4</v>
      </c>
      <c r="I4" s="4">
        <f>Extrapolations!AE2</f>
        <v>3.2288173730865289E-4</v>
      </c>
      <c r="J4" s="4">
        <f>Extrapolations!AF2</f>
        <v>3.2676485054684655E-4</v>
      </c>
      <c r="K4" s="4">
        <f>Extrapolations!AG2</f>
        <v>3.3064796378503935E-4</v>
      </c>
      <c r="L4" s="4">
        <f>Extrapolations!AH2</f>
        <v>3.3453107702323387E-4</v>
      </c>
      <c r="M4" s="4">
        <f>Extrapolations!AI2</f>
        <v>3.3841419026142667E-4</v>
      </c>
      <c r="N4" s="4">
        <f>Extrapolations!AJ2</f>
        <v>3.4229730349962119E-4</v>
      </c>
      <c r="O4" s="4">
        <f>Extrapolations!AK2</f>
        <v>3.4689862777648655E-4</v>
      </c>
      <c r="P4" s="4">
        <f>Extrapolations!AL2</f>
        <v>3.533746115408878E-4</v>
      </c>
      <c r="Q4" s="4">
        <f>Extrapolations!AM2</f>
        <v>3.595372935688436E-4</v>
      </c>
      <c r="R4" s="4">
        <f>Extrapolations!AN2</f>
        <v>3.7326860644443704E-4</v>
      </c>
      <c r="S4" s="4">
        <f>Extrapolations!AO2</f>
        <v>3.9114313448321655E-4</v>
      </c>
      <c r="T4" s="4">
        <f>Extrapolations!AP2</f>
        <v>4.1258898627112453E-4</v>
      </c>
      <c r="U4" s="4">
        <f>Extrapolations!AQ2</f>
        <v>4.3061543834456651E-4</v>
      </c>
      <c r="V4" s="4">
        <f>Extrapolations!AR2</f>
        <v>4.5082696279756963E-4</v>
      </c>
      <c r="W4" s="4">
        <f>Extrapolations!AS2</f>
        <v>4.7350940137454764E-4</v>
      </c>
      <c r="X4" s="4">
        <f>Extrapolations!AT2</f>
        <v>4.9555359266575917E-4</v>
      </c>
      <c r="Y4" s="4">
        <f>Extrapolations!AU2</f>
        <v>4.9814177661940964E-4</v>
      </c>
      <c r="Z4" s="4">
        <f>Extrapolations!AV2</f>
        <v>5.005370475447392E-4</v>
      </c>
      <c r="AA4" s="4">
        <f>Extrapolations!AW2</f>
        <v>5.0086583277997277E-4</v>
      </c>
      <c r="AB4" s="4">
        <f>Extrapolations!AX2</f>
        <v>5.0178640094292637E-4</v>
      </c>
      <c r="AC4" s="4">
        <f>Extrapolations!AY2</f>
        <v>5.0324387363458276E-4</v>
      </c>
      <c r="AD4" s="4">
        <f>Extrapolations!AZ2</f>
        <v>5.0421920930309773E-4</v>
      </c>
      <c r="AE4" s="4">
        <f>Extrapolations!BA2</f>
        <v>5.0513463478203127E-4</v>
      </c>
      <c r="AF4" s="4">
        <f>Extrapolations!BB2</f>
        <v>5.0555618239317369E-4</v>
      </c>
      <c r="AG4" s="4">
        <f>Extrapolations!BC2</f>
        <v>5.0601034654204982E-4</v>
      </c>
      <c r="AH4" s="4">
        <f>Extrapolations!BD2</f>
        <v>5.0627369077658622E-4</v>
      </c>
      <c r="AI4" s="4">
        <f>Extrapolations!BE2</f>
        <v>5.0691218757262853E-4</v>
      </c>
      <c r="AJ4" s="4">
        <f>Extrapolations!BF2</f>
        <v>5.0699505270759317E-4</v>
      </c>
    </row>
    <row r="5" spans="1:36">
      <c r="A5" t="s">
        <v>5</v>
      </c>
      <c r="B5" s="8">
        <f>B$4</f>
        <v>2.9569994464129901E-4</v>
      </c>
      <c r="C5" s="4">
        <f t="shared" si="0"/>
        <v>2.9958305787949267E-4</v>
      </c>
      <c r="D5" s="4">
        <f t="shared" si="0"/>
        <v>3.0346617111768546E-4</v>
      </c>
      <c r="E5" s="4">
        <f t="shared" si="0"/>
        <v>3.0734928435587912E-4</v>
      </c>
      <c r="F5" s="4">
        <f t="shared" si="0"/>
        <v>3.1123239759407278E-4</v>
      </c>
      <c r="G5" s="4">
        <f t="shared" si="0"/>
        <v>3.1511551083226644E-4</v>
      </c>
      <c r="H5" s="4">
        <f t="shared" si="0"/>
        <v>3.1899862407045923E-4</v>
      </c>
      <c r="I5" s="4">
        <f t="shared" si="0"/>
        <v>3.2288173730865289E-4</v>
      </c>
      <c r="J5" s="4">
        <f t="shared" si="0"/>
        <v>3.2676485054684655E-4</v>
      </c>
      <c r="K5" s="4">
        <f t="shared" si="0"/>
        <v>3.3064796378503935E-4</v>
      </c>
      <c r="L5" s="4">
        <f t="shared" si="0"/>
        <v>3.3453107702323387E-4</v>
      </c>
      <c r="M5" s="4">
        <f t="shared" si="0"/>
        <v>3.3841419026142667E-4</v>
      </c>
      <c r="N5" s="4">
        <f t="shared" si="0"/>
        <v>3.4229730349962119E-4</v>
      </c>
      <c r="O5" s="4">
        <f t="shared" si="0"/>
        <v>3.4689862777648655E-4</v>
      </c>
      <c r="P5" s="4">
        <f t="shared" si="0"/>
        <v>3.533746115408878E-4</v>
      </c>
      <c r="Q5" s="4">
        <f t="shared" si="0"/>
        <v>3.595372935688436E-4</v>
      </c>
      <c r="R5" s="4">
        <f t="shared" si="0"/>
        <v>3.7326860644443704E-4</v>
      </c>
      <c r="S5" s="4">
        <f t="shared" si="0"/>
        <v>3.9114313448321655E-4</v>
      </c>
      <c r="T5" s="4">
        <f t="shared" si="0"/>
        <v>4.1258898627112453E-4</v>
      </c>
      <c r="U5" s="4">
        <f t="shared" si="0"/>
        <v>4.3061543834456651E-4</v>
      </c>
      <c r="V5" s="4">
        <f t="shared" si="0"/>
        <v>4.5082696279756963E-4</v>
      </c>
      <c r="W5" s="4">
        <f t="shared" si="0"/>
        <v>4.7350940137454764E-4</v>
      </c>
      <c r="X5" s="4">
        <f t="shared" si="0"/>
        <v>4.9555359266575917E-4</v>
      </c>
      <c r="Y5" s="4">
        <f t="shared" si="0"/>
        <v>4.9814177661940964E-4</v>
      </c>
      <c r="Z5" s="4">
        <f t="shared" si="0"/>
        <v>5.005370475447392E-4</v>
      </c>
      <c r="AA5" s="4">
        <f t="shared" si="0"/>
        <v>5.0086583277997277E-4</v>
      </c>
      <c r="AB5" s="4">
        <f t="shared" si="0"/>
        <v>5.0178640094292637E-4</v>
      </c>
      <c r="AC5" s="4">
        <f t="shared" si="0"/>
        <v>5.0324387363458276E-4</v>
      </c>
      <c r="AD5" s="4">
        <f t="shared" si="0"/>
        <v>5.0421920930309773E-4</v>
      </c>
      <c r="AE5" s="4">
        <f t="shared" si="0"/>
        <v>5.0513463478203127E-4</v>
      </c>
      <c r="AF5" s="4">
        <f t="shared" si="0"/>
        <v>5.0555618239317369E-4</v>
      </c>
      <c r="AG5" s="4">
        <f t="shared" si="0"/>
        <v>5.0601034654204982E-4</v>
      </c>
      <c r="AH5" s="4">
        <f t="shared" si="0"/>
        <v>5.0627369077658622E-4</v>
      </c>
      <c r="AI5" s="4">
        <f t="shared" si="0"/>
        <v>5.0691218757262853E-4</v>
      </c>
      <c r="AJ5" s="4">
        <f t="shared" si="0"/>
        <v>5.0699505270759317E-4</v>
      </c>
    </row>
    <row r="6" spans="1:36">
      <c r="A6" t="s">
        <v>6</v>
      </c>
      <c r="B6" s="8">
        <f>B$4/(1-'Other Values'!$B$2)*'Other Values'!$B$6+B$4*(1-'Other Values'!$B$6)</f>
        <v>6.5092895708538582E-4</v>
      </c>
      <c r="C6" s="4">
        <f>C$4/(1-'Other Values'!$B$2)*'Other Values'!$B$6+C$4*(1-'Other Values'!$B$6)</f>
        <v>6.5947691556893576E-4</v>
      </c>
      <c r="D6" s="4">
        <f>D$4/(1-'Other Values'!$B$2)*'Other Values'!$B$6+D$4*(1-'Other Values'!$B$6)</f>
        <v>6.6802487405248385E-4</v>
      </c>
      <c r="E6" s="4">
        <f>E$4/(1-'Other Values'!$B$2)*'Other Values'!$B$6+E$4*(1-'Other Values'!$B$6)</f>
        <v>6.7657283253603389E-4</v>
      </c>
      <c r="F6" s="4">
        <f>F$4/(1-'Other Values'!$B$2)*'Other Values'!$B$6+F$4*(1-'Other Values'!$B$6)</f>
        <v>6.8512079101958371E-4</v>
      </c>
      <c r="G6" s="4">
        <f>G$4/(1-'Other Values'!$B$2)*'Other Values'!$B$6+G$4*(1-'Other Values'!$B$6)</f>
        <v>6.9366874950313375E-4</v>
      </c>
      <c r="H6" s="4">
        <f>H$4/(1-'Other Values'!$B$2)*'Other Values'!$B$6+H$4*(1-'Other Values'!$B$6)</f>
        <v>7.0221670798668195E-4</v>
      </c>
      <c r="I6" s="4">
        <f>I$4/(1-'Other Values'!$B$2)*'Other Values'!$B$6+I$4*(1-'Other Values'!$B$6)</f>
        <v>7.1076466647023177E-4</v>
      </c>
      <c r="J6" s="4">
        <f>J$4/(1-'Other Values'!$B$2)*'Other Values'!$B$6+J$4*(1-'Other Values'!$B$6)</f>
        <v>7.1931262495378181E-4</v>
      </c>
      <c r="K6" s="4">
        <f>K$4/(1-'Other Values'!$B$2)*'Other Values'!$B$6+K$4*(1-'Other Values'!$B$6)</f>
        <v>7.2786058343733001E-4</v>
      </c>
      <c r="L6" s="4">
        <f>L$4/(1-'Other Values'!$B$2)*'Other Values'!$B$6+L$4*(1-'Other Values'!$B$6)</f>
        <v>7.3640854192088189E-4</v>
      </c>
      <c r="M6" s="4">
        <f>M$4/(1-'Other Values'!$B$2)*'Other Values'!$B$6+M$4*(1-'Other Values'!$B$6)</f>
        <v>7.4495650040442988E-4</v>
      </c>
      <c r="N6" s="4">
        <f>N$4/(1-'Other Values'!$B$2)*'Other Values'!$B$6+N$4*(1-'Other Values'!$B$6)</f>
        <v>7.5350445888798176E-4</v>
      </c>
      <c r="O6" s="4">
        <f>O$4/(1-'Other Values'!$B$2)*'Other Values'!$B$6+O$4*(1-'Other Values'!$B$6)</f>
        <v>7.6363342667113419E-4</v>
      </c>
      <c r="P6" s="4">
        <f>P$4/(1-'Other Values'!$B$2)*'Other Values'!$B$6+P$4*(1-'Other Values'!$B$6)</f>
        <v>7.7788911198408577E-4</v>
      </c>
      <c r="Q6" s="4">
        <f>Q$4/(1-'Other Values'!$B$2)*'Other Values'!$B$6+Q$4*(1-'Other Values'!$B$6)</f>
        <v>7.9145512123773062E-4</v>
      </c>
      <c r="R6" s="4">
        <f>R$4/(1-'Other Values'!$B$2)*'Other Values'!$B$6+R$4*(1-'Other Values'!$B$6)</f>
        <v>8.2168207708097779E-4</v>
      </c>
      <c r="S6" s="4">
        <f>S$4/(1-'Other Values'!$B$2)*'Other Values'!$B$6+S$4*(1-'Other Values'!$B$6)</f>
        <v>8.6102955788213309E-4</v>
      </c>
      <c r="T6" s="4">
        <f>T$4/(1-'Other Values'!$B$2)*'Other Values'!$B$6+T$4*(1-'Other Values'!$B$6)</f>
        <v>9.0823865004156746E-4</v>
      </c>
      <c r="U6" s="4">
        <f>U$4/(1-'Other Values'!$B$2)*'Other Values'!$B$6+U$4*(1-'Other Values'!$B$6)</f>
        <v>9.479205636190259E-4</v>
      </c>
      <c r="V6" s="4">
        <f>V$4/(1-'Other Values'!$B$2)*'Other Values'!$B$6+V$4*(1-'Other Values'!$B$6)</f>
        <v>9.9241251152675522E-4</v>
      </c>
      <c r="W6" s="4">
        <f>W$4/(1-'Other Values'!$B$2)*'Other Values'!$B$6+W$4*(1-'Other Values'!$B$6)</f>
        <v>1.0423437217100238E-3</v>
      </c>
      <c r="X6" s="4">
        <f>X$4/(1-'Other Values'!$B$2)*'Other Values'!$B$6+X$4*(1-'Other Values'!$B$6)</f>
        <v>1.0908699480655459E-3</v>
      </c>
      <c r="Y6" s="4">
        <f>Y$4/(1-'Other Values'!$B$2)*'Other Values'!$B$6+Y$4*(1-'Other Values'!$B$6)</f>
        <v>1.0965673582687793E-3</v>
      </c>
      <c r="Z6" s="4">
        <f>Z$4/(1-'Other Values'!$B$2)*'Other Values'!$B$6+Z$4*(1-'Other Values'!$B$6)</f>
        <v>1.1018401059767744E-3</v>
      </c>
      <c r="AA6" s="4">
        <f>AA$4/(1-'Other Values'!$B$2)*'Other Values'!$B$6+AA$4*(1-'Other Values'!$B$6)</f>
        <v>1.10256386610644E-3</v>
      </c>
      <c r="AB6" s="4">
        <f>AB$4/(1-'Other Values'!$B$2)*'Other Values'!$B$6+AB$4*(1-'Other Values'!$B$6)</f>
        <v>1.1045903273388365E-3</v>
      </c>
      <c r="AC6" s="4">
        <f>AC$4/(1-'Other Values'!$B$2)*'Other Values'!$B$6+AC$4*(1-'Other Values'!$B$6)</f>
        <v>1.1077986849877064E-3</v>
      </c>
      <c r="AD6" s="4">
        <f>AD$4/(1-'Other Values'!$B$2)*'Other Values'!$B$6+AD$4*(1-'Other Values'!$B$6)</f>
        <v>1.1099457067948453E-3</v>
      </c>
      <c r="AE6" s="4">
        <f>AE$4/(1-'Other Values'!$B$2)*'Other Values'!$B$6+AE$4*(1-'Other Values'!$B$6)</f>
        <v>1.1119608473557081E-3</v>
      </c>
      <c r="AF6" s="4">
        <f>AF$4/(1-'Other Values'!$B$2)*'Other Values'!$B$6+AF$4*(1-'Other Values'!$B$6)</f>
        <v>1.1128888067681308E-3</v>
      </c>
      <c r="AG6" s="4">
        <f>AG$4/(1-'Other Values'!$B$2)*'Other Values'!$B$6+AG$4*(1-'Other Values'!$B$6)</f>
        <v>1.1138885654800648E-3</v>
      </c>
      <c r="AH6" s="4">
        <f>AH$4/(1-'Other Values'!$B$2)*'Other Values'!$B$6+AH$4*(1-'Other Values'!$B$6)</f>
        <v>1.1144682693016166E-3</v>
      </c>
      <c r="AI6" s="4">
        <f>AI$4/(1-'Other Values'!$B$2)*'Other Values'!$B$6+AI$4*(1-'Other Values'!$B$6)</f>
        <v>1.115873802380273E-3</v>
      </c>
      <c r="AJ6" s="4">
        <f>AJ$4/(1-'Other Values'!$B$2)*'Other Values'!$B$6+AJ$4*(1-'Other Values'!$B$6)</f>
        <v>1.1160562147102674E-3</v>
      </c>
    </row>
    <row r="7" spans="1:36">
      <c r="A7" t="s">
        <v>56</v>
      </c>
      <c r="B7" s="4">
        <v>2.1599999999999999E-4</v>
      </c>
      <c r="C7" s="4">
        <v>2.1599999999999999E-4</v>
      </c>
      <c r="D7" s="4">
        <v>2.2100000000000001E-4</v>
      </c>
      <c r="E7" s="4">
        <v>2.2699999999999999E-4</v>
      </c>
      <c r="F7" s="4">
        <v>2.33E-4</v>
      </c>
      <c r="G7" s="4">
        <v>2.3800000000000001E-4</v>
      </c>
      <c r="H7" s="4">
        <v>2.4399999999999999E-4</v>
      </c>
      <c r="I7" s="4">
        <v>2.4899999999999998E-4</v>
      </c>
      <c r="J7" s="4">
        <v>2.5500000000000002E-4</v>
      </c>
      <c r="K7" s="4">
        <v>2.61E-4</v>
      </c>
      <c r="L7" s="4">
        <v>2.6600000000000001E-4</v>
      </c>
      <c r="M7" s="4">
        <v>2.72E-4</v>
      </c>
      <c r="N7" s="4">
        <v>2.7700000000000001E-4</v>
      </c>
      <c r="O7" s="4">
        <v>2.8899999999999998E-4</v>
      </c>
      <c r="P7" s="4">
        <v>2.9399999999999999E-4</v>
      </c>
      <c r="Q7" s="4">
        <v>3.0400000000000002E-4</v>
      </c>
      <c r="R7" s="4">
        <v>3.1799999999999998E-4</v>
      </c>
      <c r="S7" s="4">
        <v>3.3599999999999998E-4</v>
      </c>
      <c r="T7" s="4">
        <v>3.5399999999999999E-4</v>
      </c>
      <c r="U7" s="4">
        <v>3.7100000000000002E-4</v>
      </c>
      <c r="V7" s="4">
        <v>3.8499999999999998E-4</v>
      </c>
      <c r="W7" s="4">
        <v>4.0499999999999998E-4</v>
      </c>
      <c r="X7" s="4">
        <v>4.06E-4</v>
      </c>
      <c r="Y7" s="4">
        <v>4.08E-4</v>
      </c>
      <c r="Z7" s="4">
        <v>4.0900000000000002E-4</v>
      </c>
      <c r="AA7" s="4">
        <v>4.1100000000000002E-4</v>
      </c>
      <c r="AB7" s="4">
        <v>4.1199999999999999E-4</v>
      </c>
      <c r="AC7" s="4">
        <v>4.1399999999999998E-4</v>
      </c>
      <c r="AD7" s="4">
        <v>4.15E-4</v>
      </c>
      <c r="AE7" s="4">
        <v>4.17E-4</v>
      </c>
      <c r="AF7" s="4">
        <v>4.1899999999999999E-4</v>
      </c>
      <c r="AG7" s="4">
        <v>4.2000000000000002E-4</v>
      </c>
      <c r="AH7" s="4">
        <v>4.2099999999999999E-4</v>
      </c>
      <c r="AI7" s="4">
        <v>4.2200000000000001E-4</v>
      </c>
      <c r="AJ7" s="4">
        <v>4.2299999999999998E-4</v>
      </c>
    </row>
    <row r="8" spans="1:36">
      <c r="A8" t="s">
        <v>57</v>
      </c>
      <c r="B8" s="4">
        <v>7.1400000000000001E-4</v>
      </c>
      <c r="C8" s="4">
        <v>6.96E-4</v>
      </c>
      <c r="D8" s="4">
        <v>7.1400000000000001E-4</v>
      </c>
      <c r="E8" s="4">
        <v>7.3200000000000001E-4</v>
      </c>
      <c r="F8" s="4">
        <v>7.5000000000000002E-4</v>
      </c>
      <c r="G8" s="4">
        <v>7.6800000000000002E-4</v>
      </c>
      <c r="H8" s="4">
        <v>7.8600000000000002E-4</v>
      </c>
      <c r="I8" s="4">
        <v>8.0400000000000003E-4</v>
      </c>
      <c r="J8" s="4">
        <v>8.2200000000000003E-4</v>
      </c>
      <c r="K8" s="4">
        <v>8.4000000000000003E-4</v>
      </c>
      <c r="L8" s="4">
        <v>8.5899999999999995E-4</v>
      </c>
      <c r="M8" s="4">
        <v>8.7699999999999996E-4</v>
      </c>
      <c r="N8" s="4">
        <v>8.9499999999999996E-4</v>
      </c>
      <c r="O8" s="4">
        <v>9.3099999999999997E-4</v>
      </c>
      <c r="P8" s="4">
        <v>9.5E-4</v>
      </c>
      <c r="Q8" s="4">
        <v>9.7999999999999997E-4</v>
      </c>
      <c r="R8" s="4">
        <v>1.0300000000000001E-3</v>
      </c>
      <c r="S8" s="4">
        <v>1.08E-3</v>
      </c>
      <c r="T8" s="4">
        <v>1.14E-3</v>
      </c>
      <c r="U8" s="4">
        <v>1.1999999999999999E-3</v>
      </c>
      <c r="V8" s="4">
        <v>1.24E-3</v>
      </c>
      <c r="W8" s="4">
        <v>1.31E-3</v>
      </c>
      <c r="X8" s="4">
        <v>1.31E-3</v>
      </c>
      <c r="Y8" s="4">
        <v>1.32E-3</v>
      </c>
      <c r="Z8" s="4">
        <v>1.32E-3</v>
      </c>
      <c r="AA8" s="4">
        <v>1.33E-3</v>
      </c>
      <c r="AB8" s="4">
        <v>1.33E-3</v>
      </c>
      <c r="AC8" s="4">
        <v>1.33E-3</v>
      </c>
      <c r="AD8" s="4">
        <v>1.34E-3</v>
      </c>
      <c r="AE8" s="4">
        <v>1.3500000000000001E-3</v>
      </c>
      <c r="AF8" s="4">
        <v>1.3500000000000001E-3</v>
      </c>
      <c r="AG8" s="4">
        <v>1.3500000000000001E-3</v>
      </c>
      <c r="AH8" s="4">
        <v>1.3600000000000001E-3</v>
      </c>
      <c r="AI8" s="4">
        <v>1.3600000000000001E-3</v>
      </c>
      <c r="AJ8" s="4">
        <v>1.3600000000000001E-3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/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3.4689862777648655E-4</v>
      </c>
      <c r="E8" s="4">
        <v>3.533746115408878E-4</v>
      </c>
      <c r="F8" s="4">
        <v>3.595372935688436E-4</v>
      </c>
      <c r="G8" s="4">
        <v>3.7326860644443704E-4</v>
      </c>
      <c r="H8" s="4">
        <v>3.9114313448321655E-4</v>
      </c>
      <c r="I8" s="4">
        <v>4.1258898627112453E-4</v>
      </c>
      <c r="J8" s="4">
        <v>4.3061543834456651E-4</v>
      </c>
      <c r="K8" s="4">
        <v>4.5082696279756963E-4</v>
      </c>
      <c r="L8" s="4">
        <v>4.7350940137454764E-4</v>
      </c>
      <c r="M8" s="4">
        <v>4.9555359266575917E-4</v>
      </c>
      <c r="N8" s="4">
        <v>4.9814177661940964E-4</v>
      </c>
      <c r="O8" s="4">
        <v>5.005370475447392E-4</v>
      </c>
      <c r="P8" s="4">
        <v>5.0086583277997277E-4</v>
      </c>
      <c r="Q8" s="4">
        <v>5.0178640094292637E-4</v>
      </c>
      <c r="R8" s="4">
        <v>5.0324387363458276E-4</v>
      </c>
      <c r="S8" s="4">
        <v>5.0421920930309773E-4</v>
      </c>
      <c r="T8" s="4">
        <v>5.0513463478203127E-4</v>
      </c>
      <c r="U8" s="4">
        <v>5.0555618239317369E-4</v>
      </c>
      <c r="V8" s="4">
        <v>5.0601034654204982E-4</v>
      </c>
      <c r="W8" s="4">
        <v>5.0627369077658622E-4</v>
      </c>
      <c r="X8" s="4">
        <v>5.0691218757262853E-4</v>
      </c>
      <c r="Y8" s="4">
        <v>5.0699505270759317E-4</v>
      </c>
      <c r="Z8" s="4">
        <v>5.0688468599555103E-4</v>
      </c>
      <c r="AA8" s="4">
        <v>5.0761128764235193E-4</v>
      </c>
      <c r="AB8" s="4">
        <v>5.079302449450513E-4</v>
      </c>
      <c r="AC8" s="4">
        <v>5.0796631304160164E-4</v>
      </c>
      <c r="AD8" s="4">
        <v>5.0790217503901189E-4</v>
      </c>
      <c r="AE8" s="4">
        <v>5.0780345213984523E-4</v>
      </c>
      <c r="AF8" s="4">
        <v>5.0749956248547434E-4</v>
      </c>
      <c r="AG8" s="4">
        <v>5.0713982411434641E-4</v>
      </c>
      <c r="AH8" s="4">
        <v>5.0691953426408576E-4</v>
      </c>
      <c r="AI8" s="4">
        <v>5.0681267455758821E-4</v>
      </c>
      <c r="AJ8" s="4">
        <v>5.0623724841462208E-4</v>
      </c>
      <c r="AK8" s="4">
        <v>5.0594848185530727E-4</v>
      </c>
      <c r="AL8" s="4">
        <v>5.0628113449981745E-4</v>
      </c>
    </row>
    <row r="9" spans="1:38">
      <c r="A9" t="s">
        <v>17</v>
      </c>
      <c r="B9" t="s">
        <v>24</v>
      </c>
      <c r="C9" t="s">
        <v>4</v>
      </c>
      <c r="D9" s="4">
        <v>1.0882987482984162E-4</v>
      </c>
      <c r="E9" s="4">
        <v>1.1003221388492314E-4</v>
      </c>
      <c r="F9" s="4">
        <v>1.520298980709851E-4</v>
      </c>
      <c r="G9" s="4">
        <v>1.5231271788571999E-4</v>
      </c>
      <c r="H9" s="4">
        <v>1.5309594442046548E-4</v>
      </c>
      <c r="I9" s="4">
        <v>1.5450688933895548E-4</v>
      </c>
      <c r="J9" s="4">
        <v>1.5581085859424284E-4</v>
      </c>
      <c r="K9" s="4">
        <v>1.5756644476908264E-4</v>
      </c>
      <c r="L9" s="4">
        <v>1.5972587901324744E-4</v>
      </c>
      <c r="M9" s="4">
        <v>1.6211347488296425E-4</v>
      </c>
      <c r="N9" s="4">
        <v>1.6453918622796242E-4</v>
      </c>
      <c r="O9" s="4">
        <v>1.6672909957169893E-4</v>
      </c>
      <c r="P9" s="4">
        <v>1.6765206348152327E-4</v>
      </c>
      <c r="Q9" s="4">
        <v>1.6889974766758523E-4</v>
      </c>
      <c r="R9" s="4">
        <v>1.6983049736047013E-4</v>
      </c>
      <c r="S9" s="4">
        <v>1.704218599555098E-4</v>
      </c>
      <c r="T9" s="4">
        <v>1.7072298217072279E-4</v>
      </c>
      <c r="U9" s="4">
        <v>1.7039651050831703E-4</v>
      </c>
      <c r="V9" s="4">
        <v>1.7046200903084435E-4</v>
      </c>
      <c r="W9" s="4">
        <v>1.7053722733158469E-4</v>
      </c>
      <c r="X9" s="4">
        <v>1.7061855473289285E-4</v>
      </c>
      <c r="Y9" s="4">
        <v>1.7071717188485674E-4</v>
      </c>
      <c r="Z9" s="4">
        <v>1.7083381752382219E-4</v>
      </c>
      <c r="AA9" s="4">
        <v>1.7093974733556892E-4</v>
      </c>
      <c r="AB9" s="4">
        <v>1.7106113250771939E-4</v>
      </c>
      <c r="AC9" s="4">
        <v>1.7113055712341047E-4</v>
      </c>
      <c r="AD9" s="4">
        <v>1.7112909625153559E-4</v>
      </c>
      <c r="AE9" s="4">
        <v>1.7105816926192769E-4</v>
      </c>
      <c r="AF9" s="4">
        <v>1.7098828812377569E-4</v>
      </c>
      <c r="AG9" s="4">
        <v>1.7091076230950561E-4</v>
      </c>
      <c r="AH9" s="4">
        <v>1.7084201832730171E-4</v>
      </c>
      <c r="AI9" s="4">
        <v>1.7081593014376306E-4</v>
      </c>
      <c r="AJ9" s="4">
        <v>1.7077899332647168E-4</v>
      </c>
      <c r="AK9" s="4">
        <v>1.7076219329991034E-4</v>
      </c>
      <c r="AL9" s="4">
        <v>1.7074902055181116E-4</v>
      </c>
    </row>
    <row r="10" spans="1:38">
      <c r="A10" t="s">
        <v>9</v>
      </c>
      <c r="B10" t="s">
        <v>23</v>
      </c>
      <c r="C10" t="s">
        <v>5</v>
      </c>
      <c r="D10" s="4">
        <v>1.3668458833469338E-3</v>
      </c>
      <c r="E10" s="4">
        <v>1.3975668302200186E-3</v>
      </c>
      <c r="F10" s="4">
        <v>1.4539352014141741E-3</v>
      </c>
      <c r="G10" s="4">
        <v>1.4594289950245018E-3</v>
      </c>
      <c r="H10" s="4">
        <v>1.4756859359754187E-3</v>
      </c>
      <c r="I10" s="4">
        <v>1.5016126181406836E-3</v>
      </c>
      <c r="J10" s="4">
        <v>1.5276214349660051E-3</v>
      </c>
      <c r="K10" s="4">
        <v>1.5666123269593431E-3</v>
      </c>
      <c r="L10" s="4">
        <v>1.6094338318399224E-3</v>
      </c>
      <c r="M10" s="4">
        <v>1.6568663211644192E-3</v>
      </c>
      <c r="N10" s="4">
        <v>1.7081812881839685E-3</v>
      </c>
      <c r="O10" s="4">
        <v>1.7603980753137162E-3</v>
      </c>
      <c r="P10" s="4">
        <v>1.7845493568158617E-3</v>
      </c>
      <c r="Q10" s="4">
        <v>1.8180510695056168E-3</v>
      </c>
      <c r="R10" s="4">
        <v>1.8479085873006195E-3</v>
      </c>
      <c r="S10" s="4">
        <v>1.8760039936359277E-3</v>
      </c>
      <c r="T10" s="4">
        <v>1.8909964299665071E-3</v>
      </c>
      <c r="U10" s="4">
        <v>1.8902585100318827E-3</v>
      </c>
      <c r="V10" s="4">
        <v>1.8890626662959073E-3</v>
      </c>
      <c r="W10" s="4">
        <v>1.8874328931536531E-3</v>
      </c>
      <c r="X10" s="4">
        <v>1.8894672487112889E-3</v>
      </c>
      <c r="Y10" s="4">
        <v>1.8913378886656201E-3</v>
      </c>
      <c r="Z10" s="4">
        <v>1.8911140025023637E-3</v>
      </c>
      <c r="AA10" s="4">
        <v>1.890425178791504E-3</v>
      </c>
      <c r="AB10" s="4">
        <v>1.8935527559031118E-3</v>
      </c>
      <c r="AC10" s="4">
        <v>1.8964636451699846E-3</v>
      </c>
      <c r="AD10" s="4">
        <v>1.8957866340843915E-3</v>
      </c>
      <c r="AE10" s="4">
        <v>1.8949903893125133E-3</v>
      </c>
      <c r="AF10" s="4">
        <v>1.8967224154922315E-3</v>
      </c>
      <c r="AG10" s="4">
        <v>1.8990919542918078E-3</v>
      </c>
      <c r="AH10" s="4">
        <v>1.9004478221856921E-3</v>
      </c>
      <c r="AI10" s="4">
        <v>1.9004472684688823E-3</v>
      </c>
      <c r="AJ10" s="4">
        <v>1.9035772450199976E-3</v>
      </c>
      <c r="AK10" s="4">
        <v>1.9056848757687405E-3</v>
      </c>
      <c r="AL10" s="4">
        <v>1.9060536511637826E-3</v>
      </c>
    </row>
    <row r="11" spans="1:38">
      <c r="A11" t="s">
        <v>9</v>
      </c>
      <c r="B11" t="s">
        <v>24</v>
      </c>
      <c r="C11" t="s">
        <v>5</v>
      </c>
      <c r="D11" s="4">
        <v>8.6202927567441716E-4</v>
      </c>
      <c r="E11" s="4">
        <v>8.8140406832930762E-4</v>
      </c>
      <c r="F11" s="4">
        <v>9.1695393300934153E-4</v>
      </c>
      <c r="G11" s="4">
        <v>9.2041870616651632E-4</v>
      </c>
      <c r="H11" s="4">
        <v>9.306714780432442E-4</v>
      </c>
      <c r="I11" s="4">
        <v>9.4702266973197924E-4</v>
      </c>
      <c r="J11" s="4">
        <v>9.6342566132177042E-4</v>
      </c>
      <c r="K11" s="4">
        <v>9.8801606378954112E-4</v>
      </c>
      <c r="L11" s="4">
        <v>1.015022320519163E-3</v>
      </c>
      <c r="M11" s="4">
        <v>1.0449365887728081E-3</v>
      </c>
      <c r="N11" s="4">
        <v>1.0772994208887467E-3</v>
      </c>
      <c r="O11" s="4">
        <v>1.1102310042778571E-3</v>
      </c>
      <c r="P11" s="4">
        <v>1.1254625032738701E-3</v>
      </c>
      <c r="Q11" s="4">
        <v>1.1465910426912669E-3</v>
      </c>
      <c r="R11" s="4">
        <v>1.1654212961615693E-3</v>
      </c>
      <c r="S11" s="4">
        <v>1.1831402380467362E-3</v>
      </c>
      <c r="T11" s="4">
        <v>1.1925955242557402E-3</v>
      </c>
      <c r="U11" s="4">
        <v>1.192130139976137E-3</v>
      </c>
      <c r="V11" s="4">
        <v>1.1913759566976108E-3</v>
      </c>
      <c r="W11" s="4">
        <v>1.190348106975526E-3</v>
      </c>
      <c r="X11" s="4">
        <v>1.1916311148619154E-3</v>
      </c>
      <c r="Y11" s="4">
        <v>1.1928108721590083E-3</v>
      </c>
      <c r="Z11" s="4">
        <v>1.1926696737770276E-3</v>
      </c>
      <c r="AA11" s="4">
        <v>1.1922352530337865E-3</v>
      </c>
      <c r="AB11" s="4">
        <v>1.1942077234234497E-3</v>
      </c>
      <c r="AC11" s="4">
        <v>1.1960435351977417E-3</v>
      </c>
      <c r="AD11" s="4">
        <v>1.1956165643279108E-3</v>
      </c>
      <c r="AE11" s="4">
        <v>1.1951143962983441E-3</v>
      </c>
      <c r="AF11" s="4">
        <v>1.1962067339871374E-3</v>
      </c>
      <c r="AG11" s="4">
        <v>1.1977011320315457E-3</v>
      </c>
      <c r="AH11" s="4">
        <v>1.1985562378139278E-3</v>
      </c>
      <c r="AI11" s="4">
        <v>1.1985558886011115E-3</v>
      </c>
      <c r="AJ11" s="4">
        <v>1.2005298722463115E-3</v>
      </c>
      <c r="AK11" s="4">
        <v>1.2018590926286994E-3</v>
      </c>
      <c r="AL11" s="4">
        <v>1.2020916683642289E-3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3.7741099996407915E-3</v>
      </c>
      <c r="F15" s="4">
        <v>3.79446750783136E-3</v>
      </c>
      <c r="G15" s="4">
        <v>3.8149406512605257E-3</v>
      </c>
      <c r="H15" s="4">
        <v>3.8298140444111657E-3</v>
      </c>
      <c r="I15" s="4">
        <v>3.8773516961968964E-3</v>
      </c>
      <c r="J15" s="4">
        <v>3.9240798890653782E-3</v>
      </c>
      <c r="K15" s="4">
        <v>3.9701414824010097E-3</v>
      </c>
      <c r="L15" s="4">
        <v>4.0161126356220008E-3</v>
      </c>
      <c r="M15" s="4">
        <v>4.0292667794948134E-3</v>
      </c>
      <c r="N15" s="4">
        <v>4.0978255876444368E-3</v>
      </c>
      <c r="O15" s="4">
        <v>4.1652664073586702E-3</v>
      </c>
      <c r="P15" s="4">
        <v>4.2315598161451699E-3</v>
      </c>
      <c r="Q15" s="4">
        <v>4.2970691750486905E-3</v>
      </c>
      <c r="R15" s="4">
        <v>4.3055196249846541E-3</v>
      </c>
      <c r="S15" s="4">
        <v>4.3336931734858728E-3</v>
      </c>
      <c r="T15" s="4">
        <v>4.3616872213495137E-3</v>
      </c>
      <c r="U15" s="4">
        <v>4.3889090622222671E-3</v>
      </c>
      <c r="V15" s="4">
        <v>4.4182036224326713E-3</v>
      </c>
      <c r="W15" s="4">
        <v>4.4290378337835347E-3</v>
      </c>
      <c r="X15" s="4">
        <v>4.4644621339203026E-3</v>
      </c>
      <c r="Y15" s="4">
        <v>4.4992110112726793E-3</v>
      </c>
      <c r="Z15" s="4">
        <v>4.5358303647640187E-3</v>
      </c>
      <c r="AA15" s="4">
        <v>4.5749988349475246E-3</v>
      </c>
      <c r="AB15" s="4">
        <v>4.6134408414514163E-3</v>
      </c>
      <c r="AC15" s="4">
        <v>4.6292190908428163E-3</v>
      </c>
      <c r="AD15" s="4">
        <v>4.6464685144938936E-3</v>
      </c>
      <c r="AE15" s="4">
        <v>4.6649506258836931E-3</v>
      </c>
      <c r="AF15" s="4">
        <v>4.6856608292664744E-3</v>
      </c>
      <c r="AG15" s="4">
        <v>4.7080395883471711E-3</v>
      </c>
      <c r="AH15" s="4">
        <v>4.7329978183574175E-3</v>
      </c>
      <c r="AI15" s="4">
        <v>4.7618306481741193E-3</v>
      </c>
      <c r="AJ15" s="4">
        <v>4.7908996493749162E-3</v>
      </c>
      <c r="AK15" s="4">
        <v>4.8241474873821789E-3</v>
      </c>
      <c r="AL15" s="4">
        <v>4.8586148660456855E-3</v>
      </c>
    </row>
    <row r="16" spans="1:38">
      <c r="A16" t="s">
        <v>19</v>
      </c>
      <c r="B16" t="s">
        <v>23</v>
      </c>
      <c r="C16" t="s">
        <v>7</v>
      </c>
      <c r="D16" s="4">
        <v>9.7979641522397912E-6</v>
      </c>
      <c r="E16" s="4">
        <v>9.7979641522397912E-6</v>
      </c>
      <c r="F16" s="4">
        <v>9.7979641522397912E-6</v>
      </c>
      <c r="G16" s="4">
        <v>9.7979641522397912E-6</v>
      </c>
      <c r="H16" s="4">
        <v>9.7979641522397912E-6</v>
      </c>
      <c r="I16" s="4">
        <v>9.7979641522397912E-6</v>
      </c>
      <c r="J16" s="4">
        <v>9.7979641522397912E-6</v>
      </c>
      <c r="K16" s="4">
        <v>9.7979641522397912E-6</v>
      </c>
      <c r="L16" s="4">
        <v>9.7979641522397912E-6</v>
      </c>
      <c r="M16" s="4">
        <v>9.7979641522397912E-6</v>
      </c>
      <c r="N16" s="4">
        <v>9.7979641522397912E-6</v>
      </c>
      <c r="O16" s="4">
        <v>9.7979641522397912E-6</v>
      </c>
      <c r="P16" s="4">
        <v>9.7979641522397912E-6</v>
      </c>
      <c r="Q16" s="4">
        <v>9.7979641522397912E-6</v>
      </c>
      <c r="R16" s="4">
        <v>9.7979641522397912E-6</v>
      </c>
      <c r="S16" s="4">
        <v>9.7979641522397912E-6</v>
      </c>
      <c r="T16" s="4">
        <v>9.7979641522397912E-6</v>
      </c>
      <c r="U16" s="4">
        <v>9.7979641522397912E-6</v>
      </c>
      <c r="V16" s="4">
        <v>9.7979641522397912E-6</v>
      </c>
      <c r="W16" s="4">
        <v>9.7979641522397912E-6</v>
      </c>
      <c r="X16" s="4">
        <v>9.7979641522397912E-6</v>
      </c>
      <c r="Y16" s="4">
        <v>9.7979641522397912E-6</v>
      </c>
      <c r="Z16" s="4">
        <v>9.7979641522397912E-6</v>
      </c>
      <c r="AA16" s="4">
        <v>9.7979641522397912E-6</v>
      </c>
      <c r="AB16" s="4">
        <v>9.7979641522397912E-6</v>
      </c>
      <c r="AC16" s="4">
        <v>9.7979641522397912E-6</v>
      </c>
      <c r="AD16" s="4">
        <v>9.7979641522397912E-6</v>
      </c>
      <c r="AE16" s="4">
        <v>9.7979641522397912E-6</v>
      </c>
      <c r="AF16" s="4">
        <v>9.7979641522397912E-6</v>
      </c>
      <c r="AG16" s="4">
        <v>9.7979641522397912E-6</v>
      </c>
      <c r="AH16" s="4">
        <v>9.7979641522397912E-6</v>
      </c>
      <c r="AI16" s="4">
        <v>9.7979641522397912E-6</v>
      </c>
      <c r="AJ16" s="4">
        <v>9.7979641522397912E-6</v>
      </c>
      <c r="AK16" s="4">
        <v>9.7979641522397912E-6</v>
      </c>
      <c r="AL16" s="4">
        <v>9.7979641522397912E-6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1.1357372671786689E-3</v>
      </c>
      <c r="E18" s="4">
        <v>1.1357372671786689E-3</v>
      </c>
      <c r="F18" s="4">
        <v>1.1357372671786689E-3</v>
      </c>
      <c r="G18" s="4">
        <v>1.1357372671786689E-3</v>
      </c>
      <c r="H18" s="4">
        <v>1.1357372671786689E-3</v>
      </c>
      <c r="I18" s="4">
        <v>1.1357372671786689E-3</v>
      </c>
      <c r="J18" s="4">
        <v>1.1357372671786689E-3</v>
      </c>
      <c r="K18" s="4">
        <v>1.1357372671786689E-3</v>
      </c>
      <c r="L18" s="4">
        <v>1.1357372671786689E-3</v>
      </c>
      <c r="M18" s="4">
        <v>1.1357372671786689E-3</v>
      </c>
      <c r="N18" s="4">
        <v>1.1357372671786689E-3</v>
      </c>
      <c r="O18" s="4">
        <v>1.1357372671786689E-3</v>
      </c>
      <c r="P18" s="4">
        <v>1.1357372671786689E-3</v>
      </c>
      <c r="Q18" s="4">
        <v>1.1357372671786689E-3</v>
      </c>
      <c r="R18" s="4">
        <v>1.1357372671786689E-3</v>
      </c>
      <c r="S18" s="4">
        <v>1.1357372671786689E-3</v>
      </c>
      <c r="T18" s="4">
        <v>1.1357372671786689E-3</v>
      </c>
      <c r="U18" s="4">
        <v>1.1357372671786689E-3</v>
      </c>
      <c r="V18" s="4">
        <v>1.1357372671786689E-3</v>
      </c>
      <c r="W18" s="4">
        <v>1.1357372671786689E-3</v>
      </c>
      <c r="X18" s="4">
        <v>1.1357372671786689E-3</v>
      </c>
      <c r="Y18" s="4">
        <v>1.1357372671786689E-3</v>
      </c>
      <c r="Z18" s="4">
        <v>1.1357372671786689E-3</v>
      </c>
      <c r="AA18" s="4">
        <v>1.1357372671786689E-3</v>
      </c>
      <c r="AB18" s="4">
        <v>1.1357372671786689E-3</v>
      </c>
      <c r="AC18" s="4">
        <v>1.1357372671786689E-3</v>
      </c>
      <c r="AD18" s="4">
        <v>1.1357372671786689E-3</v>
      </c>
      <c r="AE18" s="4">
        <v>1.1357372671786689E-3</v>
      </c>
      <c r="AF18" s="4">
        <v>1.1357372671786689E-3</v>
      </c>
      <c r="AG18" s="4">
        <v>1.1357372671786689E-3</v>
      </c>
      <c r="AH18" s="4">
        <v>1.1357372671786689E-3</v>
      </c>
      <c r="AI18" s="4">
        <v>1.1357372671786689E-3</v>
      </c>
      <c r="AJ18" s="4">
        <v>1.1357372671786689E-3</v>
      </c>
      <c r="AK18" s="4">
        <v>1.1357372671786689E-3</v>
      </c>
      <c r="AL18" s="4">
        <v>1.1357372671786689E-3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2.9569994464129901E-4</v>
      </c>
      <c r="Y2" s="20">
        <f t="shared" si="0"/>
        <v>2.9958305787949267E-4</v>
      </c>
      <c r="Z2" s="20">
        <f t="shared" si="0"/>
        <v>3.0346617111768546E-4</v>
      </c>
      <c r="AA2" s="20">
        <f t="shared" si="0"/>
        <v>3.0734928435587912E-4</v>
      </c>
      <c r="AB2" s="20">
        <f t="shared" si="0"/>
        <v>3.1123239759407278E-4</v>
      </c>
      <c r="AC2" s="20">
        <f t="shared" si="0"/>
        <v>3.1511551083226644E-4</v>
      </c>
      <c r="AD2" s="20">
        <f t="shared" si="0"/>
        <v>3.1899862407045923E-4</v>
      </c>
      <c r="AE2" s="20">
        <f t="shared" si="0"/>
        <v>3.2288173730865289E-4</v>
      </c>
      <c r="AF2" s="20">
        <f t="shared" si="0"/>
        <v>3.2676485054684655E-4</v>
      </c>
      <c r="AG2" s="20">
        <f t="shared" si="0"/>
        <v>3.3064796378503935E-4</v>
      </c>
      <c r="AH2" s="20">
        <f t="shared" si="0"/>
        <v>3.3453107702323387E-4</v>
      </c>
      <c r="AI2" s="20">
        <f t="shared" si="0"/>
        <v>3.3841419026142667E-4</v>
      </c>
      <c r="AJ2" s="14">
        <f>TREND($AK2:$BS2,$AK$1:$BS$1,AJ$1)-($AP2-$AK2)</f>
        <v>3.4229730349962119E-4</v>
      </c>
      <c r="AK2" s="16">
        <f>BNVFE!D8</f>
        <v>3.4689862777648655E-4</v>
      </c>
      <c r="AL2" s="17">
        <f>BNVFE!E8</f>
        <v>3.533746115408878E-4</v>
      </c>
      <c r="AM2" s="17">
        <f>BNVFE!F8</f>
        <v>3.595372935688436E-4</v>
      </c>
      <c r="AN2" s="17">
        <f>BNVFE!G8</f>
        <v>3.7326860644443704E-4</v>
      </c>
      <c r="AO2" s="17">
        <f>BNVFE!H8</f>
        <v>3.9114313448321655E-4</v>
      </c>
      <c r="AP2" s="17">
        <f>BNVFE!I8</f>
        <v>4.1258898627112453E-4</v>
      </c>
      <c r="AQ2" s="17">
        <f>BNVFE!J8</f>
        <v>4.3061543834456651E-4</v>
      </c>
      <c r="AR2" s="17">
        <f>BNVFE!K8</f>
        <v>4.5082696279756963E-4</v>
      </c>
      <c r="AS2" s="17">
        <f>BNVFE!L8</f>
        <v>4.7350940137454764E-4</v>
      </c>
      <c r="AT2" s="17">
        <f>BNVFE!M8</f>
        <v>4.9555359266575917E-4</v>
      </c>
      <c r="AU2" s="17">
        <f>BNVFE!N8</f>
        <v>4.9814177661940964E-4</v>
      </c>
      <c r="AV2" s="17">
        <f>BNVFE!O8</f>
        <v>5.005370475447392E-4</v>
      </c>
      <c r="AW2" s="17">
        <f>BNVFE!P8</f>
        <v>5.0086583277997277E-4</v>
      </c>
      <c r="AX2" s="17">
        <f>BNVFE!Q8</f>
        <v>5.0178640094292637E-4</v>
      </c>
      <c r="AY2" s="17">
        <f>BNVFE!R8</f>
        <v>5.0324387363458276E-4</v>
      </c>
      <c r="AZ2" s="17">
        <f>BNVFE!S8</f>
        <v>5.0421920930309773E-4</v>
      </c>
      <c r="BA2" s="17">
        <f>BNVFE!T8</f>
        <v>5.0513463478203127E-4</v>
      </c>
      <c r="BB2" s="17">
        <f>BNVFE!U8</f>
        <v>5.0555618239317369E-4</v>
      </c>
      <c r="BC2" s="17">
        <f>BNVFE!V8</f>
        <v>5.0601034654204982E-4</v>
      </c>
      <c r="BD2" s="17">
        <f>BNVFE!W8</f>
        <v>5.0627369077658622E-4</v>
      </c>
      <c r="BE2" s="17">
        <f>BNVFE!X8</f>
        <v>5.0691218757262853E-4</v>
      </c>
      <c r="BF2" s="17">
        <f>BNVFE!Y8</f>
        <v>5.0699505270759317E-4</v>
      </c>
      <c r="BG2" s="17">
        <f>BNVFE!Z8</f>
        <v>5.0688468599555103E-4</v>
      </c>
      <c r="BH2" s="17">
        <f>BNVFE!AA8</f>
        <v>5.0761128764235193E-4</v>
      </c>
      <c r="BI2" s="17">
        <f>BNVFE!AB8</f>
        <v>5.079302449450513E-4</v>
      </c>
      <c r="BJ2" s="17">
        <f>BNVFE!AC8</f>
        <v>5.0796631304160164E-4</v>
      </c>
      <c r="BK2" s="17">
        <f>BNVFE!AD8</f>
        <v>5.0790217503901189E-4</v>
      </c>
      <c r="BL2" s="17">
        <f>BNVFE!AE8</f>
        <v>5.0780345213984523E-4</v>
      </c>
      <c r="BM2" s="17">
        <f>BNVFE!AF8</f>
        <v>5.0749956248547434E-4</v>
      </c>
      <c r="BN2" s="17">
        <f>BNVFE!AG8</f>
        <v>5.0713982411434641E-4</v>
      </c>
      <c r="BO2" s="17">
        <f>BNVFE!AH8</f>
        <v>5.0691953426408576E-4</v>
      </c>
      <c r="BP2" s="17">
        <f>BNVFE!AI8</f>
        <v>5.0681267455758821E-4</v>
      </c>
      <c r="BQ2" s="17">
        <f>BNVFE!AJ8</f>
        <v>5.0623724841462208E-4</v>
      </c>
      <c r="BR2" s="17">
        <f>BNVFE!AK8</f>
        <v>5.0594848185530727E-4</v>
      </c>
      <c r="BS2" s="17">
        <f>BNVFE!AL8</f>
        <v>5.0628113449981745E-4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TREND($AK3:$BS3,$AK$1:$BS$1,X$1)-($AM3-$AK3*1.05)</f>
        <v>9.5697574271914285E-5</v>
      </c>
      <c r="Y3" s="20">
        <f t="shared" si="1"/>
        <v>9.6696228747815595E-5</v>
      </c>
      <c r="Z3" s="20">
        <f t="shared" si="1"/>
        <v>9.7694883223716471E-5</v>
      </c>
      <c r="AA3" s="20">
        <f t="shared" si="1"/>
        <v>9.869353769961778E-5</v>
      </c>
      <c r="AB3" s="20">
        <f t="shared" si="1"/>
        <v>9.9692192175518656E-5</v>
      </c>
      <c r="AC3" s="20">
        <f t="shared" si="1"/>
        <v>1.0069084665141953E-4</v>
      </c>
      <c r="AD3" s="20">
        <f t="shared" si="1"/>
        <v>1.0168950112732084E-4</v>
      </c>
      <c r="AE3" s="20">
        <f t="shared" si="1"/>
        <v>1.0268815560322172E-4</v>
      </c>
      <c r="AF3" s="20">
        <f t="shared" si="1"/>
        <v>1.0368681007912303E-4</v>
      </c>
      <c r="AG3" s="20">
        <f t="shared" si="1"/>
        <v>1.046854645550239E-4</v>
      </c>
      <c r="AH3" s="20">
        <f t="shared" si="1"/>
        <v>1.0568411903092521E-4</v>
      </c>
      <c r="AI3" s="20">
        <f t="shared" si="1"/>
        <v>1.0668277350682609E-4</v>
      </c>
      <c r="AJ3" s="14">
        <f>TREND($AK3:$BS3,$AK$1:$BS$1,AJ$1)-($AM3-$AK3*1.05)</f>
        <v>1.0768142798272696E-4</v>
      </c>
      <c r="AK3" s="16">
        <f>BNVFE!D9</f>
        <v>1.0882987482984162E-4</v>
      </c>
      <c r="AL3" s="17">
        <f>BNVFE!E9</f>
        <v>1.1003221388492314E-4</v>
      </c>
      <c r="AM3" s="17">
        <f>BNVFE!F9</f>
        <v>1.520298980709851E-4</v>
      </c>
      <c r="AN3" s="17">
        <f>BNVFE!G9</f>
        <v>1.5231271788571999E-4</v>
      </c>
      <c r="AO3" s="17">
        <f>BNVFE!H9</f>
        <v>1.5309594442046548E-4</v>
      </c>
      <c r="AP3" s="17">
        <f>BNVFE!I9</f>
        <v>1.5450688933895548E-4</v>
      </c>
      <c r="AQ3" s="17">
        <f>BNVFE!J9</f>
        <v>1.5581085859424284E-4</v>
      </c>
      <c r="AR3" s="17">
        <f>BNVFE!K9</f>
        <v>1.5756644476908264E-4</v>
      </c>
      <c r="AS3" s="17">
        <f>BNVFE!L9</f>
        <v>1.5972587901324744E-4</v>
      </c>
      <c r="AT3" s="17">
        <f>BNVFE!M9</f>
        <v>1.6211347488296425E-4</v>
      </c>
      <c r="AU3" s="17">
        <f>BNVFE!N9</f>
        <v>1.6453918622796242E-4</v>
      </c>
      <c r="AV3" s="17">
        <f>BNVFE!O9</f>
        <v>1.6672909957169893E-4</v>
      </c>
      <c r="AW3" s="17">
        <f>BNVFE!P9</f>
        <v>1.6765206348152327E-4</v>
      </c>
      <c r="AX3" s="17">
        <f>BNVFE!Q9</f>
        <v>1.6889974766758523E-4</v>
      </c>
      <c r="AY3" s="17">
        <f>BNVFE!R9</f>
        <v>1.6983049736047013E-4</v>
      </c>
      <c r="AZ3" s="17">
        <f>BNVFE!S9</f>
        <v>1.704218599555098E-4</v>
      </c>
      <c r="BA3" s="17">
        <f>BNVFE!T9</f>
        <v>1.7072298217072279E-4</v>
      </c>
      <c r="BB3" s="17">
        <f>BNVFE!U9</f>
        <v>1.7039651050831703E-4</v>
      </c>
      <c r="BC3" s="17">
        <f>BNVFE!V9</f>
        <v>1.7046200903084435E-4</v>
      </c>
      <c r="BD3" s="17">
        <f>BNVFE!W9</f>
        <v>1.7053722733158469E-4</v>
      </c>
      <c r="BE3" s="17">
        <f>BNVFE!X9</f>
        <v>1.7061855473289285E-4</v>
      </c>
      <c r="BF3" s="17">
        <f>BNVFE!Y9</f>
        <v>1.7071717188485674E-4</v>
      </c>
      <c r="BG3" s="17">
        <f>BNVFE!Z9</f>
        <v>1.7083381752382219E-4</v>
      </c>
      <c r="BH3" s="17">
        <f>BNVFE!AA9</f>
        <v>1.7093974733556892E-4</v>
      </c>
      <c r="BI3" s="17">
        <f>BNVFE!AB9</f>
        <v>1.7106113250771939E-4</v>
      </c>
      <c r="BJ3" s="17">
        <f>BNVFE!AC9</f>
        <v>1.7113055712341047E-4</v>
      </c>
      <c r="BK3" s="17">
        <f>BNVFE!AD9</f>
        <v>1.7112909625153559E-4</v>
      </c>
      <c r="BL3" s="17">
        <f>BNVFE!AE9</f>
        <v>1.7105816926192769E-4</v>
      </c>
      <c r="BM3" s="17">
        <f>BNVFE!AF9</f>
        <v>1.7098828812377569E-4</v>
      </c>
      <c r="BN3" s="17">
        <f>BNVFE!AG9</f>
        <v>1.7091076230950561E-4</v>
      </c>
      <c r="BO3" s="17">
        <f>BNVFE!AH9</f>
        <v>1.7084201832730171E-4</v>
      </c>
      <c r="BP3" s="17">
        <f>BNVFE!AI9</f>
        <v>1.7081593014376306E-4</v>
      </c>
      <c r="BQ3" s="17">
        <f>BNVFE!AJ9</f>
        <v>1.7077899332647168E-4</v>
      </c>
      <c r="BR3" s="17">
        <f>BNVFE!AK9</f>
        <v>1.7076219329991034E-4</v>
      </c>
      <c r="BS3" s="17">
        <f>BNVFE!AL9</f>
        <v>1.7074902055181116E-4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9.3337677843978277E-4</v>
      </c>
      <c r="J4" s="20">
        <f t="shared" si="2"/>
        <v>9.4889334495509327E-4</v>
      </c>
      <c r="K4" s="20">
        <f t="shared" si="2"/>
        <v>9.6440991147040377E-4</v>
      </c>
      <c r="L4" s="20">
        <f t="shared" si="2"/>
        <v>9.7992647798571426E-4</v>
      </c>
      <c r="M4" s="20">
        <f t="shared" si="2"/>
        <v>9.9544304450102476E-4</v>
      </c>
      <c r="N4" s="20">
        <f t="shared" si="2"/>
        <v>1.0109596110163353E-3</v>
      </c>
      <c r="O4" s="20">
        <f t="shared" si="2"/>
        <v>1.0264761775316423E-3</v>
      </c>
      <c r="P4" s="20">
        <f t="shared" si="2"/>
        <v>1.0419927440469528E-3</v>
      </c>
      <c r="Q4" s="20">
        <f t="shared" si="2"/>
        <v>1.0575093105622633E-3</v>
      </c>
      <c r="R4" s="20">
        <f t="shared" si="2"/>
        <v>1.0730258770775738E-3</v>
      </c>
      <c r="S4" s="20">
        <f t="shared" si="2"/>
        <v>1.0885424435928843E-3</v>
      </c>
      <c r="T4" s="20">
        <f t="shared" si="2"/>
        <v>1.1040590101081948E-3</v>
      </c>
      <c r="U4" s="20">
        <f t="shared" si="2"/>
        <v>1.1195755766235053E-3</v>
      </c>
      <c r="V4" s="20">
        <f t="shared" si="2"/>
        <v>1.1350921431388158E-3</v>
      </c>
      <c r="W4" s="20">
        <f t="shared" si="2"/>
        <v>1.1506087096541228E-3</v>
      </c>
      <c r="X4" s="20">
        <f t="shared" si="2"/>
        <v>1.1661252761694333E-3</v>
      </c>
      <c r="Y4" s="20">
        <f t="shared" si="2"/>
        <v>1.1816418426847438E-3</v>
      </c>
      <c r="Z4" s="20">
        <f t="shared" si="2"/>
        <v>1.1971584092000543E-3</v>
      </c>
      <c r="AA4" s="20">
        <f t="shared" si="2"/>
        <v>1.2126749757153648E-3</v>
      </c>
      <c r="AB4" s="20">
        <f t="shared" si="2"/>
        <v>1.2281915422306753E-3</v>
      </c>
      <c r="AC4" s="20">
        <f t="shared" si="2"/>
        <v>1.2437081087459858E-3</v>
      </c>
      <c r="AD4" s="20">
        <f t="shared" si="2"/>
        <v>1.2592246752612928E-3</v>
      </c>
      <c r="AE4" s="20">
        <f t="shared" si="2"/>
        <v>1.2747412417766033E-3</v>
      </c>
      <c r="AF4" s="20">
        <f t="shared" si="2"/>
        <v>1.2902578082919138E-3</v>
      </c>
      <c r="AG4" s="20">
        <f t="shared" ref="AG4:AJ5" si="3">TREND($AK4:$BS4,$AK$1:$BS$1,AG$1)-($AP4-$AK4)</f>
        <v>1.3057743748072243E-3</v>
      </c>
      <c r="AH4" s="20">
        <f t="shared" si="3"/>
        <v>1.3212909413225348E-3</v>
      </c>
      <c r="AI4" s="20">
        <f t="shared" si="3"/>
        <v>1.3368075078378418E-3</v>
      </c>
      <c r="AJ4" s="14">
        <f t="shared" si="3"/>
        <v>1.3523240743531558E-3</v>
      </c>
      <c r="AK4" s="16">
        <f>BNVFE!D10</f>
        <v>1.3668458833469338E-3</v>
      </c>
      <c r="AL4" s="17">
        <f>BNVFE!E10</f>
        <v>1.3975668302200186E-3</v>
      </c>
      <c r="AM4" s="17">
        <f>BNVFE!F10</f>
        <v>1.4539352014141741E-3</v>
      </c>
      <c r="AN4" s="17">
        <f>BNVFE!G10</f>
        <v>1.4594289950245018E-3</v>
      </c>
      <c r="AO4" s="17">
        <f>BNVFE!H10</f>
        <v>1.4756859359754187E-3</v>
      </c>
      <c r="AP4" s="17">
        <f>BNVFE!I10</f>
        <v>1.5016126181406836E-3</v>
      </c>
      <c r="AQ4" s="17">
        <f>BNVFE!J10</f>
        <v>1.5276214349660051E-3</v>
      </c>
      <c r="AR4" s="17">
        <f>BNVFE!K10</f>
        <v>1.5666123269593431E-3</v>
      </c>
      <c r="AS4" s="17">
        <f>BNVFE!L10</f>
        <v>1.6094338318399224E-3</v>
      </c>
      <c r="AT4" s="17">
        <f>BNVFE!M10</f>
        <v>1.6568663211644192E-3</v>
      </c>
      <c r="AU4" s="17">
        <f>BNVFE!N10</f>
        <v>1.7081812881839685E-3</v>
      </c>
      <c r="AV4" s="17">
        <f>BNVFE!O10</f>
        <v>1.7603980753137162E-3</v>
      </c>
      <c r="AW4" s="17">
        <f>BNVFE!P10</f>
        <v>1.7845493568158617E-3</v>
      </c>
      <c r="AX4" s="17">
        <f>BNVFE!Q10</f>
        <v>1.8180510695056168E-3</v>
      </c>
      <c r="AY4" s="17">
        <f>BNVFE!R10</f>
        <v>1.8479085873006195E-3</v>
      </c>
      <c r="AZ4" s="17">
        <f>BNVFE!S10</f>
        <v>1.8760039936359277E-3</v>
      </c>
      <c r="BA4" s="17">
        <f>BNVFE!T10</f>
        <v>1.8909964299665071E-3</v>
      </c>
      <c r="BB4" s="17">
        <f>BNVFE!U10</f>
        <v>1.8902585100318827E-3</v>
      </c>
      <c r="BC4" s="17">
        <f>BNVFE!V10</f>
        <v>1.8890626662959073E-3</v>
      </c>
      <c r="BD4" s="17">
        <f>BNVFE!W10</f>
        <v>1.8874328931536531E-3</v>
      </c>
      <c r="BE4" s="17">
        <f>BNVFE!X10</f>
        <v>1.8894672487112889E-3</v>
      </c>
      <c r="BF4" s="17">
        <f>BNVFE!Y10</f>
        <v>1.8913378886656201E-3</v>
      </c>
      <c r="BG4" s="17">
        <f>BNVFE!Z10</f>
        <v>1.8911140025023637E-3</v>
      </c>
      <c r="BH4" s="17">
        <f>BNVFE!AA10</f>
        <v>1.890425178791504E-3</v>
      </c>
      <c r="BI4" s="17">
        <f>BNVFE!AB10</f>
        <v>1.8935527559031118E-3</v>
      </c>
      <c r="BJ4" s="17">
        <f>BNVFE!AC10</f>
        <v>1.8964636451699846E-3</v>
      </c>
      <c r="BK4" s="17">
        <f>BNVFE!AD10</f>
        <v>1.8957866340843915E-3</v>
      </c>
      <c r="BL4" s="17">
        <f>BNVFE!AE10</f>
        <v>1.8949903893125133E-3</v>
      </c>
      <c r="BM4" s="17">
        <f>BNVFE!AF10</f>
        <v>1.8967224154922315E-3</v>
      </c>
      <c r="BN4" s="17">
        <f>BNVFE!AG10</f>
        <v>1.8990919542918078E-3</v>
      </c>
      <c r="BO4" s="17">
        <f>BNVFE!AH10</f>
        <v>1.9004478221856921E-3</v>
      </c>
      <c r="BP4" s="17">
        <f>BNVFE!AI10</f>
        <v>1.9004472684688823E-3</v>
      </c>
      <c r="BQ4" s="17">
        <f>BNVFE!AJ10</f>
        <v>1.9035772450199976E-3</v>
      </c>
      <c r="BR4" s="17">
        <f>BNVFE!AK10</f>
        <v>1.9056848757687405E-3</v>
      </c>
      <c r="BS4" s="17">
        <f>BNVFE!AL10</f>
        <v>1.9060536511637826E-3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5.8865313057796388E-4</v>
      </c>
      <c r="J5" s="20">
        <f t="shared" si="4"/>
        <v>5.9843897019390836E-4</v>
      </c>
      <c r="K5" s="20">
        <f t="shared" si="4"/>
        <v>6.0822480980984937E-4</v>
      </c>
      <c r="L5" s="20">
        <f t="shared" si="4"/>
        <v>6.1801064942579385E-4</v>
      </c>
      <c r="M5" s="20">
        <f t="shared" si="4"/>
        <v>6.2779648904173833E-4</v>
      </c>
      <c r="N5" s="20">
        <f t="shared" si="4"/>
        <v>6.3758232865768281E-4</v>
      </c>
      <c r="O5" s="20">
        <f t="shared" si="4"/>
        <v>6.4736816827362729E-4</v>
      </c>
      <c r="P5" s="20">
        <f t="shared" si="4"/>
        <v>6.5715400788957177E-4</v>
      </c>
      <c r="Q5" s="20">
        <f t="shared" si="4"/>
        <v>6.6693984750551625E-4</v>
      </c>
      <c r="R5" s="20">
        <f t="shared" si="4"/>
        <v>6.7672568712146073E-4</v>
      </c>
      <c r="S5" s="20">
        <f t="shared" si="4"/>
        <v>6.8651152673740521E-4</v>
      </c>
      <c r="T5" s="20">
        <f t="shared" si="4"/>
        <v>6.9629736635334969E-4</v>
      </c>
      <c r="U5" s="20">
        <f t="shared" si="4"/>
        <v>7.0608320596929417E-4</v>
      </c>
      <c r="V5" s="20">
        <f t="shared" si="4"/>
        <v>7.1586904558523518E-4</v>
      </c>
      <c r="W5" s="20">
        <f t="shared" si="4"/>
        <v>7.2565488520117967E-4</v>
      </c>
      <c r="X5" s="20">
        <f t="shared" si="4"/>
        <v>7.3544072481712415E-4</v>
      </c>
      <c r="Y5" s="20">
        <f t="shared" si="4"/>
        <v>7.4522656443306863E-4</v>
      </c>
      <c r="Z5" s="20">
        <f t="shared" si="4"/>
        <v>7.5501240404901311E-4</v>
      </c>
      <c r="AA5" s="20">
        <f t="shared" si="4"/>
        <v>7.6479824366495759E-4</v>
      </c>
      <c r="AB5" s="20">
        <f t="shared" si="4"/>
        <v>7.7458408328090207E-4</v>
      </c>
      <c r="AC5" s="20">
        <f t="shared" si="4"/>
        <v>7.8436992289684655E-4</v>
      </c>
      <c r="AD5" s="20">
        <f t="shared" si="4"/>
        <v>7.9415576251279103E-4</v>
      </c>
      <c r="AE5" s="20">
        <f t="shared" si="4"/>
        <v>8.0394160212873551E-4</v>
      </c>
      <c r="AF5" s="20">
        <f t="shared" si="4"/>
        <v>8.1372744174467652E-4</v>
      </c>
      <c r="AG5" s="20">
        <f t="shared" si="3"/>
        <v>8.23513281360621E-4</v>
      </c>
      <c r="AH5" s="20">
        <f t="shared" si="3"/>
        <v>8.3329912097656548E-4</v>
      </c>
      <c r="AI5" s="20">
        <f t="shared" si="3"/>
        <v>8.4308496059250996E-4</v>
      </c>
      <c r="AJ5" s="14">
        <f>TREND($AK5:$BS5,$AK$1:$BS$1,AJ$1)-($AP5-$AK5)</f>
        <v>8.5287080020845444E-4</v>
      </c>
      <c r="AK5" s="16">
        <f>BNVFE!D11</f>
        <v>8.6202927567441716E-4</v>
      </c>
      <c r="AL5" s="17">
        <f>BNVFE!E11</f>
        <v>8.8140406832930762E-4</v>
      </c>
      <c r="AM5" s="17">
        <f>BNVFE!F11</f>
        <v>9.1695393300934153E-4</v>
      </c>
      <c r="AN5" s="17">
        <f>BNVFE!G11</f>
        <v>9.2041870616651632E-4</v>
      </c>
      <c r="AO5" s="17">
        <f>BNVFE!H11</f>
        <v>9.306714780432442E-4</v>
      </c>
      <c r="AP5" s="17">
        <f>BNVFE!I11</f>
        <v>9.4702266973197924E-4</v>
      </c>
      <c r="AQ5" s="17">
        <f>BNVFE!J11</f>
        <v>9.6342566132177042E-4</v>
      </c>
      <c r="AR5" s="17">
        <f>BNVFE!K11</f>
        <v>9.8801606378954112E-4</v>
      </c>
      <c r="AS5" s="17">
        <f>BNVFE!L11</f>
        <v>1.015022320519163E-3</v>
      </c>
      <c r="AT5" s="17">
        <f>BNVFE!M11</f>
        <v>1.0449365887728081E-3</v>
      </c>
      <c r="AU5" s="17">
        <f>BNVFE!N11</f>
        <v>1.0772994208887467E-3</v>
      </c>
      <c r="AV5" s="17">
        <f>BNVFE!O11</f>
        <v>1.1102310042778571E-3</v>
      </c>
      <c r="AW5" s="17">
        <f>BNVFE!P11</f>
        <v>1.1254625032738701E-3</v>
      </c>
      <c r="AX5" s="17">
        <f>BNVFE!Q11</f>
        <v>1.1465910426912669E-3</v>
      </c>
      <c r="AY5" s="17">
        <f>BNVFE!R11</f>
        <v>1.1654212961615693E-3</v>
      </c>
      <c r="AZ5" s="17">
        <f>BNVFE!S11</f>
        <v>1.1831402380467362E-3</v>
      </c>
      <c r="BA5" s="17">
        <f>BNVFE!T11</f>
        <v>1.1925955242557402E-3</v>
      </c>
      <c r="BB5" s="17">
        <f>BNVFE!U11</f>
        <v>1.192130139976137E-3</v>
      </c>
      <c r="BC5" s="17">
        <f>BNVFE!V11</f>
        <v>1.1913759566976108E-3</v>
      </c>
      <c r="BD5" s="17">
        <f>BNVFE!W11</f>
        <v>1.190348106975526E-3</v>
      </c>
      <c r="BE5" s="17">
        <f>BNVFE!X11</f>
        <v>1.1916311148619154E-3</v>
      </c>
      <c r="BF5" s="17">
        <f>BNVFE!Y11</f>
        <v>1.1928108721590083E-3</v>
      </c>
      <c r="BG5" s="17">
        <f>BNVFE!Z11</f>
        <v>1.1926696737770276E-3</v>
      </c>
      <c r="BH5" s="17">
        <f>BNVFE!AA11</f>
        <v>1.1922352530337865E-3</v>
      </c>
      <c r="BI5" s="17">
        <f>BNVFE!AB11</f>
        <v>1.1942077234234497E-3</v>
      </c>
      <c r="BJ5" s="17">
        <f>BNVFE!AC11</f>
        <v>1.1960435351977417E-3</v>
      </c>
      <c r="BK5" s="17">
        <f>BNVFE!AD11</f>
        <v>1.1956165643279108E-3</v>
      </c>
      <c r="BL5" s="17">
        <f>BNVFE!AE11</f>
        <v>1.1951143962983441E-3</v>
      </c>
      <c r="BM5" s="17">
        <f>BNVFE!AF11</f>
        <v>1.1962067339871374E-3</v>
      </c>
      <c r="BN5" s="17">
        <f>BNVFE!AG11</f>
        <v>1.1977011320315457E-3</v>
      </c>
      <c r="BO5" s="17">
        <f>BNVFE!AH11</f>
        <v>1.1985562378139278E-3</v>
      </c>
      <c r="BP5" s="17">
        <f>BNVFE!AI11</f>
        <v>1.1985558886011115E-3</v>
      </c>
      <c r="BQ5" s="17">
        <f>BNVFE!AJ11</f>
        <v>1.2005298722463115E-3</v>
      </c>
      <c r="BR5" s="17">
        <f>BNVFE!AK11</f>
        <v>1.2018590926286994E-3</v>
      </c>
      <c r="BS5" s="17">
        <f>BNVFE!AL11</f>
        <v>1.2020916683642289E-3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4.3084909496441358E-4</v>
      </c>
      <c r="N6" s="4">
        <f t="shared" si="5"/>
        <v>4.3312200044517534E-4</v>
      </c>
      <c r="O6" s="4">
        <f t="shared" si="5"/>
        <v>4.3539490592593624E-4</v>
      </c>
      <c r="P6" s="4">
        <f t="shared" si="5"/>
        <v>4.3766781140669713E-4</v>
      </c>
      <c r="Q6" s="4">
        <f t="shared" si="5"/>
        <v>4.3994071688745889E-4</v>
      </c>
      <c r="R6" s="4">
        <f t="shared" si="5"/>
        <v>4.4221362236821979E-4</v>
      </c>
      <c r="S6" s="4">
        <f t="shared" si="5"/>
        <v>4.4448652784898068E-4</v>
      </c>
      <c r="T6" s="4">
        <f t="shared" si="5"/>
        <v>4.4675943332974245E-4</v>
      </c>
      <c r="U6" s="4">
        <f t="shared" si="5"/>
        <v>4.4903233881050334E-4</v>
      </c>
      <c r="V6" s="4">
        <f t="shared" si="5"/>
        <v>4.5130524429126424E-4</v>
      </c>
      <c r="W6" s="4">
        <f t="shared" si="5"/>
        <v>4.53578149772026E-4</v>
      </c>
      <c r="X6" s="4">
        <f t="shared" si="5"/>
        <v>4.5585105525278689E-4</v>
      </c>
      <c r="Y6" s="4">
        <f t="shared" si="5"/>
        <v>4.5812396073354779E-4</v>
      </c>
      <c r="Z6" s="4">
        <f t="shared" si="5"/>
        <v>4.6039686621430955E-4</v>
      </c>
      <c r="AA6" s="4">
        <f t="shared" si="5"/>
        <v>4.6266977169507045E-4</v>
      </c>
      <c r="AB6" s="4">
        <f t="shared" si="5"/>
        <v>4.6494267717583221E-4</v>
      </c>
      <c r="AC6" s="4">
        <f t="shared" si="5"/>
        <v>4.672155826565931E-4</v>
      </c>
      <c r="AD6" s="4">
        <f t="shared" si="5"/>
        <v>4.69488488137354E-4</v>
      </c>
      <c r="AE6" s="4">
        <f t="shared" si="5"/>
        <v>4.7176139361811576E-4</v>
      </c>
      <c r="AF6" s="4">
        <f t="shared" si="5"/>
        <v>4.7403429909887666E-4</v>
      </c>
      <c r="AG6" s="4">
        <f t="shared" si="5"/>
        <v>4.7630720457963755E-4</v>
      </c>
      <c r="AH6" s="4">
        <f t="shared" si="5"/>
        <v>4.7858011006039931E-4</v>
      </c>
      <c r="AI6" s="4">
        <f t="shared" si="5"/>
        <v>4.8085301554116021E-4</v>
      </c>
      <c r="AJ6" s="14">
        <f t="shared" si="5"/>
        <v>4.831259210219211E-4</v>
      </c>
      <c r="AK6" s="16">
        <f>BNVFE!D12</f>
        <v>4.8938430261690022E-4</v>
      </c>
      <c r="AL6" s="17">
        <f>BNVFE!E12</f>
        <v>4.9094930125429513E-4</v>
      </c>
      <c r="AM6" s="17">
        <f>BNVFE!F12</f>
        <v>4.9015296740417727E-4</v>
      </c>
      <c r="AN6" s="17">
        <f>BNVFE!G12</f>
        <v>4.9002718091810653E-4</v>
      </c>
      <c r="AO6" s="17">
        <f>BNVFE!H12</f>
        <v>4.8834101036056721E-4</v>
      </c>
      <c r="AP6" s="17">
        <f>BNVFE!I12</f>
        <v>4.9090237763877006E-4</v>
      </c>
      <c r="AQ6" s="17">
        <f>BNVFE!J12</f>
        <v>4.9363046291435334E-4</v>
      </c>
      <c r="AR6" s="17">
        <f>BNVFE!K12</f>
        <v>4.9672649529711762E-4</v>
      </c>
      <c r="AS6" s="17">
        <f>BNVFE!L12</f>
        <v>4.9947333327800606E-4</v>
      </c>
      <c r="AT6" s="17">
        <f>BNVFE!M12</f>
        <v>4.9860284908454942E-4</v>
      </c>
      <c r="AU6" s="17">
        <f>BNVFE!N12</f>
        <v>5.0509516951304531E-4</v>
      </c>
      <c r="AV6" s="17">
        <f>BNVFE!O12</f>
        <v>5.1111486363204968E-4</v>
      </c>
      <c r="AW6" s="17">
        <f>BNVFE!P12</f>
        <v>5.1673029777952518E-4</v>
      </c>
      <c r="AX6" s="17">
        <f>BNVFE!Q12</f>
        <v>5.2282136013801731E-4</v>
      </c>
      <c r="AY6" s="17">
        <f>BNVFE!R12</f>
        <v>5.2228596870227014E-4</v>
      </c>
      <c r="AZ6" s="17">
        <f>BNVFE!S12</f>
        <v>5.2401908262655471E-4</v>
      </c>
      <c r="BA6" s="17">
        <f>BNVFE!T12</f>
        <v>5.2592756691333229E-4</v>
      </c>
      <c r="BB6" s="17">
        <f>BNVFE!U12</f>
        <v>5.2768400306400917E-4</v>
      </c>
      <c r="BC6" s="17">
        <f>BNVFE!V12</f>
        <v>5.2963858756094957E-4</v>
      </c>
      <c r="BD6" s="17">
        <f>BNVFE!W12</f>
        <v>5.2942012565335367E-4</v>
      </c>
      <c r="BE6" s="17">
        <f>BNVFE!X12</f>
        <v>5.321825005171585E-4</v>
      </c>
      <c r="BF6" s="17">
        <f>BNVFE!Y12</f>
        <v>5.350729399397862E-4</v>
      </c>
      <c r="BG6" s="17">
        <f>BNVFE!Z12</f>
        <v>5.3786332353936118E-4</v>
      </c>
      <c r="BH6" s="17">
        <f>BNVFE!AA12</f>
        <v>5.4122807042697376E-4</v>
      </c>
      <c r="BI6" s="17">
        <f>BNVFE!AB12</f>
        <v>5.4455621221172342E-4</v>
      </c>
      <c r="BJ6" s="17">
        <f>BNVFE!AC12</f>
        <v>5.4520785765841285E-4</v>
      </c>
      <c r="BK6" s="17">
        <f>BNVFE!AD12</f>
        <v>5.459579686104989E-4</v>
      </c>
      <c r="BL6" s="17">
        <f>BNVFE!AE12</f>
        <v>5.4692249930916989E-4</v>
      </c>
      <c r="BM6" s="17">
        <f>BNVFE!AF12</f>
        <v>5.4801489640566865E-4</v>
      </c>
      <c r="BN6" s="17">
        <f>BNVFE!AG12</f>
        <v>5.491957886646434E-4</v>
      </c>
      <c r="BO6" s="17">
        <f>BNVFE!AH12</f>
        <v>5.5056728760386972E-4</v>
      </c>
      <c r="BP6" s="17">
        <f>BNVFE!AI12</f>
        <v>5.5240032033148354E-4</v>
      </c>
      <c r="BQ6" s="17">
        <f>BNVFE!AJ12</f>
        <v>5.5415876378105394E-4</v>
      </c>
      <c r="BR6" s="17">
        <f>BNVFE!AK12</f>
        <v>5.5634339401094989E-4</v>
      </c>
      <c r="BS6" s="17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7.2676555894299986E-5</v>
      </c>
      <c r="N7" s="4">
        <f t="shared" si="6"/>
        <v>7.4430678754561092E-5</v>
      </c>
      <c r="O7" s="4">
        <f t="shared" si="6"/>
        <v>7.6184801614821764E-5</v>
      </c>
      <c r="P7" s="4">
        <f t="shared" si="6"/>
        <v>7.7938924475082436E-5</v>
      </c>
      <c r="Q7" s="4">
        <f t="shared" si="6"/>
        <v>7.9693047335343542E-5</v>
      </c>
      <c r="R7" s="4">
        <f t="shared" si="6"/>
        <v>8.1447170195604214E-5</v>
      </c>
      <c r="S7" s="4">
        <f t="shared" si="6"/>
        <v>8.3201293055865319E-5</v>
      </c>
      <c r="T7" s="4">
        <f t="shared" si="6"/>
        <v>8.4955415916125991E-5</v>
      </c>
      <c r="U7" s="4">
        <f t="shared" si="6"/>
        <v>8.6709538776387097E-5</v>
      </c>
      <c r="V7" s="4">
        <f t="shared" si="6"/>
        <v>8.8463661636647769E-5</v>
      </c>
      <c r="W7" s="4">
        <f t="shared" si="6"/>
        <v>9.0217784496908875E-5</v>
      </c>
      <c r="X7" s="4">
        <f t="shared" si="6"/>
        <v>9.1971907357169547E-5</v>
      </c>
      <c r="Y7" s="4">
        <f t="shared" si="6"/>
        <v>9.3726030217430653E-5</v>
      </c>
      <c r="Z7" s="4">
        <f t="shared" si="6"/>
        <v>9.5480153077691325E-5</v>
      </c>
      <c r="AA7" s="4">
        <f t="shared" si="6"/>
        <v>9.723427593795243E-5</v>
      </c>
      <c r="AB7" s="4">
        <f t="shared" si="6"/>
        <v>9.8988398798213103E-5</v>
      </c>
      <c r="AC7" s="4">
        <f t="shared" si="6"/>
        <v>1.0074252165847421E-4</v>
      </c>
      <c r="AD7" s="4">
        <f t="shared" si="6"/>
        <v>1.0249664451873488E-4</v>
      </c>
      <c r="AE7" s="4">
        <f t="shared" si="6"/>
        <v>1.0425076737899555E-4</v>
      </c>
      <c r="AF7" s="4">
        <f t="shared" si="6"/>
        <v>1.0600489023925666E-4</v>
      </c>
      <c r="AG7" s="4">
        <f t="shared" si="6"/>
        <v>1.0775901309951733E-4</v>
      </c>
      <c r="AH7" s="4">
        <f t="shared" si="6"/>
        <v>1.0951313595977844E-4</v>
      </c>
      <c r="AI7" s="4">
        <f t="shared" si="6"/>
        <v>1.1126725882003911E-4</v>
      </c>
      <c r="AJ7" s="14">
        <f>TREND($AK7:$BS7,$AK$1:$BS$1,AJ$1)-($AO7-$AK7)</f>
        <v>1.1302138168030021E-4</v>
      </c>
      <c r="AK7" s="16">
        <f>BNVFE!D13</f>
        <v>1.13088178981932E-4</v>
      </c>
      <c r="AL7" s="17">
        <f>BNVFE!E13</f>
        <v>1.1814218661480272E-4</v>
      </c>
      <c r="AM7" s="17">
        <f>BNVFE!F13</f>
        <v>1.1790234457221552E-4</v>
      </c>
      <c r="AN7" s="17">
        <f>BNVFE!G13</f>
        <v>1.1757358267513993E-4</v>
      </c>
      <c r="AO7" s="17">
        <f>BNVFE!H13</f>
        <v>1.2024584389221321E-4</v>
      </c>
      <c r="AP7" s="17">
        <f>BNVFE!I13</f>
        <v>1.2485594117817294E-4</v>
      </c>
      <c r="AQ7" s="17">
        <f>BNVFE!J13</f>
        <v>1.2871537566981403E-4</v>
      </c>
      <c r="AR7" s="17">
        <f>BNVFE!K13</f>
        <v>1.3183661097842603E-4</v>
      </c>
      <c r="AS7" s="17">
        <f>BNVFE!L13</f>
        <v>1.3609847550038039E-4</v>
      </c>
      <c r="AT7" s="17">
        <f>BNVFE!M13</f>
        <v>1.3772373811961089E-4</v>
      </c>
      <c r="AU7" s="17">
        <f>BNVFE!N13</f>
        <v>1.4020262324112415E-4</v>
      </c>
      <c r="AV7" s="17">
        <f>BNVFE!O13</f>
        <v>1.44319845538468E-4</v>
      </c>
      <c r="AW7" s="17">
        <f>BNVFE!P13</f>
        <v>1.4978673414528724E-4</v>
      </c>
      <c r="AX7" s="17">
        <f>BNVFE!Q13</f>
        <v>1.5374539542773483E-4</v>
      </c>
      <c r="AY7" s="17">
        <f>BNVFE!R13</f>
        <v>1.5447899935167026E-4</v>
      </c>
      <c r="AZ7" s="17">
        <f>BNVFE!S13</f>
        <v>1.5649698618362549E-4</v>
      </c>
      <c r="BA7" s="17">
        <f>BNVFE!T13</f>
        <v>1.5814080279819256E-4</v>
      </c>
      <c r="BB7" s="17">
        <f>BNVFE!U13</f>
        <v>1.6052080934541118E-4</v>
      </c>
      <c r="BC7" s="17">
        <f>BNVFE!V13</f>
        <v>1.6233658234394426E-4</v>
      </c>
      <c r="BD7" s="17">
        <f>BNVFE!W13</f>
        <v>1.6298140700524936E-4</v>
      </c>
      <c r="BE7" s="17">
        <f>BNVFE!X13</f>
        <v>1.6391549004501815E-4</v>
      </c>
      <c r="BF7" s="17">
        <f>BNVFE!Y13</f>
        <v>1.655190065147621E-4</v>
      </c>
      <c r="BG7" s="17">
        <f>BNVFE!Z13</f>
        <v>1.6731289034043159E-4</v>
      </c>
      <c r="BH7" s="17">
        <f>BNVFE!AA13</f>
        <v>1.6787633253434231E-4</v>
      </c>
      <c r="BI7" s="17">
        <f>BNVFE!AB13</f>
        <v>1.6867065440702488E-4</v>
      </c>
      <c r="BJ7" s="17">
        <f>BNVFE!AC13</f>
        <v>1.6915289202151654E-4</v>
      </c>
      <c r="BK7" s="17">
        <f>BNVFE!AD13</f>
        <v>1.6970062567535425E-4</v>
      </c>
      <c r="BL7" s="17">
        <f>BNVFE!AE13</f>
        <v>1.6971172034287797E-4</v>
      </c>
      <c r="BM7" s="17">
        <f>BNVFE!AF13</f>
        <v>1.6953596283529065E-4</v>
      </c>
      <c r="BN7" s="17">
        <f>BNVFE!AG13</f>
        <v>1.693850959319236E-4</v>
      </c>
      <c r="BO7" s="17">
        <f>BNVFE!AH13</f>
        <v>1.6927500263885285E-4</v>
      </c>
      <c r="BP7" s="17">
        <f>BNVFE!AI13</f>
        <v>1.6869782307219725E-4</v>
      </c>
      <c r="BQ7" s="17">
        <f>BNVFE!AJ13</f>
        <v>1.6826653153360292E-4</v>
      </c>
      <c r="BR7" s="17">
        <f>BNVFE!AK13</f>
        <v>1.6795924508148126E-4</v>
      </c>
      <c r="BS7" s="17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7">$AK8</f>
        <v>8.816700298691681E-4</v>
      </c>
      <c r="D8" s="4">
        <f t="shared" si="7"/>
        <v>8.816700298691681E-4</v>
      </c>
      <c r="E8" s="4">
        <f t="shared" si="5"/>
        <v>8.8167002986916745E-4</v>
      </c>
      <c r="F8" s="4">
        <f t="shared" si="5"/>
        <v>8.8167002986916745E-4</v>
      </c>
      <c r="G8" s="4">
        <f t="shared" si="5"/>
        <v>8.8167002986916745E-4</v>
      </c>
      <c r="H8" s="4">
        <f t="shared" si="5"/>
        <v>8.8167002986916745E-4</v>
      </c>
      <c r="I8" s="4">
        <f t="shared" si="5"/>
        <v>8.8167002986916745E-4</v>
      </c>
      <c r="J8" s="4">
        <f t="shared" si="5"/>
        <v>8.8167002986916745E-4</v>
      </c>
      <c r="K8" s="4">
        <f t="shared" si="5"/>
        <v>8.8167002986916745E-4</v>
      </c>
      <c r="L8" s="4">
        <f t="shared" si="5"/>
        <v>8.8167002986916745E-4</v>
      </c>
      <c r="M8" s="4">
        <f t="shared" si="5"/>
        <v>8.8167002986916745E-4</v>
      </c>
      <c r="N8" s="4">
        <f t="shared" si="5"/>
        <v>8.8167002986916745E-4</v>
      </c>
      <c r="O8" s="4">
        <f t="shared" si="5"/>
        <v>8.8167002986916745E-4</v>
      </c>
      <c r="P8" s="4">
        <f t="shared" si="5"/>
        <v>8.8167002986916745E-4</v>
      </c>
      <c r="Q8" s="4">
        <f t="shared" si="5"/>
        <v>8.8167002986916745E-4</v>
      </c>
      <c r="R8" s="4">
        <f t="shared" si="5"/>
        <v>8.8167002986916745E-4</v>
      </c>
      <c r="S8" s="4">
        <f t="shared" si="5"/>
        <v>8.8167002986916745E-4</v>
      </c>
      <c r="T8" s="4">
        <f t="shared" si="5"/>
        <v>8.8167002986916745E-4</v>
      </c>
      <c r="U8" s="4">
        <f t="shared" si="5"/>
        <v>8.8167002986916745E-4</v>
      </c>
      <c r="V8" s="4">
        <f t="shared" si="5"/>
        <v>8.8167002986916745E-4</v>
      </c>
      <c r="W8" s="4">
        <f t="shared" si="5"/>
        <v>8.8167002986916745E-4</v>
      </c>
      <c r="X8" s="4">
        <f t="shared" si="5"/>
        <v>8.8167002986916745E-4</v>
      </c>
      <c r="Y8" s="4">
        <f t="shared" si="5"/>
        <v>8.8167002986916745E-4</v>
      </c>
      <c r="Z8" s="4">
        <f t="shared" si="5"/>
        <v>8.8167002986916745E-4</v>
      </c>
      <c r="AA8" s="4">
        <f t="shared" si="5"/>
        <v>8.8167002986916745E-4</v>
      </c>
      <c r="AB8" s="4">
        <f t="shared" si="5"/>
        <v>8.8167002986916745E-4</v>
      </c>
      <c r="AC8" s="4">
        <f t="shared" si="5"/>
        <v>8.8167002986916745E-4</v>
      </c>
      <c r="AD8" s="4">
        <f t="shared" si="5"/>
        <v>8.8167002986916745E-4</v>
      </c>
      <c r="AE8" s="4">
        <f t="shared" si="5"/>
        <v>8.8167002986916745E-4</v>
      </c>
      <c r="AF8" s="4">
        <f t="shared" si="5"/>
        <v>8.8167002986916745E-4</v>
      </c>
      <c r="AG8" s="4">
        <f t="shared" si="5"/>
        <v>8.8167002986916745E-4</v>
      </c>
      <c r="AH8" s="4">
        <f t="shared" si="5"/>
        <v>8.8167002986916745E-4</v>
      </c>
      <c r="AI8" s="4">
        <f t="shared" si="5"/>
        <v>8.8167002986916745E-4</v>
      </c>
      <c r="AJ8" s="14">
        <f t="shared" si="5"/>
        <v>8.8167002986916745E-4</v>
      </c>
      <c r="AK8" s="16">
        <f>BNVFE!D14</f>
        <v>8.816700298691681E-4</v>
      </c>
      <c r="AL8" s="17">
        <f>BNVFE!E14</f>
        <v>8.816700298691681E-4</v>
      </c>
      <c r="AM8" s="17">
        <f>BNVFE!F14</f>
        <v>8.816700298691681E-4</v>
      </c>
      <c r="AN8" s="17">
        <f>BNVFE!G14</f>
        <v>8.816700298691681E-4</v>
      </c>
      <c r="AO8" s="17">
        <f>BNVFE!H14</f>
        <v>8.816700298691681E-4</v>
      </c>
      <c r="AP8" s="17">
        <f>BNVFE!I14</f>
        <v>8.816700298691681E-4</v>
      </c>
      <c r="AQ8" s="17">
        <f>BNVFE!J14</f>
        <v>8.816700298691681E-4</v>
      </c>
      <c r="AR8" s="17">
        <f>BNVFE!K14</f>
        <v>8.816700298691681E-4</v>
      </c>
      <c r="AS8" s="17">
        <f>BNVFE!L14</f>
        <v>8.816700298691681E-4</v>
      </c>
      <c r="AT8" s="17">
        <f>BNVFE!M14</f>
        <v>8.816700298691681E-4</v>
      </c>
      <c r="AU8" s="17">
        <f>BNVFE!N14</f>
        <v>8.816700298691681E-4</v>
      </c>
      <c r="AV8" s="17">
        <f>BNVFE!O14</f>
        <v>8.816700298691681E-4</v>
      </c>
      <c r="AW8" s="17">
        <f>BNVFE!P14</f>
        <v>8.816700298691681E-4</v>
      </c>
      <c r="AX8" s="17">
        <f>BNVFE!Q14</f>
        <v>8.816700298691681E-4</v>
      </c>
      <c r="AY8" s="17">
        <f>BNVFE!R14</f>
        <v>8.816700298691681E-4</v>
      </c>
      <c r="AZ8" s="17">
        <f>BNVFE!S14</f>
        <v>8.816700298691681E-4</v>
      </c>
      <c r="BA8" s="17">
        <f>BNVFE!T14</f>
        <v>8.816700298691681E-4</v>
      </c>
      <c r="BB8" s="17">
        <f>BNVFE!U14</f>
        <v>8.816700298691681E-4</v>
      </c>
      <c r="BC8" s="17">
        <f>BNVFE!V14</f>
        <v>8.816700298691681E-4</v>
      </c>
      <c r="BD8" s="17">
        <f>BNVFE!W14</f>
        <v>8.816700298691681E-4</v>
      </c>
      <c r="BE8" s="17">
        <f>BNVFE!X14</f>
        <v>8.816700298691681E-4</v>
      </c>
      <c r="BF8" s="17">
        <f>BNVFE!Y14</f>
        <v>8.816700298691681E-4</v>
      </c>
      <c r="BG8" s="17">
        <f>BNVFE!Z14</f>
        <v>8.816700298691681E-4</v>
      </c>
      <c r="BH8" s="17">
        <f>BNVFE!AA14</f>
        <v>8.816700298691681E-4</v>
      </c>
      <c r="BI8" s="17">
        <f>BNVFE!AB14</f>
        <v>8.816700298691681E-4</v>
      </c>
      <c r="BJ8" s="17">
        <f>BNVFE!AC14</f>
        <v>8.816700298691681E-4</v>
      </c>
      <c r="BK8" s="17">
        <f>BNVFE!AD14</f>
        <v>8.816700298691681E-4</v>
      </c>
      <c r="BL8" s="17">
        <f>BNVFE!AE14</f>
        <v>8.816700298691681E-4</v>
      </c>
      <c r="BM8" s="17">
        <f>BNVFE!AF14</f>
        <v>8.816700298691681E-4</v>
      </c>
      <c r="BN8" s="17">
        <f>BNVFE!AG14</f>
        <v>8.816700298691681E-4</v>
      </c>
      <c r="BO8" s="17">
        <f>BNVFE!AH14</f>
        <v>8.816700298691681E-4</v>
      </c>
      <c r="BP8" s="17">
        <f>BNVFE!AI14</f>
        <v>8.816700298691681E-4</v>
      </c>
      <c r="BQ8" s="17">
        <f>BNVFE!AJ14</f>
        <v>8.816700298691681E-4</v>
      </c>
      <c r="BR8" s="17">
        <f>BNVFE!AK14</f>
        <v>8.816700298691681E-4</v>
      </c>
      <c r="BS8" s="17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5"/>
        <v>2.6081961074983645E-3</v>
      </c>
      <c r="D9" s="4">
        <f t="shared" si="5"/>
        <v>2.6420808191899986E-3</v>
      </c>
      <c r="E9" s="4">
        <f t="shared" si="5"/>
        <v>2.6759655308816327E-3</v>
      </c>
      <c r="F9" s="4">
        <f>TREND($AK9:$BS9,$AK$1:$BS$1,F$1)</f>
        <v>2.7098502425732807E-3</v>
      </c>
      <c r="G9" s="4">
        <f t="shared" si="5"/>
        <v>2.7437349542649148E-3</v>
      </c>
      <c r="H9" s="4">
        <f t="shared" si="5"/>
        <v>2.7776196659565489E-3</v>
      </c>
      <c r="I9" s="4">
        <f t="shared" si="5"/>
        <v>2.811504377648183E-3</v>
      </c>
      <c r="J9" s="4">
        <f t="shared" si="5"/>
        <v>2.845389089339817E-3</v>
      </c>
      <c r="K9" s="4">
        <f t="shared" si="5"/>
        <v>2.8792738010314511E-3</v>
      </c>
      <c r="L9" s="4">
        <f t="shared" si="5"/>
        <v>2.9131585127230991E-3</v>
      </c>
      <c r="M9" s="4">
        <f t="shared" si="5"/>
        <v>2.9470432244147332E-3</v>
      </c>
      <c r="N9" s="4">
        <f t="shared" si="5"/>
        <v>2.9809279361063673E-3</v>
      </c>
      <c r="O9" s="4">
        <f t="shared" si="5"/>
        <v>3.0148126477980014E-3</v>
      </c>
      <c r="P9" s="4">
        <f t="shared" si="5"/>
        <v>3.0486973594896355E-3</v>
      </c>
      <c r="Q9" s="4">
        <f t="shared" si="5"/>
        <v>3.0825820711812696E-3</v>
      </c>
      <c r="R9" s="4">
        <f t="shared" si="5"/>
        <v>3.1164667828729176E-3</v>
      </c>
      <c r="S9" s="4">
        <f t="shared" si="5"/>
        <v>3.1503514945645517E-3</v>
      </c>
      <c r="T9" s="4">
        <f t="shared" si="5"/>
        <v>3.1842362062561858E-3</v>
      </c>
      <c r="U9" s="4">
        <f t="shared" si="5"/>
        <v>3.2181209179478198E-3</v>
      </c>
      <c r="V9" s="4">
        <f t="shared" si="5"/>
        <v>3.2520056296394539E-3</v>
      </c>
      <c r="W9" s="4">
        <f t="shared" si="5"/>
        <v>3.285890341331088E-3</v>
      </c>
      <c r="X9" s="4">
        <f t="shared" si="5"/>
        <v>3.319775053022736E-3</v>
      </c>
      <c r="Y9" s="4">
        <f t="shared" si="5"/>
        <v>3.3536597647143701E-3</v>
      </c>
      <c r="Z9" s="4">
        <f t="shared" si="5"/>
        <v>3.3875444764060042E-3</v>
      </c>
      <c r="AA9" s="4">
        <f t="shared" si="5"/>
        <v>3.4214291880976383E-3</v>
      </c>
      <c r="AB9" s="4">
        <f t="shared" si="5"/>
        <v>3.4553138997892724E-3</v>
      </c>
      <c r="AC9" s="4">
        <f t="shared" si="5"/>
        <v>3.4891986114809065E-3</v>
      </c>
      <c r="AD9" s="4">
        <f t="shared" si="5"/>
        <v>3.5230833231725545E-3</v>
      </c>
      <c r="AE9" s="4">
        <f t="shared" si="5"/>
        <v>3.5569680348641886E-3</v>
      </c>
      <c r="AF9" s="4">
        <f t="shared" si="5"/>
        <v>3.5908527465558226E-3</v>
      </c>
      <c r="AG9" s="4">
        <f t="shared" si="5"/>
        <v>3.6247374582474567E-3</v>
      </c>
      <c r="AH9" s="4">
        <f t="shared" si="5"/>
        <v>3.6586221699390908E-3</v>
      </c>
      <c r="AI9" s="4">
        <f t="shared" si="5"/>
        <v>3.6925068816307249E-3</v>
      </c>
      <c r="AJ9" s="14">
        <f t="shared" si="5"/>
        <v>3.7263915933223729E-3</v>
      </c>
      <c r="AK9" s="16">
        <f>BNVFE!D15</f>
        <v>3.7212456171101574E-3</v>
      </c>
      <c r="AL9" s="17">
        <f>BNVFE!E15</f>
        <v>3.7741099996407915E-3</v>
      </c>
      <c r="AM9" s="17">
        <f>BNVFE!F15</f>
        <v>3.79446750783136E-3</v>
      </c>
      <c r="AN9" s="17">
        <f>BNVFE!G15</f>
        <v>3.8149406512605257E-3</v>
      </c>
      <c r="AO9" s="17">
        <f>BNVFE!H15</f>
        <v>3.8298140444111657E-3</v>
      </c>
      <c r="AP9" s="17">
        <f>BNVFE!I15</f>
        <v>3.8773516961968964E-3</v>
      </c>
      <c r="AQ9" s="17">
        <f>BNVFE!J15</f>
        <v>3.9240798890653782E-3</v>
      </c>
      <c r="AR9" s="17">
        <f>BNVFE!K15</f>
        <v>3.9701414824010097E-3</v>
      </c>
      <c r="AS9" s="17">
        <f>BNVFE!L15</f>
        <v>4.0161126356220008E-3</v>
      </c>
      <c r="AT9" s="17">
        <f>BNVFE!M15</f>
        <v>4.0292667794948134E-3</v>
      </c>
      <c r="AU9" s="17">
        <f>BNVFE!N15</f>
        <v>4.0978255876444368E-3</v>
      </c>
      <c r="AV9" s="17">
        <f>BNVFE!O15</f>
        <v>4.1652664073586702E-3</v>
      </c>
      <c r="AW9" s="17">
        <f>BNVFE!P15</f>
        <v>4.2315598161451699E-3</v>
      </c>
      <c r="AX9" s="17">
        <f>BNVFE!Q15</f>
        <v>4.2970691750486905E-3</v>
      </c>
      <c r="AY9" s="17">
        <f>BNVFE!R15</f>
        <v>4.3055196249846541E-3</v>
      </c>
      <c r="AZ9" s="17">
        <f>BNVFE!S15</f>
        <v>4.3336931734858728E-3</v>
      </c>
      <c r="BA9" s="17">
        <f>BNVFE!T15</f>
        <v>4.3616872213495137E-3</v>
      </c>
      <c r="BB9" s="17">
        <f>BNVFE!U15</f>
        <v>4.3889090622222671E-3</v>
      </c>
      <c r="BC9" s="17">
        <f>BNVFE!V15</f>
        <v>4.4182036224326713E-3</v>
      </c>
      <c r="BD9" s="17">
        <f>BNVFE!W15</f>
        <v>4.4290378337835347E-3</v>
      </c>
      <c r="BE9" s="17">
        <f>BNVFE!X15</f>
        <v>4.4644621339203026E-3</v>
      </c>
      <c r="BF9" s="17">
        <f>BNVFE!Y15</f>
        <v>4.4992110112726793E-3</v>
      </c>
      <c r="BG9" s="17">
        <f>BNVFE!Z15</f>
        <v>4.5358303647640187E-3</v>
      </c>
      <c r="BH9" s="17">
        <f>BNVFE!AA15</f>
        <v>4.5749988349475246E-3</v>
      </c>
      <c r="BI9" s="17">
        <f>BNVFE!AB15</f>
        <v>4.6134408414514163E-3</v>
      </c>
      <c r="BJ9" s="17">
        <f>BNVFE!AC15</f>
        <v>4.6292190908428163E-3</v>
      </c>
      <c r="BK9" s="17">
        <f>BNVFE!AD15</f>
        <v>4.6464685144938936E-3</v>
      </c>
      <c r="BL9" s="17">
        <f>BNVFE!AE15</f>
        <v>4.6649506258836931E-3</v>
      </c>
      <c r="BM9" s="17">
        <f>BNVFE!AF15</f>
        <v>4.6856608292664744E-3</v>
      </c>
      <c r="BN9" s="17">
        <f>BNVFE!AG15</f>
        <v>4.7080395883471711E-3</v>
      </c>
      <c r="BO9" s="17">
        <f>BNVFE!AH15</f>
        <v>4.7329978183574175E-3</v>
      </c>
      <c r="BP9" s="17">
        <f>BNVFE!AI15</f>
        <v>4.7618306481741193E-3</v>
      </c>
      <c r="BQ9" s="17">
        <f>BNVFE!AJ15</f>
        <v>4.7908996493749162E-3</v>
      </c>
      <c r="BR9" s="17">
        <f>BNVFE!AK15</f>
        <v>4.8241474873821789E-3</v>
      </c>
      <c r="BS9" s="17">
        <f>BNVFE!AL15</f>
        <v>4.8586148660456855E-3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9.7979641522397912E-6</v>
      </c>
      <c r="E10" s="4">
        <f t="shared" si="5"/>
        <v>9.7979641522397912E-6</v>
      </c>
      <c r="F10" s="4">
        <f t="shared" si="5"/>
        <v>9.7979641522397912E-6</v>
      </c>
      <c r="G10" s="4">
        <f t="shared" si="5"/>
        <v>9.7979641522397912E-6</v>
      </c>
      <c r="H10" s="4">
        <f t="shared" si="5"/>
        <v>9.7979641522397912E-6</v>
      </c>
      <c r="I10" s="4">
        <f t="shared" si="5"/>
        <v>9.7979641522397912E-6</v>
      </c>
      <c r="J10" s="4">
        <f t="shared" si="5"/>
        <v>9.7979641522397912E-6</v>
      </c>
      <c r="K10" s="4">
        <f t="shared" si="5"/>
        <v>9.7979641522397912E-6</v>
      </c>
      <c r="L10" s="4">
        <f t="shared" si="5"/>
        <v>9.7979641522397912E-6</v>
      </c>
      <c r="M10" s="4">
        <f t="shared" si="5"/>
        <v>9.7979641522397912E-6</v>
      </c>
      <c r="N10" s="4">
        <f t="shared" si="5"/>
        <v>9.7979641522397912E-6</v>
      </c>
      <c r="O10" s="4">
        <f t="shared" si="5"/>
        <v>9.7979641522397912E-6</v>
      </c>
      <c r="P10" s="4">
        <f t="shared" si="5"/>
        <v>9.7979641522397912E-6</v>
      </c>
      <c r="Q10" s="4">
        <f t="shared" si="5"/>
        <v>9.7979641522397912E-6</v>
      </c>
      <c r="R10" s="4">
        <f t="shared" si="5"/>
        <v>9.7979641522397912E-6</v>
      </c>
      <c r="S10" s="4">
        <f t="shared" si="5"/>
        <v>9.7979641522397912E-6</v>
      </c>
      <c r="T10" s="4">
        <f t="shared" si="5"/>
        <v>9.7979641522397912E-6</v>
      </c>
      <c r="U10" s="4">
        <f t="shared" si="5"/>
        <v>9.7979641522397912E-6</v>
      </c>
      <c r="V10" s="4">
        <f t="shared" si="5"/>
        <v>9.7979641522397912E-6</v>
      </c>
      <c r="W10" s="4">
        <f t="shared" si="5"/>
        <v>9.7979641522397912E-6</v>
      </c>
      <c r="X10" s="4">
        <f t="shared" si="5"/>
        <v>9.7979641522397912E-6</v>
      </c>
      <c r="Y10" s="4">
        <f t="shared" si="5"/>
        <v>9.7979641522397912E-6</v>
      </c>
      <c r="Z10" s="4">
        <f t="shared" si="5"/>
        <v>9.7979641522397912E-6</v>
      </c>
      <c r="AA10" s="4">
        <f t="shared" si="5"/>
        <v>9.7979641522397912E-6</v>
      </c>
      <c r="AB10" s="4">
        <f t="shared" si="5"/>
        <v>9.7979641522397912E-6</v>
      </c>
      <c r="AC10" s="4">
        <f t="shared" si="5"/>
        <v>9.7979641522397912E-6</v>
      </c>
      <c r="AD10" s="4">
        <f t="shared" si="5"/>
        <v>9.7979641522397912E-6</v>
      </c>
      <c r="AE10" s="4">
        <f t="shared" si="5"/>
        <v>9.7979641522397912E-6</v>
      </c>
      <c r="AF10" s="4">
        <f t="shared" si="5"/>
        <v>9.7979641522397912E-6</v>
      </c>
      <c r="AG10" s="4">
        <f t="shared" si="5"/>
        <v>9.7979641522397912E-6</v>
      </c>
      <c r="AH10" s="4">
        <f t="shared" si="5"/>
        <v>9.7979641522397912E-6</v>
      </c>
      <c r="AI10" s="4">
        <f t="shared" si="5"/>
        <v>9.7979641522397912E-6</v>
      </c>
      <c r="AJ10" s="14">
        <f t="shared" si="5"/>
        <v>9.7979641522397912E-6</v>
      </c>
      <c r="AK10" s="16">
        <f>BNVFE!D16</f>
        <v>9.7979641522397912E-6</v>
      </c>
      <c r="AL10" s="17">
        <f>BNVFE!E16</f>
        <v>9.7979641522397912E-6</v>
      </c>
      <c r="AM10" s="17">
        <f>BNVFE!F16</f>
        <v>9.7979641522397912E-6</v>
      </c>
      <c r="AN10" s="17">
        <f>BNVFE!G16</f>
        <v>9.7979641522397912E-6</v>
      </c>
      <c r="AO10" s="17">
        <f>BNVFE!H16</f>
        <v>9.7979641522397912E-6</v>
      </c>
      <c r="AP10" s="17">
        <f>BNVFE!I16</f>
        <v>9.7979641522397912E-6</v>
      </c>
      <c r="AQ10" s="17">
        <f>BNVFE!J16</f>
        <v>9.7979641522397912E-6</v>
      </c>
      <c r="AR10" s="17">
        <f>BNVFE!K16</f>
        <v>9.7979641522397912E-6</v>
      </c>
      <c r="AS10" s="17">
        <f>BNVFE!L16</f>
        <v>9.7979641522397912E-6</v>
      </c>
      <c r="AT10" s="17">
        <f>BNVFE!M16</f>
        <v>9.7979641522397912E-6</v>
      </c>
      <c r="AU10" s="17">
        <f>BNVFE!N16</f>
        <v>9.7979641522397912E-6</v>
      </c>
      <c r="AV10" s="17">
        <f>BNVFE!O16</f>
        <v>9.7979641522397912E-6</v>
      </c>
      <c r="AW10" s="17">
        <f>BNVFE!P16</f>
        <v>9.7979641522397912E-6</v>
      </c>
      <c r="AX10" s="17">
        <f>BNVFE!Q16</f>
        <v>9.7979641522397912E-6</v>
      </c>
      <c r="AY10" s="17">
        <f>BNVFE!R16</f>
        <v>9.7979641522397912E-6</v>
      </c>
      <c r="AZ10" s="17">
        <f>BNVFE!S16</f>
        <v>9.7979641522397912E-6</v>
      </c>
      <c r="BA10" s="17">
        <f>BNVFE!T16</f>
        <v>9.7979641522397912E-6</v>
      </c>
      <c r="BB10" s="17">
        <f>BNVFE!U16</f>
        <v>9.7979641522397912E-6</v>
      </c>
      <c r="BC10" s="17">
        <f>BNVFE!V16</f>
        <v>9.7979641522397912E-6</v>
      </c>
      <c r="BD10" s="17">
        <f>BNVFE!W16</f>
        <v>9.7979641522397912E-6</v>
      </c>
      <c r="BE10" s="17">
        <f>BNVFE!X16</f>
        <v>9.7979641522397912E-6</v>
      </c>
      <c r="BF10" s="17">
        <f>BNVFE!Y16</f>
        <v>9.7979641522397912E-6</v>
      </c>
      <c r="BG10" s="17">
        <f>BNVFE!Z16</f>
        <v>9.7979641522397912E-6</v>
      </c>
      <c r="BH10" s="17">
        <f>BNVFE!AA16</f>
        <v>9.7979641522397912E-6</v>
      </c>
      <c r="BI10" s="17">
        <f>BNVFE!AB16</f>
        <v>9.7979641522397912E-6</v>
      </c>
      <c r="BJ10" s="17">
        <f>BNVFE!AC16</f>
        <v>9.7979641522397912E-6</v>
      </c>
      <c r="BK10" s="17">
        <f>BNVFE!AD16</f>
        <v>9.7979641522397912E-6</v>
      </c>
      <c r="BL10" s="17">
        <f>BNVFE!AE16</f>
        <v>9.7979641522397912E-6</v>
      </c>
      <c r="BM10" s="17">
        <f>BNVFE!AF16</f>
        <v>9.7979641522397912E-6</v>
      </c>
      <c r="BN10" s="17">
        <f>BNVFE!AG16</f>
        <v>9.7979641522397912E-6</v>
      </c>
      <c r="BO10" s="17">
        <f>BNVFE!AH16</f>
        <v>9.7979641522397912E-6</v>
      </c>
      <c r="BP10" s="17">
        <f>BNVFE!AI16</f>
        <v>9.7979641522397912E-6</v>
      </c>
      <c r="BQ10" s="17">
        <f>BNVFE!AJ16</f>
        <v>9.7979641522397912E-6</v>
      </c>
      <c r="BR10" s="17">
        <f>BNVFE!AK16</f>
        <v>9.7979641522397912E-6</v>
      </c>
      <c r="BS10" s="17">
        <f>BNVFE!AL16</f>
        <v>9.7979641522397912E-6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5"/>
        <v>3.3998208845563427E-3</v>
      </c>
      <c r="F11" s="4">
        <f>TREND($AK11:$BS11,$AK$1:$BS$1,F$1)</f>
        <v>3.4611182039705757E-3</v>
      </c>
      <c r="G11" s="4">
        <f t="shared" si="5"/>
        <v>3.5224155233848087E-3</v>
      </c>
      <c r="H11" s="4">
        <f t="shared" si="5"/>
        <v>3.5837128427990417E-3</v>
      </c>
      <c r="I11" s="4">
        <f t="shared" si="5"/>
        <v>3.6450101622132747E-3</v>
      </c>
      <c r="J11" s="4">
        <f t="shared" si="5"/>
        <v>3.7063074816274938E-3</v>
      </c>
      <c r="K11" s="4">
        <f t="shared" si="5"/>
        <v>3.7676048010417268E-3</v>
      </c>
      <c r="L11" s="4">
        <f t="shared" si="5"/>
        <v>3.8289021204559598E-3</v>
      </c>
      <c r="M11" s="4">
        <f t="shared" si="5"/>
        <v>3.8901994398701928E-3</v>
      </c>
      <c r="N11" s="4">
        <f t="shared" si="5"/>
        <v>3.9514967592844258E-3</v>
      </c>
      <c r="O11" s="4">
        <f t="shared" si="5"/>
        <v>4.0127940786986588E-3</v>
      </c>
      <c r="P11" s="4">
        <f t="shared" si="5"/>
        <v>4.0740913981128918E-3</v>
      </c>
      <c r="Q11" s="4">
        <f t="shared" si="5"/>
        <v>4.1353887175271248E-3</v>
      </c>
      <c r="R11" s="4">
        <f t="shared" si="5"/>
        <v>4.1966860369413578E-3</v>
      </c>
      <c r="S11" s="4">
        <f t="shared" si="5"/>
        <v>4.2579833563555908E-3</v>
      </c>
      <c r="T11" s="4">
        <f t="shared" si="5"/>
        <v>4.3192806757698238E-3</v>
      </c>
      <c r="U11" s="4">
        <f t="shared" si="5"/>
        <v>4.3805779951840568E-3</v>
      </c>
      <c r="V11" s="4">
        <f t="shared" si="5"/>
        <v>4.4418753145982898E-3</v>
      </c>
      <c r="W11" s="4">
        <f t="shared" si="5"/>
        <v>4.5031726340125228E-3</v>
      </c>
      <c r="X11" s="4">
        <f t="shared" si="5"/>
        <v>4.5644699534267558E-3</v>
      </c>
      <c r="Y11" s="4">
        <f t="shared" si="5"/>
        <v>4.6257672728409888E-3</v>
      </c>
      <c r="Z11" s="4">
        <f t="shared" si="5"/>
        <v>4.6870645922552218E-3</v>
      </c>
      <c r="AA11" s="4">
        <f t="shared" si="5"/>
        <v>4.7483619116694409E-3</v>
      </c>
      <c r="AB11" s="4">
        <f t="shared" si="5"/>
        <v>4.8096592310836739E-3</v>
      </c>
      <c r="AC11" s="4">
        <f t="shared" si="5"/>
        <v>4.8709565504979069E-3</v>
      </c>
      <c r="AD11" s="4">
        <f t="shared" si="5"/>
        <v>4.9322538699121399E-3</v>
      </c>
      <c r="AE11" s="4">
        <f t="shared" si="5"/>
        <v>4.9935511893263729E-3</v>
      </c>
      <c r="AF11" s="4">
        <f t="shared" si="5"/>
        <v>5.0548485087406059E-3</v>
      </c>
      <c r="AG11" s="4">
        <f t="shared" si="5"/>
        <v>5.1161458281548389E-3</v>
      </c>
      <c r="AH11" s="4">
        <f t="shared" si="5"/>
        <v>5.1774431475690719E-3</v>
      </c>
      <c r="AI11" s="4">
        <f t="shared" si="5"/>
        <v>5.2387404669833049E-3</v>
      </c>
      <c r="AJ11" s="14">
        <f t="shared" si="5"/>
        <v>5.3000377863975379E-3</v>
      </c>
      <c r="AK11" s="16">
        <f>BNVFE!D17</f>
        <v>5.3224604033574249E-3</v>
      </c>
      <c r="AL11" s="17">
        <f>BNVFE!E17</f>
        <v>5.4077143049242422E-3</v>
      </c>
      <c r="AM11" s="17">
        <f>BNVFE!F17</f>
        <v>5.4465973072914693E-3</v>
      </c>
      <c r="AN11" s="17">
        <f>BNVFE!G17</f>
        <v>5.4857652478151331E-3</v>
      </c>
      <c r="AO11" s="17">
        <f>BNVFE!H17</f>
        <v>5.5169909965581895E-3</v>
      </c>
      <c r="AP11" s="17">
        <f>BNVFE!I17</f>
        <v>5.5954495032786754E-3</v>
      </c>
      <c r="AQ11" s="17">
        <f>BNVFE!J17</f>
        <v>5.6730000317293423E-3</v>
      </c>
      <c r="AR11" s="17">
        <f>BNVFE!K17</f>
        <v>5.749845752322744E-3</v>
      </c>
      <c r="AS11" s="17">
        <f>BNVFE!L17</f>
        <v>5.8268143584821455E-3</v>
      </c>
      <c r="AT11" s="17">
        <f>BNVFE!M17</f>
        <v>5.856341140964073E-3</v>
      </c>
      <c r="AU11" s="17">
        <f>BNVFE!N17</f>
        <v>5.966629253937393E-3</v>
      </c>
      <c r="AV11" s="17">
        <f>BNVFE!O17</f>
        <v>6.0756609596203815E-3</v>
      </c>
      <c r="AW11" s="17">
        <f>BNVFE!P17</f>
        <v>6.1833854197008284E-3</v>
      </c>
      <c r="AX11" s="17">
        <f>BNVFE!Q17</f>
        <v>6.2903276445200537E-3</v>
      </c>
      <c r="AY11" s="17">
        <f>BNVFE!R17</f>
        <v>6.3139597828294793E-3</v>
      </c>
      <c r="AZ11" s="17">
        <f>BNVFE!S17</f>
        <v>6.3666264062146212E-3</v>
      </c>
      <c r="BA11" s="17">
        <f>BNVFE!T17</f>
        <v>6.4192016957327425E-3</v>
      </c>
      <c r="BB11" s="17">
        <f>BNVFE!U17</f>
        <v>6.470802398197222E-3</v>
      </c>
      <c r="BC11" s="17">
        <f>BNVFE!V17</f>
        <v>6.5256312262473174E-3</v>
      </c>
      <c r="BD11" s="17">
        <f>BNVFE!W17</f>
        <v>6.5533191736422578E-3</v>
      </c>
      <c r="BE11" s="17">
        <f>BNVFE!X17</f>
        <v>6.6175346822383279E-3</v>
      </c>
      <c r="BF11" s="17">
        <f>BNVFE!Y17</f>
        <v>6.6809541800090366E-3</v>
      </c>
      <c r="BG11" s="17">
        <f>BNVFE!Z17</f>
        <v>6.7473636653362975E-3</v>
      </c>
      <c r="BH11" s="17">
        <f>BNVFE!AA17</f>
        <v>6.8177885277586414E-3</v>
      </c>
      <c r="BI11" s="17">
        <f>BNVFE!AB17</f>
        <v>6.8873554062736818E-3</v>
      </c>
      <c r="BJ11" s="17">
        <f>BNVFE!AC17</f>
        <v>6.9232569663024868E-3</v>
      </c>
      <c r="BK11" s="17">
        <f>BNVFE!AD17</f>
        <v>6.9614702797498474E-3</v>
      </c>
      <c r="BL11" s="17">
        <f>BNVFE!AE17</f>
        <v>7.0016463178569945E-3</v>
      </c>
      <c r="BM11" s="17">
        <f>BNVFE!AF17</f>
        <v>7.0452932024450913E-3</v>
      </c>
      <c r="BN11" s="17">
        <f>BNVFE!AG17</f>
        <v>7.0915886816565795E-3</v>
      </c>
      <c r="BO11" s="17">
        <f>BNVFE!AH17</f>
        <v>7.141916217624257E-3</v>
      </c>
      <c r="BP11" s="17">
        <f>BNVFE!AI17</f>
        <v>7.1982614600046759E-3</v>
      </c>
      <c r="BQ11" s="17">
        <f>BNVFE!AJ17</f>
        <v>7.2551413733955416E-3</v>
      </c>
      <c r="BR11" s="17">
        <f>BNVFE!AK17</f>
        <v>7.3185423448499541E-3</v>
      </c>
      <c r="BS11" s="17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1.1357372671786685E-3</v>
      </c>
      <c r="U12" s="4">
        <f t="shared" si="5"/>
        <v>1.1357372671786685E-3</v>
      </c>
      <c r="V12" s="4">
        <f t="shared" si="5"/>
        <v>1.1357372671786685E-3</v>
      </c>
      <c r="W12" s="4">
        <f t="shared" si="5"/>
        <v>1.1357372671786685E-3</v>
      </c>
      <c r="X12" s="4">
        <f t="shared" si="5"/>
        <v>1.1357372671786685E-3</v>
      </c>
      <c r="Y12" s="4">
        <f t="shared" si="5"/>
        <v>1.1357372671786685E-3</v>
      </c>
      <c r="Z12" s="4">
        <f t="shared" si="5"/>
        <v>1.1357372671786685E-3</v>
      </c>
      <c r="AA12" s="4">
        <f t="shared" si="5"/>
        <v>1.1357372671786685E-3</v>
      </c>
      <c r="AB12" s="4">
        <f t="shared" si="5"/>
        <v>1.1357372671786685E-3</v>
      </c>
      <c r="AC12" s="4">
        <f t="shared" si="5"/>
        <v>1.1357372671786685E-3</v>
      </c>
      <c r="AD12" s="4">
        <f t="shared" si="5"/>
        <v>1.1357372671786685E-3</v>
      </c>
      <c r="AE12" s="4">
        <f t="shared" si="5"/>
        <v>1.1357372671786685E-3</v>
      </c>
      <c r="AF12" s="4">
        <f t="shared" si="5"/>
        <v>1.1357372671786685E-3</v>
      </c>
      <c r="AG12" s="4">
        <f t="shared" si="5"/>
        <v>1.1357372671786685E-3</v>
      </c>
      <c r="AH12" s="4">
        <f t="shared" si="5"/>
        <v>1.1357372671786685E-3</v>
      </c>
      <c r="AI12" s="4">
        <f t="shared" si="5"/>
        <v>1.1357372671786685E-3</v>
      </c>
      <c r="AJ12" s="14">
        <f t="shared" si="5"/>
        <v>1.1357372671786685E-3</v>
      </c>
      <c r="AK12" s="16">
        <f>BNVFE!D18</f>
        <v>1.1357372671786689E-3</v>
      </c>
      <c r="AL12" s="17">
        <f>BNVFE!E18</f>
        <v>1.1357372671786689E-3</v>
      </c>
      <c r="AM12" s="17">
        <f>BNVFE!F18</f>
        <v>1.1357372671786689E-3</v>
      </c>
      <c r="AN12" s="17">
        <f>BNVFE!G18</f>
        <v>1.1357372671786689E-3</v>
      </c>
      <c r="AO12" s="17">
        <f>BNVFE!H18</f>
        <v>1.1357372671786689E-3</v>
      </c>
      <c r="AP12" s="17">
        <f>BNVFE!I18</f>
        <v>1.1357372671786689E-3</v>
      </c>
      <c r="AQ12" s="17">
        <f>BNVFE!J18</f>
        <v>1.1357372671786689E-3</v>
      </c>
      <c r="AR12" s="17">
        <f>BNVFE!K18</f>
        <v>1.1357372671786689E-3</v>
      </c>
      <c r="AS12" s="17">
        <f>BNVFE!L18</f>
        <v>1.1357372671786689E-3</v>
      </c>
      <c r="AT12" s="17">
        <f>BNVFE!M18</f>
        <v>1.1357372671786689E-3</v>
      </c>
      <c r="AU12" s="17">
        <f>BNVFE!N18</f>
        <v>1.1357372671786689E-3</v>
      </c>
      <c r="AV12" s="17">
        <f>BNVFE!O18</f>
        <v>1.1357372671786689E-3</v>
      </c>
      <c r="AW12" s="17">
        <f>BNVFE!P18</f>
        <v>1.1357372671786689E-3</v>
      </c>
      <c r="AX12" s="17">
        <f>BNVFE!Q18</f>
        <v>1.1357372671786689E-3</v>
      </c>
      <c r="AY12" s="17">
        <f>BNVFE!R18</f>
        <v>1.1357372671786689E-3</v>
      </c>
      <c r="AZ12" s="17">
        <f>BNVFE!S18</f>
        <v>1.1357372671786689E-3</v>
      </c>
      <c r="BA12" s="17">
        <f>BNVFE!T18</f>
        <v>1.1357372671786689E-3</v>
      </c>
      <c r="BB12" s="17">
        <f>BNVFE!U18</f>
        <v>1.1357372671786689E-3</v>
      </c>
      <c r="BC12" s="17">
        <f>BNVFE!V18</f>
        <v>1.1357372671786689E-3</v>
      </c>
      <c r="BD12" s="17">
        <f>BNVFE!W18</f>
        <v>1.1357372671786689E-3</v>
      </c>
      <c r="BE12" s="17">
        <f>BNVFE!X18</f>
        <v>1.1357372671786689E-3</v>
      </c>
      <c r="BF12" s="17">
        <f>BNVFE!Y18</f>
        <v>1.1357372671786689E-3</v>
      </c>
      <c r="BG12" s="17">
        <f>BNVFE!Z18</f>
        <v>1.1357372671786689E-3</v>
      </c>
      <c r="BH12" s="17">
        <f>BNVFE!AA18</f>
        <v>1.1357372671786689E-3</v>
      </c>
      <c r="BI12" s="17">
        <f>BNVFE!AB18</f>
        <v>1.1357372671786689E-3</v>
      </c>
      <c r="BJ12" s="17">
        <f>BNVFE!AC18</f>
        <v>1.1357372671786689E-3</v>
      </c>
      <c r="BK12" s="17">
        <f>BNVFE!AD18</f>
        <v>1.1357372671786689E-3</v>
      </c>
      <c r="BL12" s="17">
        <f>BNVFE!AE18</f>
        <v>1.1357372671786689E-3</v>
      </c>
      <c r="BM12" s="17">
        <f>BNVFE!AF18</f>
        <v>1.1357372671786689E-3</v>
      </c>
      <c r="BN12" s="17">
        <f>BNVFE!AG18</f>
        <v>1.1357372671786689E-3</v>
      </c>
      <c r="BO12" s="17">
        <f>BNVFE!AH18</f>
        <v>1.1357372671786689E-3</v>
      </c>
      <c r="BP12" s="17">
        <f>BNVFE!AI18</f>
        <v>1.1357372671786689E-3</v>
      </c>
      <c r="BQ12" s="17">
        <f>BNVFE!AJ18</f>
        <v>1.1357372671786689E-3</v>
      </c>
      <c r="BR12" s="17">
        <f>BNVFE!AK18</f>
        <v>1.1357372671786689E-3</v>
      </c>
      <c r="BS12" s="17">
        <f>BNVFE!AL18</f>
        <v>1.1357372671786689E-3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F0B8-AC13-40B6-BA2B-C3F660FD3D00}">
  <sheetPr>
    <tabColor theme="3"/>
  </sheetPr>
  <dimension ref="A1:BH92"/>
  <sheetViews>
    <sheetView showGridLines="0" topLeftCell="AM55" workbookViewId="0">
      <selection activeCell="AV63" sqref="AV63"/>
    </sheetView>
  </sheetViews>
  <sheetFormatPr defaultRowHeight="15" outlineLevelRow="1"/>
  <cols>
    <col min="1" max="1" width="25.7109375" customWidth="1"/>
    <col min="2" max="3" width="11" style="74" customWidth="1"/>
    <col min="4" max="4" width="11.7109375" style="74" customWidth="1"/>
    <col min="5" max="5" width="8" style="74" customWidth="1"/>
    <col min="6" max="8" width="11" style="74" customWidth="1"/>
    <col min="9" max="9" width="11" customWidth="1"/>
    <col min="10" max="10" width="13" bestFit="1" customWidth="1"/>
    <col min="11" max="11" width="11" customWidth="1"/>
    <col min="12" max="12" width="12" customWidth="1"/>
    <col min="13" max="15" width="11" customWidth="1"/>
    <col min="16" max="16" width="12.42578125" customWidth="1"/>
    <col min="17" max="17" width="12.7109375" customWidth="1"/>
    <col min="18" max="19" width="11" customWidth="1"/>
    <col min="20" max="20" width="17.28515625" customWidth="1"/>
    <col min="21" max="21" width="17.42578125" customWidth="1"/>
    <col min="22" max="22" width="25.28515625" customWidth="1"/>
    <col min="23" max="25" width="11" customWidth="1"/>
    <col min="26" max="26" width="26.140625" customWidth="1"/>
    <col min="27" max="27" width="17.28515625" customWidth="1"/>
    <col min="28" max="30" width="11" customWidth="1"/>
    <col min="31" max="31" width="11.7109375" customWidth="1"/>
    <col min="32" max="40" width="11" customWidth="1"/>
    <col min="41" max="41" width="15.28515625" customWidth="1"/>
    <col min="42" max="42" width="13.7109375" customWidth="1"/>
    <col min="43" max="43" width="17.28515625" customWidth="1"/>
    <col min="44" max="44" width="11.28515625" customWidth="1"/>
    <col min="45" max="45" width="9.42578125" customWidth="1"/>
    <col min="48" max="48" width="11.28515625" customWidth="1"/>
    <col min="49" max="49" width="15" customWidth="1"/>
    <col min="50" max="50" width="13.140625" bestFit="1" customWidth="1"/>
    <col min="51" max="51" width="18.28515625" bestFit="1" customWidth="1"/>
    <col min="52" max="52" width="17.28515625" customWidth="1"/>
  </cols>
  <sheetData>
    <row r="1" spans="1:48" ht="32.1" customHeight="1">
      <c r="A1" s="23" t="s">
        <v>58</v>
      </c>
      <c r="B1" s="23"/>
      <c r="C1" s="24" t="s">
        <v>59</v>
      </c>
      <c r="D1" s="25">
        <f>+[2]FRAMEWORK!B2</f>
        <v>43599</v>
      </c>
      <c r="E1" s="24" t="s">
        <v>60</v>
      </c>
      <c r="F1" s="26" t="str">
        <f>+[2]FRAMEWORK!D2</f>
        <v>Core higher population</v>
      </c>
      <c r="G1" s="27"/>
      <c r="H1" s="28" t="s">
        <v>61</v>
      </c>
      <c r="I1" s="29" t="s">
        <v>62</v>
      </c>
      <c r="J1" s="30" t="s">
        <v>63</v>
      </c>
      <c r="K1" s="31" t="s">
        <v>64</v>
      </c>
      <c r="L1" s="32" t="s">
        <v>65</v>
      </c>
      <c r="M1" s="23"/>
      <c r="N1" s="23"/>
      <c r="O1" s="23"/>
      <c r="P1" s="23"/>
      <c r="Q1" s="23"/>
      <c r="R1" s="23"/>
      <c r="S1" s="23"/>
      <c r="T1" s="23"/>
      <c r="U1" s="33" t="s">
        <v>66</v>
      </c>
      <c r="V1" s="23" t="str">
        <f>+A1</f>
        <v>Transportation</v>
      </c>
      <c r="W1" s="23"/>
      <c r="X1" s="24" t="str">
        <f>+C1</f>
        <v>Updated:</v>
      </c>
      <c r="Y1" s="25">
        <f>+$D$1</f>
        <v>43599</v>
      </c>
      <c r="Z1" s="24" t="s">
        <v>60</v>
      </c>
      <c r="AA1" s="26" t="str">
        <f>+$F$1</f>
        <v>Core higher population</v>
      </c>
      <c r="AC1" s="28" t="s">
        <v>61</v>
      </c>
      <c r="AD1" s="29" t="s">
        <v>62</v>
      </c>
      <c r="AE1" s="30" t="s">
        <v>63</v>
      </c>
      <c r="AF1" s="31" t="s">
        <v>64</v>
      </c>
      <c r="AG1" s="32" t="s">
        <v>65</v>
      </c>
      <c r="AH1" s="23"/>
      <c r="AI1" s="23"/>
      <c r="AJ1" s="23"/>
      <c r="AK1" s="23"/>
      <c r="AL1" s="23"/>
      <c r="AM1" s="23"/>
      <c r="AV1" s="34" t="s">
        <v>67</v>
      </c>
    </row>
    <row r="2" spans="1:48" outlineLevel="1">
      <c r="A2" s="35"/>
      <c r="B2" s="35"/>
      <c r="C2" s="36"/>
      <c r="D2" s="36"/>
      <c r="E2" s="36"/>
      <c r="F2" s="36"/>
      <c r="G2" s="36"/>
      <c r="H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7"/>
      <c r="AK2" s="37"/>
      <c r="AL2" s="37"/>
      <c r="AM2" s="37"/>
    </row>
    <row r="3" spans="1:48" ht="18.75" outlineLevel="1">
      <c r="A3" s="38" t="s">
        <v>68</v>
      </c>
      <c r="B3" s="39"/>
      <c r="C3" s="39"/>
      <c r="D3" s="39"/>
      <c r="E3" s="40"/>
      <c r="F3" s="41"/>
      <c r="G3" s="40"/>
      <c r="H3" s="40"/>
      <c r="I3" s="42"/>
      <c r="J3" s="42"/>
      <c r="K3" s="42"/>
      <c r="L3" s="42"/>
      <c r="M3" s="42"/>
      <c r="N3" s="42"/>
      <c r="O3" s="42"/>
      <c r="P3" s="43"/>
      <c r="Q3" s="35"/>
      <c r="R3" s="35"/>
      <c r="S3" s="35"/>
      <c r="T3" s="35"/>
      <c r="U3" s="35"/>
      <c r="V3" s="35"/>
      <c r="W3" s="35"/>
      <c r="X3" s="39"/>
      <c r="Y3" s="39"/>
      <c r="Z3" s="39"/>
      <c r="AA3" s="40"/>
      <c r="AB3" s="41"/>
      <c r="AC3" s="40"/>
      <c r="AD3" s="40"/>
      <c r="AE3" s="42"/>
      <c r="AF3" s="42"/>
      <c r="AG3" s="42"/>
      <c r="AH3" s="42"/>
      <c r="AI3" s="42"/>
      <c r="AJ3" s="42"/>
      <c r="AK3" s="42"/>
      <c r="AL3" s="43"/>
      <c r="AM3" s="37"/>
    </row>
    <row r="4" spans="1:48" ht="15.75" outlineLevel="1" thickBot="1">
      <c r="A4" s="37"/>
      <c r="B4" s="37"/>
      <c r="C4" s="44"/>
      <c r="D4" s="44"/>
      <c r="E4" s="44"/>
      <c r="F4" s="44"/>
      <c r="G4" s="44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5"/>
      <c r="V4" s="35"/>
      <c r="W4" s="35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spans="1:48" s="53" customFormat="1" ht="33.6" customHeight="1" outlineLevel="1">
      <c r="A5" s="45" t="s">
        <v>69</v>
      </c>
      <c r="B5" s="46"/>
      <c r="C5" s="47"/>
      <c r="D5" s="48" t="s">
        <v>70</v>
      </c>
      <c r="E5" s="49"/>
      <c r="F5" s="50"/>
      <c r="G5" s="51" t="s">
        <v>71</v>
      </c>
      <c r="H5" s="52"/>
      <c r="I5" s="50"/>
      <c r="J5" s="50"/>
      <c r="K5" s="45" t="s">
        <v>72</v>
      </c>
      <c r="L5" s="46"/>
      <c r="M5" s="50"/>
      <c r="N5" s="50"/>
      <c r="O5" s="51" t="s">
        <v>73</v>
      </c>
      <c r="P5" s="52"/>
      <c r="Q5" s="50"/>
      <c r="R5" s="50"/>
      <c r="S5" s="50"/>
      <c r="T5" s="50"/>
      <c r="U5" s="35"/>
      <c r="V5" s="35"/>
      <c r="W5" s="35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</row>
    <row r="6" spans="1:48" s="53" customFormat="1" ht="33.6" customHeight="1" outlineLevel="1" thickBot="1">
      <c r="A6" s="54"/>
      <c r="B6" s="55"/>
      <c r="C6" s="56" t="s">
        <v>74</v>
      </c>
      <c r="D6" s="57"/>
      <c r="E6" s="58"/>
      <c r="F6" s="56" t="s">
        <v>75</v>
      </c>
      <c r="G6" s="59"/>
      <c r="H6" s="60"/>
      <c r="I6" s="61" t="s">
        <v>76</v>
      </c>
      <c r="J6" s="61"/>
      <c r="K6" s="54"/>
      <c r="L6" s="55"/>
      <c r="M6" s="61" t="s">
        <v>77</v>
      </c>
      <c r="N6" s="61"/>
      <c r="O6" s="59"/>
      <c r="P6" s="60"/>
      <c r="Q6" s="62"/>
      <c r="R6" s="62"/>
      <c r="S6" s="63"/>
      <c r="T6" s="63"/>
      <c r="U6" s="35"/>
      <c r="V6" s="35"/>
      <c r="W6" s="35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48" s="53" customFormat="1" ht="33.6" customHeight="1" outlineLevel="1">
      <c r="A7" s="64" t="s">
        <v>78</v>
      </c>
      <c r="B7" s="65"/>
      <c r="C7" s="66"/>
      <c r="D7" s="50"/>
      <c r="E7" s="50"/>
      <c r="F7" s="66"/>
      <c r="G7" s="50"/>
      <c r="H7" s="50"/>
      <c r="I7" s="61"/>
      <c r="J7" s="61"/>
      <c r="K7" s="50"/>
      <c r="L7" s="50"/>
      <c r="M7" s="61"/>
      <c r="N7" s="61"/>
      <c r="O7" s="50"/>
      <c r="P7" s="50"/>
      <c r="Q7" s="62"/>
      <c r="R7" s="62"/>
      <c r="S7" s="63"/>
      <c r="T7" s="63"/>
      <c r="U7" s="35"/>
      <c r="V7" s="35"/>
      <c r="W7" s="35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48" s="53" customFormat="1" ht="43.5" customHeight="1" outlineLevel="1" thickBot="1">
      <c r="A8" s="64"/>
      <c r="B8" s="65"/>
      <c r="C8" s="47"/>
      <c r="D8" s="50"/>
      <c r="E8" s="50"/>
      <c r="F8" s="50"/>
      <c r="G8" s="50"/>
      <c r="H8" s="67" t="s">
        <v>79</v>
      </c>
      <c r="I8" s="67"/>
      <c r="J8" s="50"/>
      <c r="K8" s="50"/>
      <c r="L8" s="50"/>
      <c r="M8" s="61"/>
      <c r="N8" s="61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48" s="53" customFormat="1" ht="33.6" customHeight="1" outlineLevel="1">
      <c r="A9" s="45" t="s">
        <v>80</v>
      </c>
      <c r="B9" s="46"/>
      <c r="C9" s="50"/>
      <c r="D9" s="45" t="s">
        <v>81</v>
      </c>
      <c r="E9" s="46"/>
      <c r="F9" s="50"/>
      <c r="G9" s="50"/>
      <c r="H9" s="67"/>
      <c r="I9" s="67"/>
      <c r="J9" s="50"/>
      <c r="K9" s="50"/>
      <c r="M9" s="50"/>
      <c r="N9" s="50"/>
      <c r="O9" s="51" t="s">
        <v>82</v>
      </c>
      <c r="P9" s="52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48" s="53" customFormat="1" ht="33.6" customHeight="1" outlineLevel="1" thickBot="1">
      <c r="A10" s="54"/>
      <c r="B10" s="55"/>
      <c r="C10" s="50"/>
      <c r="D10" s="54"/>
      <c r="E10" s="55"/>
      <c r="F10" s="50"/>
      <c r="G10" s="50"/>
      <c r="H10" s="50"/>
      <c r="I10" s="50"/>
      <c r="J10" s="50"/>
      <c r="K10" s="50"/>
      <c r="L10" s="50"/>
      <c r="M10" s="50"/>
      <c r="N10" s="50"/>
      <c r="O10" s="59"/>
      <c r="P10" s="6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48" outlineLevel="1">
      <c r="A11" s="44"/>
      <c r="B11" s="44"/>
      <c r="C11" s="44"/>
      <c r="D11" s="37"/>
      <c r="E11" s="37"/>
      <c r="F11" s="37"/>
      <c r="G11" s="37"/>
      <c r="H11" s="37"/>
      <c r="I11" s="37"/>
      <c r="J11" s="37"/>
      <c r="K11" s="37"/>
      <c r="L11" s="37" t="s">
        <v>83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50"/>
      <c r="Y11" s="50"/>
      <c r="Z11" s="50"/>
      <c r="AA11" s="50"/>
      <c r="AB11" s="50"/>
      <c r="AC11" s="50"/>
      <c r="AD11" s="50"/>
      <c r="AE11" s="37"/>
      <c r="AF11" s="37"/>
      <c r="AG11" s="37"/>
    </row>
    <row r="12" spans="1:48" outlineLevel="1">
      <c r="A12" s="44"/>
      <c r="B12" s="44"/>
      <c r="C12" s="44"/>
      <c r="D12" s="37"/>
      <c r="E12" s="37"/>
      <c r="F12" s="37"/>
      <c r="G12" s="37"/>
      <c r="H12" s="37"/>
      <c r="I12" s="37"/>
      <c r="J12" s="37"/>
      <c r="K12" s="37"/>
      <c r="L12" s="37" t="s">
        <v>84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50"/>
      <c r="Y12" s="50"/>
      <c r="Z12" s="50"/>
      <c r="AA12" s="50"/>
      <c r="AB12" s="50"/>
      <c r="AC12" s="50"/>
      <c r="AD12" s="50"/>
      <c r="AE12" s="37"/>
      <c r="AF12" s="37"/>
      <c r="AG12" s="37"/>
    </row>
    <row r="13" spans="1:48" ht="18.75" outlineLevel="1">
      <c r="A13" s="44"/>
      <c r="B13" s="44"/>
      <c r="C13" s="44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68"/>
      <c r="P13" s="68"/>
      <c r="Q13" s="37"/>
      <c r="R13" s="37"/>
      <c r="S13" s="37"/>
      <c r="T13" s="37"/>
      <c r="U13" s="37"/>
      <c r="V13" s="37"/>
      <c r="W13" s="37"/>
      <c r="X13" s="50"/>
      <c r="Y13" s="50"/>
      <c r="Z13" s="50"/>
      <c r="AA13" s="50"/>
      <c r="AB13" s="50"/>
      <c r="AC13" s="50"/>
      <c r="AD13" s="50"/>
      <c r="AE13" s="37"/>
      <c r="AF13" s="37"/>
      <c r="AG13" s="37"/>
    </row>
    <row r="14" spans="1:48" outlineLevel="1">
      <c r="A14" s="69" t="s">
        <v>85</v>
      </c>
      <c r="B14" s="70"/>
      <c r="C14" s="71"/>
      <c r="D14" s="71"/>
      <c r="E14" s="71"/>
      <c r="F14" s="72"/>
      <c r="G14" s="37"/>
      <c r="H14" s="73" t="s">
        <v>86</v>
      </c>
      <c r="I14" s="74"/>
      <c r="J14" s="37"/>
      <c r="K14" s="37"/>
      <c r="L14" s="37"/>
      <c r="M14" s="37"/>
      <c r="N14" s="37"/>
      <c r="Q14" s="37"/>
      <c r="R14" s="37"/>
      <c r="S14" s="37"/>
      <c r="T14" s="37"/>
      <c r="U14" s="37"/>
      <c r="V14" s="37"/>
      <c r="W14" s="37"/>
      <c r="X14" s="50"/>
      <c r="Y14" s="50"/>
      <c r="Z14" s="50"/>
      <c r="AA14" s="50"/>
      <c r="AB14" s="50"/>
      <c r="AC14" s="50"/>
      <c r="AD14" s="50"/>
      <c r="AE14" s="37"/>
      <c r="AF14" s="37"/>
      <c r="AG14" s="37"/>
    </row>
    <row r="15" spans="1:48" outlineLevel="1">
      <c r="A15" s="75" t="s">
        <v>87</v>
      </c>
      <c r="B15" s="76"/>
      <c r="C15" s="76"/>
      <c r="D15" s="76"/>
      <c r="E15" s="76"/>
      <c r="F15" s="77"/>
      <c r="G15" s="37"/>
      <c r="H15">
        <v>1</v>
      </c>
      <c r="I15" s="78" t="s">
        <v>88</v>
      </c>
      <c r="J15" s="37"/>
      <c r="Q15" s="37"/>
      <c r="R15" s="37"/>
      <c r="S15" s="37"/>
      <c r="T15" s="37"/>
      <c r="U15" s="37"/>
      <c r="V15" s="37"/>
      <c r="W15" s="37"/>
      <c r="X15" s="50"/>
      <c r="Y15" s="50"/>
      <c r="Z15" s="50"/>
      <c r="AA15" s="50"/>
      <c r="AB15" s="50"/>
      <c r="AC15" s="50"/>
      <c r="AD15" s="50"/>
      <c r="AE15" s="37"/>
      <c r="AF15" s="37"/>
      <c r="AG15" s="37"/>
    </row>
    <row r="16" spans="1:48" outlineLevel="1">
      <c r="A16" s="75"/>
      <c r="B16" s="76"/>
      <c r="C16" s="76"/>
      <c r="D16" s="76"/>
      <c r="E16" s="76"/>
      <c r="F16" s="77"/>
      <c r="G16" s="37"/>
      <c r="H16">
        <v>2</v>
      </c>
      <c r="I16" s="78" t="s">
        <v>89</v>
      </c>
      <c r="J16" s="37"/>
      <c r="Q16" s="37"/>
      <c r="R16" s="37"/>
      <c r="S16" s="37"/>
      <c r="T16" s="37"/>
      <c r="U16" s="37"/>
      <c r="V16" s="74"/>
      <c r="W16" s="74"/>
      <c r="X16" s="50"/>
      <c r="Y16" s="50"/>
      <c r="Z16" s="50"/>
      <c r="AA16" s="50"/>
      <c r="AB16" s="50"/>
      <c r="AC16" s="50"/>
      <c r="AD16" s="50"/>
      <c r="AE16" s="37"/>
      <c r="AF16" s="37"/>
      <c r="AG16" s="37"/>
    </row>
    <row r="17" spans="1:49" outlineLevel="1">
      <c r="A17" s="79" t="s">
        <v>90</v>
      </c>
      <c r="B17" s="80"/>
      <c r="C17"/>
      <c r="D17"/>
      <c r="E17"/>
      <c r="F17" s="81"/>
      <c r="G17" s="37"/>
      <c r="H17">
        <v>3</v>
      </c>
      <c r="I17" s="78" t="s">
        <v>91</v>
      </c>
      <c r="J17" s="37"/>
      <c r="Q17" s="37"/>
      <c r="R17" s="37"/>
      <c r="S17" s="37"/>
      <c r="T17" s="37"/>
      <c r="U17" s="37"/>
      <c r="V17" s="74"/>
      <c r="W17" s="74"/>
      <c r="X17" s="50"/>
      <c r="Y17" s="50"/>
      <c r="Z17" s="50"/>
      <c r="AA17" s="50"/>
      <c r="AB17" s="50"/>
      <c r="AC17" s="50"/>
      <c r="AD17" s="50"/>
      <c r="AE17" s="37"/>
      <c r="AF17" s="37"/>
      <c r="AG17" s="37"/>
    </row>
    <row r="18" spans="1:49" outlineLevel="1">
      <c r="A18" s="79" t="s">
        <v>92</v>
      </c>
      <c r="B18" s="80"/>
      <c r="C18"/>
      <c r="D18"/>
      <c r="E18"/>
      <c r="F18" s="81"/>
      <c r="G18" s="37"/>
      <c r="H18">
        <v>4</v>
      </c>
      <c r="I18" s="78" t="s">
        <v>93</v>
      </c>
      <c r="J18" s="37"/>
      <c r="Q18" s="37"/>
      <c r="R18" s="37"/>
      <c r="S18" s="37"/>
      <c r="T18" s="37"/>
      <c r="U18" s="37"/>
      <c r="V18" s="74"/>
      <c r="W18" s="74"/>
      <c r="X18" s="50"/>
      <c r="Y18" s="50"/>
      <c r="Z18" s="50"/>
      <c r="AA18" s="50"/>
      <c r="AB18" s="50"/>
      <c r="AC18" s="50"/>
      <c r="AD18" s="50"/>
      <c r="AE18" s="37"/>
      <c r="AF18" s="37"/>
      <c r="AG18" s="37"/>
    </row>
    <row r="19" spans="1:49" outlineLevel="1">
      <c r="A19" s="79" t="s">
        <v>94</v>
      </c>
      <c r="B19" s="80"/>
      <c r="C19"/>
      <c r="D19"/>
      <c r="E19"/>
      <c r="F19" s="81"/>
      <c r="G19" s="37"/>
      <c r="H19">
        <v>5</v>
      </c>
      <c r="I19" s="78" t="s">
        <v>95</v>
      </c>
      <c r="J19" s="37"/>
      <c r="O19" s="61"/>
      <c r="P19" s="61"/>
      <c r="Q19" s="37"/>
      <c r="R19" s="37"/>
      <c r="S19" s="37"/>
      <c r="T19" s="37"/>
      <c r="U19" s="37"/>
      <c r="V19" s="74"/>
      <c r="W19" s="74"/>
      <c r="X19" s="50"/>
      <c r="Y19" s="50"/>
      <c r="Z19" s="50"/>
      <c r="AA19" s="50"/>
      <c r="AB19" s="50"/>
      <c r="AC19" s="50"/>
      <c r="AD19" s="50"/>
      <c r="AE19" s="37"/>
      <c r="AF19" s="37"/>
      <c r="AG19" s="37"/>
    </row>
    <row r="20" spans="1:49" outlineLevel="1">
      <c r="A20" s="79" t="s">
        <v>96</v>
      </c>
      <c r="B20" s="80"/>
      <c r="C20"/>
      <c r="D20"/>
      <c r="E20"/>
      <c r="F20" s="81"/>
      <c r="G20" s="37"/>
      <c r="H20">
        <v>6</v>
      </c>
      <c r="I20" s="78" t="s">
        <v>97</v>
      </c>
      <c r="J20" s="37"/>
      <c r="O20" s="61"/>
      <c r="P20" s="61"/>
      <c r="Q20" s="37"/>
      <c r="R20" s="37"/>
      <c r="S20" s="37"/>
      <c r="T20" s="37"/>
      <c r="U20" s="37"/>
      <c r="V20" s="74"/>
      <c r="W20" s="74"/>
      <c r="X20" s="50"/>
      <c r="Y20" s="50"/>
      <c r="Z20" s="50"/>
      <c r="AA20" s="50"/>
      <c r="AB20" s="50"/>
      <c r="AC20" s="50"/>
      <c r="AD20" s="50"/>
      <c r="AE20" s="37"/>
      <c r="AF20" s="37"/>
      <c r="AG20" s="37"/>
    </row>
    <row r="21" spans="1:49" outlineLevel="1">
      <c r="A21" s="82"/>
      <c r="B21" s="5"/>
      <c r="C21"/>
      <c r="D21"/>
      <c r="E21"/>
      <c r="F21" s="81"/>
      <c r="G21" s="37"/>
      <c r="H21" s="37">
        <v>7</v>
      </c>
      <c r="I21" s="78" t="s">
        <v>98</v>
      </c>
      <c r="J21" s="37"/>
      <c r="O21" s="61"/>
      <c r="P21" s="61"/>
      <c r="Q21" s="37"/>
      <c r="R21" s="37"/>
      <c r="S21" s="37"/>
      <c r="T21" s="37"/>
      <c r="U21" s="37"/>
      <c r="V21" s="74"/>
      <c r="W21" s="74"/>
      <c r="X21" s="50"/>
      <c r="Y21" s="50"/>
      <c r="Z21" s="50"/>
      <c r="AA21" s="50"/>
      <c r="AB21" s="50"/>
      <c r="AC21" s="50"/>
      <c r="AD21" s="50"/>
      <c r="AE21" s="37"/>
      <c r="AF21" s="37"/>
      <c r="AG21" s="37"/>
    </row>
    <row r="22" spans="1:49" outlineLevel="1">
      <c r="A22" s="82" t="s">
        <v>99</v>
      </c>
      <c r="B22" s="5"/>
      <c r="C22"/>
      <c r="D22"/>
      <c r="E22"/>
      <c r="F22" s="81"/>
      <c r="G22" s="37"/>
      <c r="H22" s="37">
        <v>8</v>
      </c>
      <c r="I22" s="37" t="s">
        <v>100</v>
      </c>
      <c r="J22" s="37"/>
      <c r="Q22" s="37"/>
      <c r="R22" s="37"/>
      <c r="S22" s="37"/>
      <c r="T22" s="37"/>
      <c r="U22" s="37"/>
      <c r="V22" s="74"/>
      <c r="W22" s="74"/>
      <c r="X22" s="50"/>
      <c r="Y22" s="50"/>
      <c r="Z22" s="50"/>
      <c r="AA22" s="50"/>
      <c r="AB22" s="50"/>
      <c r="AC22" s="50"/>
      <c r="AD22" s="50"/>
      <c r="AE22" s="37"/>
      <c r="AF22" s="37"/>
      <c r="AG22" s="37"/>
    </row>
    <row r="23" spans="1:49" outlineLevel="1">
      <c r="A23" s="79" t="s">
        <v>101</v>
      </c>
      <c r="B23" s="80"/>
      <c r="C23" s="80"/>
      <c r="D23" s="80"/>
      <c r="E23" s="80"/>
      <c r="F23" s="83"/>
      <c r="G23" s="37"/>
      <c r="H23" s="37">
        <v>9</v>
      </c>
      <c r="I23" s="37" t="s">
        <v>102</v>
      </c>
      <c r="J23" s="84"/>
      <c r="O23" s="85"/>
      <c r="Q23" s="37"/>
      <c r="R23" s="37"/>
      <c r="S23" s="37"/>
      <c r="T23" s="37"/>
      <c r="U23" s="37"/>
      <c r="V23" s="37"/>
      <c r="W23" s="37"/>
      <c r="X23" s="50"/>
      <c r="Y23" s="50"/>
      <c r="Z23" s="50"/>
      <c r="AA23" s="50"/>
      <c r="AB23" s="50"/>
      <c r="AC23" s="50"/>
      <c r="AD23" s="50"/>
      <c r="AE23" s="37"/>
      <c r="AF23" s="37"/>
      <c r="AG23" s="37"/>
    </row>
    <row r="24" spans="1:49" outlineLevel="1">
      <c r="A24" s="86" t="s">
        <v>103</v>
      </c>
      <c r="B24" s="87"/>
      <c r="C24" s="87"/>
      <c r="D24" s="87"/>
      <c r="E24" s="87"/>
      <c r="F24" s="88"/>
      <c r="G24" s="37"/>
      <c r="H24" s="37">
        <v>10</v>
      </c>
      <c r="I24" s="37" t="s">
        <v>104</v>
      </c>
      <c r="J24" s="89"/>
      <c r="O24" s="90"/>
      <c r="Q24" s="37"/>
      <c r="R24" s="37"/>
      <c r="S24" s="37"/>
      <c r="T24" s="37"/>
      <c r="U24" s="37"/>
      <c r="V24" s="37"/>
      <c r="W24" s="37"/>
      <c r="X24" s="50"/>
      <c r="Y24" s="50"/>
      <c r="Z24" s="50"/>
      <c r="AA24" s="50"/>
      <c r="AB24" s="50"/>
      <c r="AC24" s="50"/>
      <c r="AD24" s="50"/>
      <c r="AE24" s="37"/>
      <c r="AF24" s="37"/>
      <c r="AG24" s="37"/>
    </row>
    <row r="25" spans="1:49" outlineLevel="1">
      <c r="A25" s="91" t="s">
        <v>105</v>
      </c>
      <c r="B25" s="92"/>
      <c r="C25" s="93"/>
      <c r="D25" s="93"/>
      <c r="E25" s="93"/>
      <c r="F25" s="94"/>
      <c r="G25" s="37"/>
      <c r="H25" s="37">
        <v>11</v>
      </c>
      <c r="I25" s="37" t="s">
        <v>106</v>
      </c>
      <c r="J25" s="89"/>
      <c r="O25" s="90"/>
      <c r="Q25" s="37"/>
      <c r="R25" s="37"/>
      <c r="S25" s="37"/>
      <c r="T25" s="37"/>
      <c r="U25" s="37"/>
      <c r="V25" s="37"/>
      <c r="W25" s="37"/>
      <c r="X25" s="50"/>
      <c r="Y25" s="50"/>
      <c r="Z25" s="50"/>
      <c r="AA25" s="50"/>
      <c r="AB25" s="50"/>
      <c r="AC25" s="50"/>
      <c r="AD25" s="50"/>
      <c r="AE25" s="37"/>
      <c r="AF25" s="37"/>
      <c r="AG25" s="37"/>
    </row>
    <row r="26" spans="1:49" outlineLevel="1">
      <c r="A26" s="5"/>
      <c r="B26" s="5"/>
      <c r="C26"/>
      <c r="D26"/>
      <c r="E26"/>
      <c r="F26"/>
      <c r="G26" s="37"/>
      <c r="H26" s="37">
        <v>12</v>
      </c>
      <c r="I26" s="37" t="s">
        <v>107</v>
      </c>
      <c r="J26" s="89"/>
      <c r="O26" s="90"/>
      <c r="Q26" s="37"/>
      <c r="R26" s="37"/>
      <c r="S26" s="37"/>
      <c r="T26" s="37"/>
      <c r="U26" s="37"/>
      <c r="V26" s="37"/>
      <c r="W26" s="37"/>
      <c r="X26" s="50"/>
      <c r="Y26" s="50"/>
      <c r="Z26" s="50"/>
      <c r="AA26" s="50"/>
      <c r="AB26" s="50"/>
      <c r="AC26" s="50"/>
      <c r="AD26" s="50"/>
      <c r="AE26" s="37"/>
      <c r="AF26" s="37"/>
      <c r="AG26" s="37"/>
    </row>
    <row r="27" spans="1:49" outlineLevel="1">
      <c r="A27" s="5"/>
      <c r="B27" s="5"/>
      <c r="C27"/>
      <c r="D27"/>
      <c r="E27"/>
      <c r="F27"/>
      <c r="G27" s="37"/>
      <c r="H27" s="37">
        <v>13</v>
      </c>
      <c r="I27" s="37" t="s">
        <v>108</v>
      </c>
      <c r="J27" s="37"/>
      <c r="O27" s="90"/>
      <c r="Q27" s="37"/>
      <c r="R27" s="37"/>
      <c r="S27" s="37"/>
      <c r="T27" s="37"/>
      <c r="U27" s="37"/>
      <c r="V27" s="37"/>
      <c r="W27" s="37"/>
      <c r="X27" s="50"/>
      <c r="Y27" s="50"/>
      <c r="Z27" s="50"/>
      <c r="AA27" s="50"/>
      <c r="AB27" s="50"/>
      <c r="AC27" s="50"/>
      <c r="AD27" s="50"/>
      <c r="AE27" s="37"/>
      <c r="AF27" s="37"/>
      <c r="AG27" s="37"/>
    </row>
    <row r="28" spans="1:49" outlineLevel="1">
      <c r="A28" s="5"/>
      <c r="B28" s="5"/>
      <c r="C28"/>
      <c r="D28"/>
      <c r="E28"/>
      <c r="F28"/>
      <c r="G28" s="37"/>
      <c r="H28" s="37">
        <v>14</v>
      </c>
      <c r="I28" s="37" t="s">
        <v>109</v>
      </c>
      <c r="J28" s="37"/>
      <c r="O28" s="90"/>
      <c r="Q28" s="37"/>
      <c r="R28" s="37"/>
      <c r="S28" s="37"/>
      <c r="T28" s="37"/>
      <c r="U28" s="37"/>
      <c r="V28" s="37"/>
      <c r="W28" s="37"/>
      <c r="X28" s="50"/>
      <c r="Y28" s="50"/>
      <c r="Z28" s="50"/>
      <c r="AA28" s="50"/>
      <c r="AB28" s="50"/>
      <c r="AC28" s="50"/>
      <c r="AD28" s="50"/>
      <c r="AE28" s="37"/>
      <c r="AF28" s="37"/>
      <c r="AG28" s="37"/>
    </row>
    <row r="29" spans="1:49" ht="24" customHeight="1" thickBot="1">
      <c r="A29" s="95" t="s">
        <v>110</v>
      </c>
      <c r="B29" s="96"/>
      <c r="C29" s="96"/>
      <c r="D29" s="96"/>
      <c r="E29" s="97"/>
      <c r="F29" s="97"/>
      <c r="G29" s="97"/>
      <c r="H29" s="98">
        <v>15</v>
      </c>
      <c r="I29" s="37" t="s">
        <v>111</v>
      </c>
      <c r="J29" s="99" t="s">
        <v>112</v>
      </c>
      <c r="K29" s="98">
        <v>16</v>
      </c>
      <c r="L29" s="97" t="s">
        <v>113</v>
      </c>
      <c r="M29" s="78" t="s">
        <v>114</v>
      </c>
      <c r="N29" s="97"/>
      <c r="O29" s="97"/>
      <c r="P29" s="97"/>
      <c r="Q29" s="97"/>
      <c r="R29" s="100"/>
      <c r="S29" s="100"/>
      <c r="T29" s="100"/>
      <c r="U29" s="101"/>
      <c r="V29" s="37"/>
      <c r="W29" s="37"/>
      <c r="X29" s="50"/>
      <c r="Y29" s="50"/>
      <c r="Z29" s="50"/>
      <c r="AA29" s="50"/>
      <c r="AB29" s="50"/>
      <c r="AC29" s="50"/>
      <c r="AD29" s="50"/>
      <c r="AE29" s="37"/>
      <c r="AF29" s="37"/>
      <c r="AG29" s="37"/>
    </row>
    <row r="30" spans="1:49" s="68" customFormat="1" ht="16.149999999999999" customHeight="1" thickBot="1">
      <c r="A30" s="102" t="s">
        <v>115</v>
      </c>
      <c r="B30" s="103"/>
      <c r="C30" s="103"/>
      <c r="D30" s="103"/>
      <c r="E30" s="103"/>
      <c r="F30" s="103"/>
      <c r="G30" s="102" t="s">
        <v>116</v>
      </c>
      <c r="H30" s="104"/>
      <c r="I30" s="104"/>
      <c r="J30" s="104"/>
      <c r="K30" s="104"/>
      <c r="L30" s="103"/>
      <c r="M30" s="103"/>
      <c r="N30" s="105"/>
      <c r="O30" s="102" t="s">
        <v>117</v>
      </c>
      <c r="P30" s="104"/>
      <c r="Q30" s="104"/>
      <c r="R30" s="106"/>
      <c r="S30" s="104"/>
      <c r="T30" s="104"/>
      <c r="U30" s="107"/>
      <c r="W30" s="108"/>
      <c r="X30" s="108"/>
      <c r="Y30" s="37"/>
      <c r="AJ30" s="109"/>
      <c r="AK30" s="11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ht="15" customHeight="1">
      <c r="A31" s="111"/>
      <c r="B31" s="112">
        <v>2016</v>
      </c>
      <c r="C31" s="113"/>
      <c r="D31" s="113"/>
      <c r="E31" s="113"/>
      <c r="F31" s="113"/>
      <c r="G31" s="114">
        <v>2050</v>
      </c>
      <c r="H31" s="115"/>
      <c r="I31" s="115"/>
      <c r="J31" s="115"/>
      <c r="K31" s="115"/>
      <c r="L31" s="115"/>
      <c r="M31" s="115"/>
      <c r="N31" s="116"/>
      <c r="O31" s="117"/>
      <c r="P31" s="118" t="s">
        <v>118</v>
      </c>
      <c r="Q31" s="119"/>
      <c r="R31" s="119"/>
      <c r="S31" s="118" t="s">
        <v>119</v>
      </c>
      <c r="T31" s="119"/>
      <c r="U31" s="120"/>
      <c r="Y31" s="37"/>
    </row>
    <row r="32" spans="1:49" ht="60">
      <c r="A32" s="121" t="s">
        <v>120</v>
      </c>
      <c r="B32" s="122" t="s">
        <v>121</v>
      </c>
      <c r="C32" s="122" t="s">
        <v>122</v>
      </c>
      <c r="D32" s="122" t="s">
        <v>123</v>
      </c>
      <c r="E32" s="122" t="s">
        <v>124</v>
      </c>
      <c r="F32" s="123" t="s">
        <v>125</v>
      </c>
      <c r="G32" s="124" t="s">
        <v>126</v>
      </c>
      <c r="H32" s="125" t="s">
        <v>127</v>
      </c>
      <c r="I32" s="125" t="s">
        <v>128</v>
      </c>
      <c r="J32" s="122" t="s">
        <v>129</v>
      </c>
      <c r="K32" s="122" t="s">
        <v>122</v>
      </c>
      <c r="L32" s="122" t="s">
        <v>130</v>
      </c>
      <c r="M32" s="122" t="s">
        <v>131</v>
      </c>
      <c r="N32" s="126" t="s">
        <v>125</v>
      </c>
      <c r="O32" s="127" t="s">
        <v>120</v>
      </c>
      <c r="P32" s="128" t="s">
        <v>132</v>
      </c>
      <c r="Q32" s="27"/>
      <c r="R32" s="129" t="s">
        <v>133</v>
      </c>
      <c r="S32" s="130" t="s">
        <v>134</v>
      </c>
      <c r="T32" s="125"/>
      <c r="U32" s="131" t="s">
        <v>133</v>
      </c>
      <c r="W32" s="74"/>
      <c r="X32" s="74"/>
      <c r="Y32" s="37"/>
      <c r="AJ32" s="132"/>
      <c r="AK32" s="133"/>
    </row>
    <row r="33" spans="1:39" ht="15.75" customHeight="1">
      <c r="A33" s="134" t="s">
        <v>135</v>
      </c>
      <c r="B33" s="135"/>
      <c r="C33" s="136"/>
      <c r="D33" s="137"/>
      <c r="E33" s="138"/>
      <c r="F33" s="139"/>
      <c r="G33" s="140"/>
      <c r="H33" s="137"/>
      <c r="I33" s="137"/>
      <c r="J33" s="37"/>
      <c r="K33" s="136"/>
      <c r="M33" s="138"/>
      <c r="N33" s="141"/>
      <c r="O33" s="142"/>
      <c r="P33" s="143" t="s">
        <v>136</v>
      </c>
      <c r="Q33" s="143" t="s">
        <v>137</v>
      </c>
      <c r="R33" s="144"/>
      <c r="S33" s="143" t="s">
        <v>136</v>
      </c>
      <c r="T33" s="143" t="s">
        <v>137</v>
      </c>
      <c r="U33" s="145"/>
      <c r="W33" s="74"/>
      <c r="X33" s="74"/>
      <c r="Y33" s="37"/>
      <c r="AK33" s="133"/>
      <c r="AL33" s="133"/>
      <c r="AM33" s="146"/>
    </row>
    <row r="34" spans="1:39">
      <c r="A34" s="147" t="s">
        <v>138</v>
      </c>
      <c r="B34" s="148">
        <v>5916</v>
      </c>
      <c r="C34" s="136">
        <f>+D34*1000000/B34</f>
        <v>75352.941176470587</v>
      </c>
      <c r="D34" s="149">
        <v>445.78800000000001</v>
      </c>
      <c r="E34" s="150">
        <f>F34/$F$44</f>
        <v>0.27669288585911556</v>
      </c>
      <c r="F34" s="151">
        <v>3957.4</v>
      </c>
      <c r="G34" s="152">
        <f>'[2]Key parameters rpt'!C69</f>
        <v>0</v>
      </c>
      <c r="H34" s="153">
        <f>'[2]Key parameters rpt'!D69</f>
        <v>0</v>
      </c>
      <c r="I34" s="153">
        <f>'[2]Key parameters rpt'!E69</f>
        <v>0</v>
      </c>
      <c r="J34" s="154">
        <f>(1+((L34-D34)/D34))*B34/(1+'[2]Key parameters rpt'!C69)</f>
        <v>5394.183508489642</v>
      </c>
      <c r="K34" s="136">
        <f>+L34*1000000/J34</f>
        <v>75352.941176470587</v>
      </c>
      <c r="L34" s="98">
        <f>(1+((N34-F34)/F34))*D34*(1+'[2]Key parameters rpt'!E69)/(1+'[2]Key parameters rpt'!D69)</f>
        <v>406.46759261030775</v>
      </c>
      <c r="M34" s="155">
        <f>'[2]Key parameters rpt'!F69</f>
        <v>0.21</v>
      </c>
      <c r="N34" s="156">
        <f>$N$44*'[2]Key parameters rpt'!F69</f>
        <v>3608.3404017067123</v>
      </c>
      <c r="O34" s="127" t="s">
        <v>139</v>
      </c>
      <c r="P34" s="157"/>
      <c r="Q34" s="158"/>
      <c r="S34" s="159"/>
      <c r="U34" s="160"/>
      <c r="W34" s="74"/>
      <c r="X34" s="37"/>
      <c r="Y34" s="37"/>
      <c r="AK34" s="133"/>
      <c r="AL34" s="133"/>
      <c r="AM34" s="146"/>
    </row>
    <row r="35" spans="1:39">
      <c r="A35" s="147" t="s">
        <v>140</v>
      </c>
      <c r="B35" s="148">
        <v>7655</v>
      </c>
      <c r="C35" s="136">
        <f>+D35*1000000/B35</f>
        <v>5881.1234487263227</v>
      </c>
      <c r="D35" s="149">
        <v>45.02</v>
      </c>
      <c r="E35" s="150">
        <f t="shared" ref="E35:E43" si="0">F35/$F$44</f>
        <v>2.5995455339975531E-2</v>
      </c>
      <c r="F35" s="151">
        <v>371.8</v>
      </c>
      <c r="G35" s="152">
        <f>'[2]Key parameters rpt'!C70</f>
        <v>0</v>
      </c>
      <c r="H35" s="153">
        <f>'[2]Key parameters rpt'!D70</f>
        <v>0</v>
      </c>
      <c r="I35" s="153">
        <f>'[2]Key parameters rpt'!E70</f>
        <v>0</v>
      </c>
      <c r="J35" s="154">
        <f>(1+((L35-D35)/D35))*B35/(1+'[2]Key parameters rpt'!C70)</f>
        <v>24764.071880101204</v>
      </c>
      <c r="K35" s="136">
        <f>+L35*1000000/J35</f>
        <v>5881.1234487263246</v>
      </c>
      <c r="L35" s="98">
        <f>(1+((N35-F35)/F35))*D35*(1+'[2]Key parameters rpt'!E70)/(1+'[2]Key parameters rpt'!D70)</f>
        <v>145.64056382000737</v>
      </c>
      <c r="M35" s="155">
        <f>'[2]Key parameters rpt'!F70</f>
        <v>7.0000000000000007E-2</v>
      </c>
      <c r="N35" s="156">
        <f>$N$44*'[2]Key parameters rpt'!F70</f>
        <v>1202.7801339022376</v>
      </c>
      <c r="O35" s="161" t="s">
        <v>141</v>
      </c>
      <c r="P35" s="162">
        <f>$P$38*Q35</f>
        <v>1131571.2</v>
      </c>
      <c r="Q35" s="163">
        <f>'[2]Population and GDP'!I6</f>
        <v>0.159</v>
      </c>
      <c r="R35" s="163">
        <f>'[2]Elderly &amp; Children pax trips'!G11</f>
        <v>0.27731467397662501</v>
      </c>
      <c r="S35" s="164">
        <f>$S$38*T35</f>
        <v>940676.86438809265</v>
      </c>
      <c r="T35" s="138">
        <f>IF($U$35=$R$35,'[2]Population and GDP'!$I$6,IF('[2]Key parameters rpt'!$O$4='[2]Key parameters rpt'!$I$4,'[2]Key parameters rpt'!R113,'[2]Population and GDP'!I41))</f>
        <v>0.10375303197353915</v>
      </c>
      <c r="U35" s="165">
        <f>'[2]Key parameters rpt'!C51</f>
        <v>0.3</v>
      </c>
      <c r="W35" s="74"/>
      <c r="X35" s="37"/>
      <c r="Y35" s="37"/>
      <c r="AK35" s="133"/>
      <c r="AL35" s="133"/>
      <c r="AM35" s="146"/>
    </row>
    <row r="36" spans="1:39">
      <c r="A36" s="147" t="s">
        <v>142</v>
      </c>
      <c r="B36" s="148">
        <v>7490</v>
      </c>
      <c r="C36" s="136">
        <f>+D36*1000000/B36</f>
        <v>43756.875834445927</v>
      </c>
      <c r="D36" s="149">
        <v>327.73899999999998</v>
      </c>
      <c r="E36" s="150">
        <f t="shared" si="0"/>
        <v>0.12827128124453765</v>
      </c>
      <c r="F36" s="151">
        <v>1834.6</v>
      </c>
      <c r="G36" s="152">
        <f>'[2]Key parameters rpt'!C71</f>
        <v>0</v>
      </c>
      <c r="H36" s="153">
        <f>'[2]Key parameters rpt'!D71</f>
        <v>0</v>
      </c>
      <c r="I36" s="153">
        <f>'[2]Key parameters rpt'!E71</f>
        <v>0</v>
      </c>
      <c r="J36" s="154">
        <f>(1+((L36-D36)/D36))*B36/(1+'[2]Key parameters rpt'!C71)</f>
        <v>9821.0216972939725</v>
      </c>
      <c r="K36" s="136">
        <f>+L36*1000000/J36</f>
        <v>43756.87583444592</v>
      </c>
      <c r="L36" s="98">
        <f>(1+((N36-F36)/F36))*D36*(1+'[2]Key parameters rpt'!E71)/(1+'[2]Key parameters rpt'!D71)</f>
        <v>429.7372269758917</v>
      </c>
      <c r="M36" s="155">
        <f>'[2]Key parameters rpt'!F71</f>
        <v>0.14000000000000001</v>
      </c>
      <c r="N36" s="156">
        <f>$N$44*'[2]Key parameters rpt'!F71</f>
        <v>2405.5602678044752</v>
      </c>
      <c r="O36" s="161" t="s">
        <v>143</v>
      </c>
      <c r="P36" s="162">
        <f>$P$38*Q36</f>
        <v>5181030.3999999994</v>
      </c>
      <c r="Q36" s="163">
        <f>'[2]Population and GDP'!J6</f>
        <v>0.72799999999999998</v>
      </c>
      <c r="R36" s="163">
        <f>'[2]Elderly &amp; Children pax trips'!G12</f>
        <v>1</v>
      </c>
      <c r="S36" s="164">
        <f>$S$38*T36</f>
        <v>5587283.1047409037</v>
      </c>
      <c r="T36" s="138">
        <f>IF($U$35=$R$35,Q36,IF('[2]Key parameters rpt'!$O$4='[2]Key parameters rpt'!$I$4,'[2]Key parameters rpt'!R114,'[2]Population and GDP'!J41))</f>
        <v>0.61625578831312011</v>
      </c>
      <c r="U36" s="165">
        <f>'[2]Key parameters rpt'!C52</f>
        <v>1</v>
      </c>
      <c r="W36" s="74"/>
      <c r="X36" s="37"/>
      <c r="Y36" s="37"/>
      <c r="AK36" s="133"/>
      <c r="AL36" s="133"/>
      <c r="AM36" s="146"/>
    </row>
    <row r="37" spans="1:39" ht="14.65" customHeight="1">
      <c r="A37" s="147" t="s">
        <v>144</v>
      </c>
      <c r="B37" s="148">
        <f>15250+2838+75</f>
        <v>18163</v>
      </c>
      <c r="C37" s="136">
        <f>+D37*1000000/B37</f>
        <v>148968.85444166698</v>
      </c>
      <c r="D37" s="149">
        <v>2705.721303223997</v>
      </c>
      <c r="E37" s="150">
        <f t="shared" si="0"/>
        <v>6.5240342597448001E-2</v>
      </c>
      <c r="F37" s="151">
        <v>933.1</v>
      </c>
      <c r="G37" s="152">
        <f>'[2]Key parameters rpt'!C72</f>
        <v>0</v>
      </c>
      <c r="H37" s="153">
        <f>'[2]Key parameters rpt'!D72</f>
        <v>0</v>
      </c>
      <c r="I37" s="153">
        <f>'[2]Key parameters rpt'!E72</f>
        <v>0</v>
      </c>
      <c r="J37" s="154">
        <f>(1+((L37-D37)/D37))*B37/(1+'[2]Key parameters rpt'!C72)</f>
        <v>28429.323508820653</v>
      </c>
      <c r="K37" s="136">
        <f>+L37*1000000/J37</f>
        <v>148968.85444166698</v>
      </c>
      <c r="L37" s="98">
        <f>(1+((N37-F37)/F37))*D37*(1+'[2]Key parameters rpt'!E72)/(1+'[2]Key parameters rpt'!D72)</f>
        <v>4235.0837556605647</v>
      </c>
      <c r="M37" s="155">
        <f>'[2]Key parameters rpt'!F72</f>
        <v>8.5000000000000006E-2</v>
      </c>
      <c r="N37" s="156">
        <f>$N$44*'[2]Key parameters rpt'!F72</f>
        <v>1460.5187340241455</v>
      </c>
      <c r="O37" s="166" t="s">
        <v>145</v>
      </c>
      <c r="P37" s="162">
        <f>$P$38*Q37</f>
        <v>804198.40000000002</v>
      </c>
      <c r="Q37" s="163">
        <f>'[2]Population and GDP'!K6</f>
        <v>0.113</v>
      </c>
      <c r="R37" s="163">
        <f>'[2]Elderly &amp; Children pax trips'!G13</f>
        <v>0.43604752178703804</v>
      </c>
      <c r="S37" s="164">
        <f>$S$38*T37</f>
        <v>2538540.0308710034</v>
      </c>
      <c r="T37" s="138">
        <f>IF($U$35=$R$35,Q37,IF('[2]Key parameters rpt'!$O$4='[2]Key parameters rpt'!$I$4,'[2]Key parameters rpt'!R115,'[2]Population and GDP'!J41))</f>
        <v>0.2799911797133407</v>
      </c>
      <c r="U37" s="165">
        <f>'[2]Key parameters rpt'!C53</f>
        <v>0.4</v>
      </c>
      <c r="W37" s="74"/>
      <c r="X37" s="37"/>
      <c r="Y37" s="37"/>
      <c r="AK37" s="133"/>
      <c r="AL37" s="133"/>
      <c r="AM37" s="146"/>
    </row>
    <row r="38" spans="1:39" ht="15.75" thickBot="1">
      <c r="A38" s="167" t="s">
        <v>146</v>
      </c>
      <c r="B38" s="168">
        <f>SUM(B34:B36)</f>
        <v>21061</v>
      </c>
      <c r="C38" s="169"/>
      <c r="D38" s="169">
        <f>SUM(D33:D37)</f>
        <v>3524.268303223997</v>
      </c>
      <c r="E38" s="170">
        <f>SUM(E33:E37)</f>
        <v>0.49619996504107672</v>
      </c>
      <c r="F38" s="171">
        <f>SUM(F34:F37)</f>
        <v>7096.9</v>
      </c>
      <c r="G38" s="172"/>
      <c r="H38" s="173"/>
      <c r="I38" s="173"/>
      <c r="J38" s="174">
        <f>SUM(J33:J37)</f>
        <v>68408.600594705465</v>
      </c>
      <c r="K38" s="169"/>
      <c r="L38" s="174">
        <f>SUM(L33:L37)</f>
        <v>5216.9291390667713</v>
      </c>
      <c r="M38" s="175">
        <f>'[2]Key parameters rpt'!F73</f>
        <v>0.505</v>
      </c>
      <c r="N38" s="176">
        <f>SUM(N33:N37)</f>
        <v>8677.1995374375711</v>
      </c>
      <c r="O38" s="161" t="s">
        <v>147</v>
      </c>
      <c r="P38" s="177">
        <f>'[2]Population and GDP'!E6</f>
        <v>7116800</v>
      </c>
      <c r="Q38" s="178">
        <f>SUM(Q35:Q37)</f>
        <v>1</v>
      </c>
      <c r="R38" s="179">
        <f>+R35*Q35+R36*Q36+R37*Q37</f>
        <v>0.82136640312421871</v>
      </c>
      <c r="S38" s="180">
        <f>'[2]Population and GDP'!E41</f>
        <v>9066500</v>
      </c>
      <c r="T38" s="178">
        <f>SUM(T35:T37)</f>
        <v>1</v>
      </c>
      <c r="U38" s="181">
        <f>+'[2]Key parameters rpt'!C51*T35+'[2]Key parameters rpt'!C52*T36+'[2]Key parameters rpt'!C53*T37</f>
        <v>0.7593781697905182</v>
      </c>
      <c r="W38" s="74"/>
      <c r="X38" s="37"/>
      <c r="Y38" s="37"/>
      <c r="AJ38" s="133"/>
      <c r="AK38" s="133"/>
      <c r="AL38" s="133"/>
      <c r="AM38" s="146"/>
    </row>
    <row r="39" spans="1:39">
      <c r="A39" s="147" t="s">
        <v>148</v>
      </c>
      <c r="B39" s="148">
        <v>583037</v>
      </c>
      <c r="C39" s="136">
        <f>+D39*1000000/B39</f>
        <v>11067.190050365894</v>
      </c>
      <c r="D39" s="149">
        <v>6452.5812853951802</v>
      </c>
      <c r="E39" s="182">
        <f>+B39*0.12/B41</f>
        <v>0.10675579711582331</v>
      </c>
      <c r="F39" s="183">
        <f>F44*E39</f>
        <v>1526.8747882490629</v>
      </c>
      <c r="G39" s="152">
        <f>'[2]Key parameters rpt'!C74</f>
        <v>0</v>
      </c>
      <c r="H39" s="153">
        <f>'[2]Key parameters rpt'!D74</f>
        <v>0</v>
      </c>
      <c r="I39" s="153">
        <f>'[2]Key parameters rpt'!E74</f>
        <v>0</v>
      </c>
      <c r="J39" s="154">
        <f>(1+((L39-D39)/D39))*B39/(1+'[2]Key parameters rpt'!C74)</f>
        <v>393669.8447201415</v>
      </c>
      <c r="K39" s="136">
        <f>+L39*1000000/J39</f>
        <v>11067.190050365896</v>
      </c>
      <c r="L39" s="98">
        <f>(1+((N39-F39)/F39))*D39*(1+'[2]Key parameters rpt'!E74)/(1+'[2]Key parameters rpt'!D74)</f>
        <v>4356.818988615837</v>
      </c>
      <c r="M39" s="184">
        <f>'[2]Key parameters rpt'!F74</f>
        <v>0.06</v>
      </c>
      <c r="N39" s="156">
        <f>N44*'[2]Key parameters rpt'!F74</f>
        <v>1030.954400487632</v>
      </c>
      <c r="O39" s="127" t="s">
        <v>149</v>
      </c>
      <c r="P39" s="185" t="s">
        <v>150</v>
      </c>
      <c r="S39" s="159" t="s">
        <v>151</v>
      </c>
      <c r="U39" s="160"/>
      <c r="W39" s="74"/>
      <c r="Y39" s="37"/>
    </row>
    <row r="40" spans="1:39" ht="15.75" thickBot="1">
      <c r="A40" s="147" t="s">
        <v>152</v>
      </c>
      <c r="B40" s="148">
        <f>71875+67+390</f>
        <v>72332</v>
      </c>
      <c r="C40" s="136">
        <f>+D40*1000000/B40</f>
        <v>4527.4162350163833</v>
      </c>
      <c r="D40" s="149">
        <v>327.47707111120502</v>
      </c>
      <c r="E40" s="186">
        <f>0.12-E39</f>
        <v>1.3244202884176687E-2</v>
      </c>
      <c r="F40" s="187">
        <f>F44*E40</f>
        <v>189.42521175093705</v>
      </c>
      <c r="G40" s="152">
        <f>'[2]Key parameters rpt'!C75</f>
        <v>0</v>
      </c>
      <c r="H40" s="153">
        <f>'[2]Key parameters rpt'!D75</f>
        <v>0</v>
      </c>
      <c r="I40" s="153">
        <f>'[2]Key parameters rpt'!E75</f>
        <v>0</v>
      </c>
      <c r="J40" s="154">
        <f>(1+((L40-D40)/D40))*B40/(1+'[2]Key parameters rpt'!C75)</f>
        <v>65611.640786690332</v>
      </c>
      <c r="K40" s="136">
        <f>+L40*1000000/J40</f>
        <v>4527.4162350163833</v>
      </c>
      <c r="L40" s="98">
        <f>(1+((N40-F40)/F40))*D40*(1+'[2]Key parameters rpt'!E75)/(1+'[2]Key parameters rpt'!D75)</f>
        <v>297.05120770372491</v>
      </c>
      <c r="M40" s="184">
        <f>'[2]Key parameters rpt'!F75</f>
        <v>0.01</v>
      </c>
      <c r="N40" s="188">
        <f>N44*'[2]Key parameters rpt'!F75</f>
        <v>171.82573341460534</v>
      </c>
      <c r="O40" s="189" t="s">
        <v>153</v>
      </c>
      <c r="P40" s="190">
        <f>'[2]Key parameters rpt'!D5/10000</f>
        <v>249.0617</v>
      </c>
      <c r="Q40" s="191"/>
      <c r="R40" s="191"/>
      <c r="S40" s="192">
        <f>'[2]Key parameters rpt'!O5/10000</f>
        <v>623.2620948879246</v>
      </c>
      <c r="T40" s="191"/>
      <c r="U40" s="193"/>
      <c r="W40" s="74"/>
      <c r="Y40" s="37"/>
    </row>
    <row r="41" spans="1:39" ht="16.5" customHeight="1" thickBot="1">
      <c r="A41" s="194" t="s">
        <v>154</v>
      </c>
      <c r="B41" s="168">
        <f>SUM(B39:B40)</f>
        <v>655369</v>
      </c>
      <c r="C41" s="169"/>
      <c r="D41" s="169">
        <f>SUM(D39:D40)</f>
        <v>6780.0583565063853</v>
      </c>
      <c r="E41" s="138">
        <f>F41/$F$44</f>
        <v>0.11962943541338927</v>
      </c>
      <c r="F41" s="195">
        <v>1711</v>
      </c>
      <c r="G41" s="172"/>
      <c r="H41" s="173"/>
      <c r="I41" s="173"/>
      <c r="J41" s="174">
        <f>SUM(J39:J40)</f>
        <v>459281.48550683184</v>
      </c>
      <c r="K41" s="169"/>
      <c r="L41" s="174">
        <f>SUM(L39:L40)</f>
        <v>4653.8701963195617</v>
      </c>
      <c r="M41" s="175">
        <f>SUM(M39:M40)</f>
        <v>6.9999999999999993E-2</v>
      </c>
      <c r="N41" s="176">
        <f>SUM(N39:N40)</f>
        <v>1202.7801339022374</v>
      </c>
      <c r="O41" s="196" t="s">
        <v>155</v>
      </c>
      <c r="U41" s="160"/>
      <c r="W41" s="74"/>
      <c r="X41" s="37"/>
      <c r="Y41" s="37"/>
    </row>
    <row r="42" spans="1:39" ht="15.75" thickTop="1">
      <c r="A42" s="147" t="s">
        <v>156</v>
      </c>
      <c r="B42" s="197"/>
      <c r="C42" s="136"/>
      <c r="D42" s="198">
        <v>322.25599999999997</v>
      </c>
      <c r="E42" s="150">
        <f t="shared" si="0"/>
        <v>0.37502534521936726</v>
      </c>
      <c r="F42" s="199">
        <v>5363.8</v>
      </c>
      <c r="G42" s="152">
        <f>'[2]Key parameters rpt'!C77</f>
        <v>0</v>
      </c>
      <c r="H42" s="153">
        <f>'[2]Key parameters rpt'!D77</f>
        <v>0</v>
      </c>
      <c r="I42" s="153">
        <f>'[2]Key parameters rpt'!E77</f>
        <v>0</v>
      </c>
      <c r="J42" s="154">
        <f>(1+((L42-D42)/D42))*B42*(1+'[2]Key parameters rpt'!C77)</f>
        <v>0</v>
      </c>
      <c r="K42" s="136"/>
      <c r="L42" s="98">
        <f>(1+((N42-F42)/F42))*D42*(1+'[2]Key parameters rpt'!E77)/(1+'[2]Key parameters rpt'!D77)</f>
        <v>433.57669730131556</v>
      </c>
      <c r="M42" s="155">
        <f>'[2]Key parameters rpt'!F77</f>
        <v>0.42</v>
      </c>
      <c r="N42" s="156">
        <f>$N$44*'[2]Key parameters rpt'!F77</f>
        <v>7216.6808034134247</v>
      </c>
      <c r="O42" s="200" t="s">
        <v>157</v>
      </c>
      <c r="U42" s="201">
        <f>-1+S38/P38</f>
        <v>0.27395739658273377</v>
      </c>
      <c r="Y42" s="37"/>
    </row>
    <row r="43" spans="1:39">
      <c r="A43" s="147" t="s">
        <v>158</v>
      </c>
      <c r="B43" s="202"/>
      <c r="C43" s="136"/>
      <c r="D43" s="203">
        <f>'[2]Marine VKM'!H27/1000000</f>
        <v>3.2721155</v>
      </c>
      <c r="E43" s="150">
        <f t="shared" si="0"/>
        <v>9.1452543261667553E-3</v>
      </c>
      <c r="F43" s="204">
        <v>130.80000000000001</v>
      </c>
      <c r="G43" s="152">
        <f>'[2]Key parameters rpt'!C78</f>
        <v>0</v>
      </c>
      <c r="H43" s="153">
        <f>'[2]Key parameters rpt'!D78</f>
        <v>0</v>
      </c>
      <c r="I43" s="153">
        <f>'[2]Key parameters rpt'!E78</f>
        <v>0</v>
      </c>
      <c r="J43" s="154">
        <f>(1+((L43-D43)/D43))*B43*(1+'[2]Key parameters rpt'!C78)</f>
        <v>0</v>
      </c>
      <c r="K43" s="136"/>
      <c r="L43" s="98">
        <f>(1+((N43-F43)/F43))*D43*(1+'[2]Key parameters rpt'!E78)/(1+'[2]Key parameters rpt'!D78)</f>
        <v>2.1492111835045797</v>
      </c>
      <c r="M43" s="205">
        <f>'[2]Key parameters rpt'!F78</f>
        <v>5.0000000000000001E-3</v>
      </c>
      <c r="N43" s="206">
        <f>N44*'[2]Key parameters rpt'!F78</f>
        <v>85.912866707302669</v>
      </c>
      <c r="O43" s="200" t="s">
        <v>159</v>
      </c>
      <c r="U43" s="207">
        <f>'[2]Key parameters rpt'!$C$56</f>
        <v>0.02</v>
      </c>
      <c r="Y43" s="37"/>
    </row>
    <row r="44" spans="1:39" ht="15.75" thickBot="1">
      <c r="A44" s="208" t="s">
        <v>160</v>
      </c>
      <c r="B44" s="209">
        <f>SUM(B41:B43)+B38</f>
        <v>676430</v>
      </c>
      <c r="C44" s="209"/>
      <c r="D44" s="209">
        <f>SUM(D41:D43)+D38</f>
        <v>10629.854775230382</v>
      </c>
      <c r="E44" s="210">
        <f>+E38+E41+E42+E43</f>
        <v>1</v>
      </c>
      <c r="F44" s="211">
        <f>+F38+F41+F42+F43</f>
        <v>14302.5</v>
      </c>
      <c r="G44" s="212"/>
      <c r="H44" s="209"/>
      <c r="I44" s="209"/>
      <c r="J44" s="209">
        <f>SUM(J41:J43)+J38</f>
        <v>527690.08610153734</v>
      </c>
      <c r="K44" s="209"/>
      <c r="L44" s="209">
        <f>SUM(L41:L43)+L38</f>
        <v>10306.525243871154</v>
      </c>
      <c r="M44" s="210">
        <f>'[2]Key parameters rpt'!F79</f>
        <v>0.99999999999999989</v>
      </c>
      <c r="N44" s="213">
        <f>+F44*(1+U48)</f>
        <v>17182.573341460535</v>
      </c>
      <c r="O44" s="200" t="s">
        <v>161</v>
      </c>
      <c r="U44" s="201">
        <f>-1+U38/R38</f>
        <v>-7.5469648013257951E-2</v>
      </c>
      <c r="W44" s="1"/>
      <c r="X44" s="1"/>
      <c r="Y44" s="37"/>
    </row>
    <row r="45" spans="1:39">
      <c r="A45" s="73" t="s">
        <v>162</v>
      </c>
      <c r="B45" s="214"/>
      <c r="C45" s="44"/>
      <c r="G45" s="147"/>
      <c r="I45" s="74"/>
      <c r="J45" s="44"/>
      <c r="K45" s="44"/>
      <c r="L45" s="74"/>
      <c r="M45" s="74"/>
      <c r="N45" s="160"/>
      <c r="O45" s="127" t="s">
        <v>163</v>
      </c>
      <c r="U45" s="207">
        <f>'[2]Key parameters rpt'!C58</f>
        <v>0</v>
      </c>
      <c r="Y45" s="37"/>
    </row>
    <row r="46" spans="1:39">
      <c r="A46" s="214" t="s">
        <v>164</v>
      </c>
      <c r="B46" s="148">
        <v>71856</v>
      </c>
      <c r="C46" s="215">
        <f>D46*1000000/B46</f>
        <v>28642.702070808282</v>
      </c>
      <c r="D46" s="216">
        <v>2058.15</v>
      </c>
      <c r="E46" s="217"/>
      <c r="F46" s="137"/>
      <c r="G46" s="152">
        <f>'[2]Key parameters rpt'!C81</f>
        <v>0</v>
      </c>
      <c r="H46" s="153">
        <f>'[2]Key parameters rpt'!D81</f>
        <v>0</v>
      </c>
      <c r="I46" s="153">
        <f>'[2]Key parameters rpt'!E81</f>
        <v>0</v>
      </c>
      <c r="J46" s="154">
        <f>(1+((L46-D46)/D46))*B46/(1+'[2]Key parameters rpt'!C81)</f>
        <v>125835.68369899248</v>
      </c>
      <c r="K46" s="218">
        <f>L46*1000000/J46</f>
        <v>28642.702070808285</v>
      </c>
      <c r="L46" s="98">
        <f>D46*(1+$U$53)</f>
        <v>3604.2739980667079</v>
      </c>
      <c r="M46" s="217"/>
      <c r="N46" s="219"/>
      <c r="O46" s="127" t="s">
        <v>165</v>
      </c>
      <c r="U46" s="207">
        <f>'[2]Key parameters rpt'!C59</f>
        <v>0</v>
      </c>
      <c r="Y46" s="37"/>
    </row>
    <row r="47" spans="1:39" ht="30">
      <c r="A47" s="214" t="s">
        <v>166</v>
      </c>
      <c r="B47" s="148">
        <v>11748</v>
      </c>
      <c r="C47" s="215">
        <f>D47*1000000/B47</f>
        <v>31355.975485188967</v>
      </c>
      <c r="D47" s="216">
        <v>368.37</v>
      </c>
      <c r="E47" s="217"/>
      <c r="F47" s="137"/>
      <c r="G47" s="152">
        <f>'[2]Key parameters rpt'!C82</f>
        <v>0</v>
      </c>
      <c r="H47" s="153">
        <f>'[2]Key parameters rpt'!D82</f>
        <v>0</v>
      </c>
      <c r="I47" s="153">
        <f>'[2]Key parameters rpt'!E82</f>
        <v>0</v>
      </c>
      <c r="J47" s="154">
        <f>(1+((L47-D47)/D47))*B47/(1+'[2]Key parameters rpt'!C82)</f>
        <v>20573.335728342288</v>
      </c>
      <c r="K47" s="218">
        <f>L47*1000000/J47</f>
        <v>31355.97548518897</v>
      </c>
      <c r="L47" s="98">
        <f>D47*(1+$U$53)</f>
        <v>645.09701074646318</v>
      </c>
      <c r="M47" s="217"/>
      <c r="N47" s="220"/>
      <c r="O47" s="127" t="s">
        <v>167</v>
      </c>
      <c r="U47" s="207">
        <f>'[2]Key parameters rpt'!C60</f>
        <v>0</v>
      </c>
      <c r="Y47" s="37"/>
    </row>
    <row r="48" spans="1:39">
      <c r="A48" s="214" t="s">
        <v>168</v>
      </c>
      <c r="B48" s="148">
        <v>30833</v>
      </c>
      <c r="C48" s="215">
        <f>D48*1000000/B48</f>
        <v>31356.01465961794</v>
      </c>
      <c r="D48" s="221">
        <v>966.8</v>
      </c>
      <c r="E48" s="217"/>
      <c r="F48" s="137"/>
      <c r="G48" s="152">
        <f>'[2]Key parameters rpt'!C83</f>
        <v>0</v>
      </c>
      <c r="H48" s="153">
        <f>'[2]Key parameters rpt'!D83</f>
        <v>0</v>
      </c>
      <c r="I48" s="153">
        <f>'[2]Key parameters rpt'!E83</f>
        <v>0</v>
      </c>
      <c r="J48" s="154">
        <f>(1+((L48-D48)/D48))*B48/(1+'[2]Key parameters rpt'!C83)</f>
        <v>53995.374575415211</v>
      </c>
      <c r="K48" s="218">
        <f>L48*1000000/J48</f>
        <v>31356.014659617937</v>
      </c>
      <c r="L48" s="222">
        <f>D48*(1+$U$53)</f>
        <v>1693.079756738281</v>
      </c>
      <c r="M48" s="217"/>
      <c r="N48" s="219"/>
      <c r="O48" s="223" t="s">
        <v>169</v>
      </c>
      <c r="P48" s="224"/>
      <c r="Q48" s="224"/>
      <c r="R48" s="224"/>
      <c r="S48" s="224"/>
      <c r="T48" s="224"/>
      <c r="U48" s="225">
        <f>-1++(1+U42)*(1+'[2]Key parameters rpt'!C56)*(1+U44)*(1+'[2]Key parameters rpt'!C58)*(1+'[2]Key parameters rpt'!C59)*(1+'[2]Key parameters rpt'!C60)</f>
        <v>0.20136852588432341</v>
      </c>
      <c r="Y48" s="37"/>
    </row>
    <row r="49" spans="1:60">
      <c r="A49" s="226" t="s">
        <v>170</v>
      </c>
      <c r="B49" s="227">
        <v>1840</v>
      </c>
      <c r="C49" s="228"/>
      <c r="D49" s="229"/>
      <c r="E49" s="230"/>
      <c r="F49" s="231"/>
      <c r="G49" s="152">
        <f>'[2]Key parameters rpt'!C84</f>
        <v>0</v>
      </c>
      <c r="H49" s="153">
        <f>'[2]Key parameters rpt'!D84</f>
        <v>0</v>
      </c>
      <c r="I49" s="153">
        <f>'[2]Key parameters rpt'!E84</f>
        <v>0</v>
      </c>
      <c r="J49" s="154">
        <v>1840</v>
      </c>
      <c r="K49" s="218"/>
      <c r="L49" s="232"/>
      <c r="M49" s="230"/>
      <c r="N49" s="233"/>
      <c r="O49" s="196" t="s">
        <v>171</v>
      </c>
      <c r="R49" s="137"/>
      <c r="U49" s="160"/>
      <c r="Y49" s="37"/>
    </row>
    <row r="50" spans="1:60" ht="15.75" thickBot="1">
      <c r="A50" s="194" t="s">
        <v>172</v>
      </c>
      <c r="B50" s="234">
        <f>SUM(B46:B49)</f>
        <v>116277</v>
      </c>
      <c r="C50" s="235"/>
      <c r="D50" s="236">
        <f>SUM(D46:D49)</f>
        <v>3393.3199999999997</v>
      </c>
      <c r="E50" s="237"/>
      <c r="F50" s="238"/>
      <c r="G50" s="239"/>
      <c r="H50" s="238"/>
      <c r="I50" s="238"/>
      <c r="J50" s="238">
        <f>SUM(J46:J49)</f>
        <v>202244.39400274999</v>
      </c>
      <c r="K50" s="235"/>
      <c r="L50" s="238">
        <f>SUM(L46:L49)</f>
        <v>5942.4507655514517</v>
      </c>
      <c r="M50" s="237"/>
      <c r="N50" s="240"/>
      <c r="O50" s="241">
        <f>'[2]Key parameters rpt'!$C$63</f>
        <v>0.5</v>
      </c>
      <c r="P50" t="s">
        <v>173</v>
      </c>
      <c r="U50" s="242">
        <f>+'[2]Key parameters rpt'!C63*(-1+S40/P40)</f>
        <v>0.75122026969205735</v>
      </c>
      <c r="Y50" s="37"/>
    </row>
    <row r="51" spans="1:60" ht="15.75" thickTop="1">
      <c r="A51" s="147"/>
      <c r="B51" s="159"/>
      <c r="C51" s="37"/>
      <c r="D51"/>
      <c r="E51"/>
      <c r="F51"/>
      <c r="G51" s="127"/>
      <c r="H51"/>
      <c r="N51" s="160"/>
      <c r="O51" s="127" t="s">
        <v>174</v>
      </c>
      <c r="U51" s="165">
        <f>'[2]Key parameters rpt'!$C$64</f>
        <v>0</v>
      </c>
      <c r="Y51" s="37"/>
    </row>
    <row r="52" spans="1:60" ht="15.75" thickBot="1">
      <c r="A52" s="243" t="s">
        <v>175</v>
      </c>
      <c r="B52" s="180">
        <f>B38+B41+B50</f>
        <v>792707</v>
      </c>
      <c r="C52" s="209"/>
      <c r="D52" s="244">
        <f>D38+D41+D50</f>
        <v>13697.646659730382</v>
      </c>
      <c r="E52" s="245">
        <f>E38+E41</f>
        <v>0.61582940045446599</v>
      </c>
      <c r="F52" s="209">
        <f>F41+F38</f>
        <v>8807.9</v>
      </c>
      <c r="G52" s="212"/>
      <c r="H52" s="209"/>
      <c r="I52" s="209"/>
      <c r="J52" s="209"/>
      <c r="K52" s="209"/>
      <c r="L52" s="209">
        <f>L38+L41+L50</f>
        <v>15813.250100937785</v>
      </c>
      <c r="M52" s="245">
        <f>'[2]Key parameters rpt'!F73+'[2]Key parameters rpt'!F76</f>
        <v>0.57499999999999996</v>
      </c>
      <c r="N52" s="246">
        <f>N41+N38</f>
        <v>9879.9796713398082</v>
      </c>
      <c r="O52" s="127" t="s">
        <v>176</v>
      </c>
      <c r="P52" s="5"/>
      <c r="R52" s="247">
        <f>'[2]Key parameters rpt'!$C$65</f>
        <v>1</v>
      </c>
      <c r="S52" s="248" t="s">
        <v>177</v>
      </c>
      <c r="U52" s="242">
        <f>-'[2]Key parameters rpt'!C65*'[2]Key parameters rpt'!C60</f>
        <v>0</v>
      </c>
      <c r="Y52" s="37"/>
    </row>
    <row r="53" spans="1:60" ht="15" customHeight="1" thickBot="1">
      <c r="B53" s="249" t="s">
        <v>178</v>
      </c>
      <c r="C53" s="250"/>
      <c r="D53" s="74" t="s">
        <v>179</v>
      </c>
      <c r="I53" s="74"/>
      <c r="J53" s="74"/>
      <c r="K53" s="74"/>
      <c r="L53" s="74"/>
      <c r="M53" s="74"/>
      <c r="N53" s="74"/>
      <c r="O53" s="251" t="s">
        <v>180</v>
      </c>
      <c r="P53" s="252"/>
      <c r="Q53" s="252"/>
      <c r="R53" s="252"/>
      <c r="S53" s="252"/>
      <c r="T53" s="252"/>
      <c r="U53" s="253">
        <f>-1+(1+U50)*(1+'[2]Key parameters rpt'!C64)*(1+U52)</f>
        <v>0.75122026969205735</v>
      </c>
      <c r="Y53" s="37"/>
      <c r="AD53" s="254"/>
      <c r="AE53" s="66"/>
      <c r="AF53" s="66"/>
      <c r="AG53" s="37"/>
    </row>
    <row r="54" spans="1:60" ht="15" customHeight="1">
      <c r="B54" s="255"/>
      <c r="D54" t="s">
        <v>129</v>
      </c>
      <c r="I54" s="74"/>
      <c r="J54" s="74"/>
      <c r="K54" s="1"/>
      <c r="Q54" s="256"/>
      <c r="T54" s="37"/>
      <c r="Y54" s="254"/>
      <c r="Z54" s="66"/>
      <c r="AA54" s="66"/>
      <c r="AB54" s="37"/>
    </row>
    <row r="55" spans="1:60" ht="14.65" customHeight="1">
      <c r="A55" s="93"/>
      <c r="B55" s="257"/>
      <c r="C55" s="258"/>
      <c r="D55" s="259" t="s">
        <v>131</v>
      </c>
      <c r="E55" s="258"/>
      <c r="F55" s="258"/>
      <c r="G55" s="258"/>
      <c r="H55" s="258"/>
      <c r="I55" s="258"/>
      <c r="J55" s="258"/>
      <c r="K55" s="93"/>
      <c r="L55" s="93"/>
      <c r="M55" s="93"/>
      <c r="N55" s="93"/>
      <c r="O55" s="93"/>
      <c r="P55" s="93"/>
      <c r="Q55" s="93"/>
      <c r="R55" s="93"/>
      <c r="S55" s="93"/>
      <c r="T55" s="260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Z55" t="s">
        <v>181</v>
      </c>
    </row>
    <row r="56" spans="1:60" s="271" customFormat="1" ht="30.75" outlineLevel="1" thickBot="1">
      <c r="A56" s="261" t="s">
        <v>182</v>
      </c>
      <c r="B56" s="261"/>
      <c r="C56" s="262" t="str">
        <f>+C1</f>
        <v>Updated:</v>
      </c>
      <c r="D56" s="263">
        <f>+$D$1</f>
        <v>43599</v>
      </c>
      <c r="E56" s="264" t="s">
        <v>60</v>
      </c>
      <c r="F56" t="str">
        <f>+$F$1</f>
        <v>Core higher population</v>
      </c>
      <c r="G56" s="265"/>
      <c r="H56" s="266" t="s">
        <v>61</v>
      </c>
      <c r="I56" s="267" t="s">
        <v>62</v>
      </c>
      <c r="J56" s="268" t="s">
        <v>63</v>
      </c>
      <c r="K56" s="269" t="s">
        <v>64</v>
      </c>
      <c r="L56" s="270" t="s">
        <v>65</v>
      </c>
      <c r="O56" s="261"/>
      <c r="P56" s="261"/>
      <c r="Q56" s="261"/>
      <c r="R56" s="261"/>
      <c r="S56" s="261"/>
      <c r="T56" s="272"/>
      <c r="U56" s="272" t="s">
        <v>183</v>
      </c>
      <c r="V56" s="261" t="str">
        <f>+A56</f>
        <v>Energy and Emissions</v>
      </c>
      <c r="W56" s="261"/>
      <c r="X56" s="273" t="s">
        <v>59</v>
      </c>
      <c r="Y56" s="274">
        <f>+$D$1</f>
        <v>43599</v>
      </c>
      <c r="Z56" s="273" t="s">
        <v>60</v>
      </c>
      <c r="AA56" s="71" t="str">
        <f>+$F$1</f>
        <v>Core higher population</v>
      </c>
      <c r="AB56" s="275"/>
      <c r="AC56" s="266" t="s">
        <v>61</v>
      </c>
      <c r="AD56" s="267" t="s">
        <v>62</v>
      </c>
      <c r="AE56" s="268" t="s">
        <v>63</v>
      </c>
      <c r="AF56" s="269" t="s">
        <v>64</v>
      </c>
      <c r="AG56" s="270" t="s">
        <v>65</v>
      </c>
      <c r="AH56" s="261"/>
      <c r="AI56" s="261"/>
      <c r="AJ56" s="261"/>
      <c r="AK56" s="261"/>
      <c r="AL56" s="261"/>
      <c r="AM56" s="261"/>
      <c r="AN56" s="261"/>
      <c r="AO56" s="261"/>
      <c r="AW56" s="272" t="s">
        <v>184</v>
      </c>
    </row>
    <row r="57" spans="1:60" s="68" customFormat="1" ht="18.75" outlineLevel="1">
      <c r="A57" s="276" t="s">
        <v>185</v>
      </c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6" t="str">
        <f>+A57</f>
        <v>Module 4 Transport energy and emission forecasting (2016)</v>
      </c>
      <c r="W57" s="277"/>
      <c r="X57" s="277"/>
      <c r="Y57" s="277"/>
      <c r="Z57" s="277"/>
      <c r="AA57" s="277"/>
      <c r="AB57" s="277"/>
      <c r="AC57" s="277"/>
      <c r="AD57" s="277"/>
      <c r="AE57" s="277"/>
      <c r="AF57" s="277"/>
      <c r="AG57" s="277"/>
      <c r="AH57" s="277"/>
      <c r="AI57" s="277"/>
      <c r="AJ57" s="277"/>
      <c r="AK57" s="277"/>
      <c r="AL57" s="278"/>
      <c r="AM57" s="278"/>
      <c r="AN57" s="278"/>
      <c r="AO57" s="278"/>
      <c r="AP57" s="278"/>
      <c r="AQ57" s="278"/>
      <c r="AR57" s="278"/>
      <c r="AS57" s="278"/>
      <c r="AT57" s="278"/>
      <c r="AU57" s="278"/>
      <c r="AV57" s="278"/>
      <c r="AW57" s="279"/>
      <c r="BG57" s="280">
        <f>AV62/AU62/AT62/B62</f>
        <v>1.3180320406116822E-6</v>
      </c>
      <c r="BH57" s="281">
        <f>AW62/AU62/AT62/B62</f>
        <v>8.4135236751065428E-5</v>
      </c>
    </row>
    <row r="58" spans="1:60" s="291" customFormat="1" ht="15.75" customHeight="1" outlineLevel="1">
      <c r="A58" s="282"/>
      <c r="B58" s="283" t="s">
        <v>186</v>
      </c>
      <c r="C58" s="284" t="s">
        <v>129</v>
      </c>
      <c r="D58" s="285" t="s">
        <v>187</v>
      </c>
      <c r="E58" s="286"/>
      <c r="F58" s="286"/>
      <c r="G58" s="287"/>
      <c r="H58" s="285" t="s">
        <v>188</v>
      </c>
      <c r="I58" s="286"/>
      <c r="J58" s="286"/>
      <c r="K58" s="287"/>
      <c r="L58" s="288" t="s">
        <v>189</v>
      </c>
      <c r="M58" s="289"/>
      <c r="N58" s="289"/>
      <c r="O58" s="289"/>
      <c r="P58" s="290"/>
      <c r="Q58" s="289" t="s">
        <v>190</v>
      </c>
      <c r="R58" s="289"/>
      <c r="S58" s="289"/>
      <c r="U58" s="290"/>
      <c r="V58" s="282"/>
      <c r="W58" s="288" t="s">
        <v>191</v>
      </c>
      <c r="X58" s="289"/>
      <c r="Y58" s="289"/>
      <c r="Z58" s="292"/>
      <c r="AA58" s="289"/>
      <c r="AB58" s="288" t="s">
        <v>192</v>
      </c>
      <c r="AC58" s="289"/>
      <c r="AD58" s="289"/>
      <c r="AE58" s="289"/>
      <c r="AF58" s="290"/>
      <c r="AG58" s="289" t="s">
        <v>193</v>
      </c>
      <c r="AH58" s="289"/>
      <c r="AI58" s="289"/>
      <c r="AJ58" s="289"/>
      <c r="AK58" s="289"/>
      <c r="AL58" s="288" t="s">
        <v>194</v>
      </c>
      <c r="AM58" s="289"/>
      <c r="AN58" s="289"/>
      <c r="AO58" s="289"/>
      <c r="AP58" s="289"/>
      <c r="AQ58" s="289"/>
      <c r="AR58" s="290"/>
      <c r="AS58" s="289" t="s">
        <v>56</v>
      </c>
      <c r="AT58" s="289"/>
      <c r="AU58" s="289"/>
      <c r="AV58" s="289"/>
      <c r="AW58" s="293"/>
      <c r="AX58" s="289" t="s">
        <v>195</v>
      </c>
      <c r="AY58" s="289"/>
      <c r="AZ58" s="289"/>
      <c r="BA58" s="289"/>
      <c r="BB58" s="293"/>
      <c r="BG58" s="280">
        <f>AV63/AU63/AT63/B63</f>
        <v>2.4882069248567625E-7</v>
      </c>
      <c r="BH58" s="281">
        <f>AW63/AU63/AT63/B63</f>
        <v>1.5945056754076669E-5</v>
      </c>
    </row>
    <row r="59" spans="1:60" s="74" customFormat="1" ht="58.5" customHeight="1" outlineLevel="1">
      <c r="A59" s="294" t="s">
        <v>196</v>
      </c>
      <c r="B59" s="295"/>
      <c r="C59" s="296"/>
      <c r="D59" s="297" t="s">
        <v>197</v>
      </c>
      <c r="E59" s="298" t="s">
        <v>193</v>
      </c>
      <c r="F59" s="297" t="s">
        <v>198</v>
      </c>
      <c r="G59" s="297" t="s">
        <v>147</v>
      </c>
      <c r="H59" s="298" t="s">
        <v>197</v>
      </c>
      <c r="I59" s="298" t="s">
        <v>193</v>
      </c>
      <c r="J59" s="298" t="s">
        <v>198</v>
      </c>
      <c r="K59" s="298" t="s">
        <v>147</v>
      </c>
      <c r="L59" s="299" t="s">
        <v>199</v>
      </c>
      <c r="M59" s="299" t="s">
        <v>200</v>
      </c>
      <c r="N59" s="299" t="s">
        <v>201</v>
      </c>
      <c r="O59" s="299" t="s">
        <v>202</v>
      </c>
      <c r="P59" s="299" t="s">
        <v>203</v>
      </c>
      <c r="Q59" s="300" t="s">
        <v>199</v>
      </c>
      <c r="R59" s="299" t="s">
        <v>200</v>
      </c>
      <c r="S59" s="301" t="s">
        <v>201</v>
      </c>
      <c r="T59" s="299" t="s">
        <v>202</v>
      </c>
      <c r="U59" s="299" t="s">
        <v>203</v>
      </c>
      <c r="V59" s="127"/>
      <c r="W59" s="299" t="s">
        <v>199</v>
      </c>
      <c r="X59" s="299" t="s">
        <v>200</v>
      </c>
      <c r="Y59" s="299" t="s">
        <v>204</v>
      </c>
      <c r="Z59" s="299" t="s">
        <v>202</v>
      </c>
      <c r="AA59" s="302" t="s">
        <v>203</v>
      </c>
      <c r="AB59" s="299" t="s">
        <v>199</v>
      </c>
      <c r="AC59" s="299" t="s">
        <v>200</v>
      </c>
      <c r="AD59" s="299" t="s">
        <v>201</v>
      </c>
      <c r="AE59" s="299" t="s">
        <v>205</v>
      </c>
      <c r="AF59" s="299" t="s">
        <v>203</v>
      </c>
      <c r="AG59" s="300" t="s">
        <v>199</v>
      </c>
      <c r="AH59" s="299" t="s">
        <v>200</v>
      </c>
      <c r="AI59" s="299" t="s">
        <v>206</v>
      </c>
      <c r="AJ59" s="299" t="s">
        <v>202</v>
      </c>
      <c r="AK59" s="302" t="s">
        <v>203</v>
      </c>
      <c r="AL59" s="299" t="s">
        <v>199</v>
      </c>
      <c r="AM59" s="299" t="s">
        <v>200</v>
      </c>
      <c r="AN59" s="299" t="s">
        <v>207</v>
      </c>
      <c r="AO59" s="299" t="s">
        <v>208</v>
      </c>
      <c r="AP59" s="299" t="s">
        <v>209</v>
      </c>
      <c r="AQ59" s="299" t="s">
        <v>202</v>
      </c>
      <c r="AR59" s="299" t="s">
        <v>203</v>
      </c>
      <c r="AS59" s="300" t="s">
        <v>199</v>
      </c>
      <c r="AT59" s="299" t="s">
        <v>200</v>
      </c>
      <c r="AU59" s="299" t="s">
        <v>201</v>
      </c>
      <c r="AV59" s="299" t="s">
        <v>202</v>
      </c>
      <c r="AW59" s="303" t="s">
        <v>203</v>
      </c>
      <c r="AX59" s="300" t="s">
        <v>199</v>
      </c>
      <c r="AY59" s="299" t="s">
        <v>200</v>
      </c>
      <c r="AZ59" s="299" t="s">
        <v>210</v>
      </c>
      <c r="BA59" s="299" t="s">
        <v>202</v>
      </c>
      <c r="BB59" s="303" t="s">
        <v>203</v>
      </c>
      <c r="BG59" s="280">
        <f>AV64/AU64/AT64/B64</f>
        <v>1.3529760682854384E-4</v>
      </c>
      <c r="BH59" s="281">
        <f>AW64/AU64/AT64/B64</f>
        <v>8.6464160997277197E-3</v>
      </c>
    </row>
    <row r="60" spans="1:60" s="308" customFormat="1" ht="15.75" outlineLevel="1">
      <c r="A60" s="304" t="s">
        <v>211</v>
      </c>
      <c r="B60" s="305">
        <f>D39/C60*1000000</f>
        <v>11067.190050365894</v>
      </c>
      <c r="C60" s="306">
        <f>B39</f>
        <v>583037</v>
      </c>
      <c r="D60" s="307">
        <f t="shared" ref="D60:D68" si="1">+Z60</f>
        <v>268.00074266298708</v>
      </c>
      <c r="F60" s="309">
        <f t="shared" ref="F60:F68" si="2">+G60-E60-D60</f>
        <v>22612.999257337015</v>
      </c>
      <c r="G60" s="310">
        <f t="shared" ref="G60:G68" si="3">O60+T60++Z60+AE60+AJ60+AQ60+AV60</f>
        <v>22881</v>
      </c>
      <c r="H60" s="311">
        <f t="shared" ref="H60:H68" si="4">+AA60</f>
        <v>44235.968375621698</v>
      </c>
      <c r="I60" s="312"/>
      <c r="J60" s="309">
        <f t="shared" ref="J60:J68" si="5">+K60-I60-H60</f>
        <v>1529989.7331097727</v>
      </c>
      <c r="K60" s="310">
        <f>P60+U60++AA60+AF60+AK60+AR60+AW60</f>
        <v>1574225.7014853943</v>
      </c>
      <c r="L60" s="313">
        <f t="shared" ref="L60:L68" si="6">M60/C60</f>
        <v>0.97530345415471065</v>
      </c>
      <c r="M60" s="314">
        <v>568638</v>
      </c>
      <c r="N60" s="315">
        <v>10.600607605859013</v>
      </c>
      <c r="O60" s="316">
        <f>22881*L60</f>
        <v>22315.918334513935</v>
      </c>
      <c r="P60" s="317">
        <v>1508556.0794131418</v>
      </c>
      <c r="Q60" s="318">
        <f t="shared" ref="Q60:Q68" si="7">R60/C60</f>
        <v>1.2918562629815946E-2</v>
      </c>
      <c r="R60" s="314">
        <v>7532</v>
      </c>
      <c r="S60" s="319">
        <f>T60*1000000000/'[2]EF-1'!$B$16*'[2]EF-1'!$U$11/R60/B60*100</f>
        <v>6.9561950911381096</v>
      </c>
      <c r="T60" s="316">
        <f>22881*Q60</f>
        <v>295.58963153281866</v>
      </c>
      <c r="U60" s="310">
        <v>21433.653696630878</v>
      </c>
      <c r="V60" s="304" t="str">
        <f t="shared" ref="V60:V71" si="8">+A60</f>
        <v>Private car</v>
      </c>
      <c r="W60" s="320">
        <f t="shared" ref="W60:W68" si="9">X60/C60</f>
        <v>1.1712807248939604E-2</v>
      </c>
      <c r="X60" s="314">
        <v>6829</v>
      </c>
      <c r="Y60" s="315">
        <v>16</v>
      </c>
      <c r="Z60" s="316">
        <f>22881*W60</f>
        <v>268.00074266298708</v>
      </c>
      <c r="AA60" s="321">
        <f>Z60/3.6*1000000*[2]Electricity!$I$94/1000000*1000</f>
        <v>44235.968375621698</v>
      </c>
      <c r="AB60" s="320">
        <f t="shared" ref="AB60:AB68" si="10">AC60/C60</f>
        <v>6.517596653385634E-5</v>
      </c>
      <c r="AC60" s="314">
        <v>38</v>
      </c>
      <c r="AD60" s="315">
        <v>5</v>
      </c>
      <c r="AE60" s="322">
        <f>22881*AB60</f>
        <v>1.4912912902611668</v>
      </c>
      <c r="AF60" s="323"/>
      <c r="AG60" s="324">
        <f t="shared" ref="AG60:AG68" si="11">AH60/C60</f>
        <v>0</v>
      </c>
      <c r="AH60" s="314">
        <v>0</v>
      </c>
      <c r="AI60" s="325"/>
      <c r="AJ60" s="322">
        <f>22881*AG60</f>
        <v>0</v>
      </c>
      <c r="AK60" s="325"/>
      <c r="AL60" s="320">
        <f t="shared" ref="AL60:AL68" si="12">AM60/C60</f>
        <v>0</v>
      </c>
      <c r="AM60" s="314">
        <v>0</v>
      </c>
      <c r="AN60" s="325">
        <f>8/100</f>
        <v>0.08</v>
      </c>
      <c r="AO60" s="325"/>
      <c r="AP60" s="308">
        <v>0</v>
      </c>
      <c r="AQ60" s="322">
        <f>22881*AL60</f>
        <v>0</v>
      </c>
      <c r="AR60" s="323"/>
      <c r="AS60" s="318">
        <f t="shared" ref="AS60:AS68" si="13">AT60/C60</f>
        <v>0</v>
      </c>
      <c r="AT60" s="314">
        <v>0</v>
      </c>
      <c r="AU60" s="326">
        <v>0</v>
      </c>
      <c r="AV60" s="316">
        <f>22881*AS60</f>
        <v>0</v>
      </c>
      <c r="AW60" s="327">
        <v>0</v>
      </c>
      <c r="AX60" s="318">
        <f t="shared" ref="AX60:AX64" si="14">AY60/H60</f>
        <v>0</v>
      </c>
      <c r="AY60" s="314">
        <v>0</v>
      </c>
      <c r="AZ60" s="326">
        <v>0</v>
      </c>
      <c r="BA60" s="316">
        <f>22881*AX60</f>
        <v>0</v>
      </c>
      <c r="BB60" s="327">
        <v>0</v>
      </c>
    </row>
    <row r="61" spans="1:60" s="308" customFormat="1" ht="15.75" outlineLevel="1">
      <c r="A61" s="304" t="s">
        <v>212</v>
      </c>
      <c r="B61" s="305">
        <f>D40/C61*1000000</f>
        <v>4527.4162350163833</v>
      </c>
      <c r="C61" s="306">
        <f>B40</f>
        <v>72332</v>
      </c>
      <c r="D61" s="307">
        <f t="shared" si="1"/>
        <v>0.28804678427252117</v>
      </c>
      <c r="F61" s="309">
        <f t="shared" si="2"/>
        <v>462.71195321572748</v>
      </c>
      <c r="G61" s="310">
        <f t="shared" si="3"/>
        <v>463</v>
      </c>
      <c r="H61" s="311">
        <f t="shared" si="4"/>
        <v>47.544750485269986</v>
      </c>
      <c r="I61" s="312"/>
      <c r="J61" s="309">
        <f t="shared" si="5"/>
        <v>31279.328037383173</v>
      </c>
      <c r="K61" s="310">
        <f>P61+U61++AA61+AF61+AK61+AR61+AW61</f>
        <v>31326.872787868444</v>
      </c>
      <c r="L61" s="313">
        <f t="shared" si="6"/>
        <v>0.99937786871647405</v>
      </c>
      <c r="M61" s="314">
        <f>71830+67+390</f>
        <v>72287</v>
      </c>
      <c r="N61" s="315">
        <v>4.3309114170629348</v>
      </c>
      <c r="O61" s="316">
        <f>463*L61</f>
        <v>462.71195321572748</v>
      </c>
      <c r="P61" s="317">
        <v>31279.328037383173</v>
      </c>
      <c r="Q61" s="318">
        <f t="shared" si="7"/>
        <v>0</v>
      </c>
      <c r="R61" s="314">
        <v>0</v>
      </c>
      <c r="S61" s="319"/>
      <c r="T61" s="316">
        <f>463*Q61</f>
        <v>0</v>
      </c>
      <c r="U61" s="310">
        <v>0</v>
      </c>
      <c r="V61" s="304" t="str">
        <f t="shared" si="8"/>
        <v>Motorcycle</v>
      </c>
      <c r="W61" s="320">
        <f t="shared" si="9"/>
        <v>6.2213128352596361E-4</v>
      </c>
      <c r="X61" s="314">
        <v>45</v>
      </c>
      <c r="Y61" s="315">
        <v>2</v>
      </c>
      <c r="Z61" s="328">
        <f>463*W61</f>
        <v>0.28804678427252117</v>
      </c>
      <c r="AA61" s="321">
        <f>Z61/3.6*1000000*[2]Electricity!$I$94/1000000*1000</f>
        <v>47.544750485269986</v>
      </c>
      <c r="AB61" s="320">
        <f t="shared" si="10"/>
        <v>0</v>
      </c>
      <c r="AC61" s="314">
        <v>0</v>
      </c>
      <c r="AD61" s="315">
        <v>2</v>
      </c>
      <c r="AE61" s="322">
        <f>463*AB61</f>
        <v>0</v>
      </c>
      <c r="AF61" s="323"/>
      <c r="AG61" s="324">
        <f t="shared" si="11"/>
        <v>0</v>
      </c>
      <c r="AH61" s="314">
        <v>0</v>
      </c>
      <c r="AI61" s="325"/>
      <c r="AJ61" s="322">
        <f>463*AG61</f>
        <v>0</v>
      </c>
      <c r="AK61" s="325"/>
      <c r="AL61" s="320">
        <f t="shared" si="12"/>
        <v>0</v>
      </c>
      <c r="AM61" s="314">
        <v>0</v>
      </c>
      <c r="AN61" s="325"/>
      <c r="AO61" s="325"/>
      <c r="AP61" s="308">
        <v>0</v>
      </c>
      <c r="AQ61" s="322">
        <f>463*AL61</f>
        <v>0</v>
      </c>
      <c r="AR61" s="323"/>
      <c r="AS61" s="318">
        <f t="shared" si="13"/>
        <v>0</v>
      </c>
      <c r="AT61" s="314">
        <v>0</v>
      </c>
      <c r="AU61" s="326">
        <v>0</v>
      </c>
      <c r="AV61" s="316">
        <f>463*AS61</f>
        <v>0</v>
      </c>
      <c r="AW61" s="327">
        <v>0</v>
      </c>
      <c r="AX61" s="318">
        <f t="shared" si="14"/>
        <v>0</v>
      </c>
      <c r="AY61" s="314">
        <v>0</v>
      </c>
      <c r="AZ61" s="326">
        <v>0</v>
      </c>
      <c r="BA61" s="316">
        <f>463*AX61</f>
        <v>0</v>
      </c>
      <c r="BB61" s="327">
        <v>0</v>
      </c>
    </row>
    <row r="62" spans="1:60" s="308" customFormat="1" ht="15.75" outlineLevel="1">
      <c r="A62" s="304" t="s">
        <v>213</v>
      </c>
      <c r="B62" s="305">
        <f>SUM(D34:D36)/C62*1000000</f>
        <v>38865.533450453448</v>
      </c>
      <c r="C62" s="329">
        <f>SUM(B34:B36)</f>
        <v>21061</v>
      </c>
      <c r="D62" s="307">
        <f t="shared" si="1"/>
        <v>27.845686339679975</v>
      </c>
      <c r="F62" s="309">
        <f t="shared" si="2"/>
        <v>18971.894876786479</v>
      </c>
      <c r="G62" s="310">
        <f t="shared" si="3"/>
        <v>18999.740563126157</v>
      </c>
      <c r="H62" s="311">
        <f t="shared" si="4"/>
        <v>4596.1846526244071</v>
      </c>
      <c r="I62" s="312"/>
      <c r="J62" s="309">
        <f t="shared" si="5"/>
        <v>1340260.6584386679</v>
      </c>
      <c r="K62" s="310">
        <f>P62+U62++AA62+AF62+AK62+AR62+AW62</f>
        <v>1344856.8430912923</v>
      </c>
      <c r="L62" s="313">
        <f t="shared" si="6"/>
        <v>0</v>
      </c>
      <c r="M62" s="314">
        <v>0</v>
      </c>
      <c r="N62" s="315">
        <v>0</v>
      </c>
      <c r="O62" s="316">
        <f>18918*L62</f>
        <v>0</v>
      </c>
      <c r="P62" s="317">
        <v>0</v>
      </c>
      <c r="Q62" s="318">
        <f t="shared" si="7"/>
        <v>0.81344665495465551</v>
      </c>
      <c r="R62" s="314">
        <v>17132</v>
      </c>
      <c r="S62" s="319">
        <f>T62*1000000000/'[2]EF-1'!$B$16*'[2]EF-1'!$U$11/R62/B62*100</f>
        <v>45.337945562199863</v>
      </c>
      <c r="T62" s="316">
        <f>18918*Q62</f>
        <v>15388.783818432174</v>
      </c>
      <c r="U62" s="310">
        <v>1111536.4029493299</v>
      </c>
      <c r="V62" s="304" t="str">
        <f t="shared" si="8"/>
        <v>Bus</v>
      </c>
      <c r="W62" s="320">
        <f t="shared" si="9"/>
        <v>1.4719149138217558E-3</v>
      </c>
      <c r="X62" s="314">
        <v>31</v>
      </c>
      <c r="Y62" s="315">
        <v>100</v>
      </c>
      <c r="Z62" s="316">
        <f>18918*W62</f>
        <v>27.845686339679975</v>
      </c>
      <c r="AA62" s="321">
        <f>Z62/3.6*1000000*[2]Electricity!$I$94/1000000*1000</f>
        <v>4596.1846526244071</v>
      </c>
      <c r="AB62" s="320">
        <f t="shared" si="10"/>
        <v>0</v>
      </c>
      <c r="AC62" s="314">
        <v>0</v>
      </c>
      <c r="AD62" s="315">
        <v>50</v>
      </c>
      <c r="AE62" s="322">
        <f>18918*AB62</f>
        <v>0</v>
      </c>
      <c r="AF62" s="323"/>
      <c r="AG62" s="324">
        <f t="shared" si="11"/>
        <v>0</v>
      </c>
      <c r="AH62" s="314">
        <v>0</v>
      </c>
      <c r="AI62" s="325"/>
      <c r="AJ62" s="322">
        <f>18918*AG62</f>
        <v>0</v>
      </c>
      <c r="AK62" s="325"/>
      <c r="AL62" s="320">
        <f t="shared" si="12"/>
        <v>0</v>
      </c>
      <c r="AM62" s="314">
        <v>0</v>
      </c>
      <c r="AN62" s="325">
        <f>45/100</f>
        <v>0.45</v>
      </c>
      <c r="AO62" s="325"/>
      <c r="AP62" s="308">
        <v>0</v>
      </c>
      <c r="AQ62" s="322">
        <f>18918*AL62</f>
        <v>0</v>
      </c>
      <c r="AR62" s="323"/>
      <c r="AS62" s="318">
        <f t="shared" si="13"/>
        <v>0.18940221262048335</v>
      </c>
      <c r="AT62" s="314">
        <v>3989</v>
      </c>
      <c r="AU62" s="326">
        <v>17.534994425552124</v>
      </c>
      <c r="AV62" s="316">
        <f>18918*AS62</f>
        <v>3583.1110583543041</v>
      </c>
      <c r="AW62" s="327">
        <v>228724.25548933807</v>
      </c>
      <c r="AX62" s="318">
        <f t="shared" si="14"/>
        <v>0</v>
      </c>
      <c r="AY62" s="314">
        <v>0</v>
      </c>
      <c r="AZ62">
        <v>83.2</v>
      </c>
      <c r="BA62" s="316">
        <f>18918*AX62</f>
        <v>0</v>
      </c>
      <c r="BB62" s="327">
        <v>0</v>
      </c>
    </row>
    <row r="63" spans="1:60" s="308" customFormat="1" ht="15.75" outlineLevel="1">
      <c r="A63" s="304" t="s">
        <v>144</v>
      </c>
      <c r="B63" s="305">
        <f>D37/C63*1000000</f>
        <v>148968.85444166698</v>
      </c>
      <c r="C63" s="306">
        <f>B37</f>
        <v>18163</v>
      </c>
      <c r="D63" s="307">
        <f t="shared" si="1"/>
        <v>0.67654021912679618</v>
      </c>
      <c r="F63" s="309">
        <f t="shared" si="2"/>
        <v>12287.323459780873</v>
      </c>
      <c r="G63" s="310">
        <f t="shared" si="3"/>
        <v>12288</v>
      </c>
      <c r="H63" s="311">
        <f t="shared" si="4"/>
        <v>111.6691373343061</v>
      </c>
      <c r="I63" s="312"/>
      <c r="J63" s="309">
        <f t="shared" si="5"/>
        <v>787426.43625755259</v>
      </c>
      <c r="K63" s="310">
        <f>P63+U63++AA63+AF63+AK63+AR63+AW63</f>
        <v>787538.10539488692</v>
      </c>
      <c r="L63" s="313">
        <f t="shared" si="6"/>
        <v>5.5056983978417665E-4</v>
      </c>
      <c r="M63" s="314">
        <v>10</v>
      </c>
      <c r="N63" s="315">
        <v>10.600607605859013</v>
      </c>
      <c r="O63" s="316">
        <f>12288*L63</f>
        <v>6.7654021912679632</v>
      </c>
      <c r="P63" s="317">
        <v>457.34118812971428</v>
      </c>
      <c r="Q63" s="318">
        <f t="shared" si="7"/>
        <v>0</v>
      </c>
      <c r="R63" s="314">
        <v>0</v>
      </c>
      <c r="S63" s="319"/>
      <c r="T63" s="316">
        <f>12288*Q63</f>
        <v>0</v>
      </c>
      <c r="U63" s="310">
        <v>0</v>
      </c>
      <c r="V63" s="304" t="str">
        <f t="shared" si="8"/>
        <v>Taxi</v>
      </c>
      <c r="W63" s="320">
        <f t="shared" si="9"/>
        <v>5.5056983978417663E-5</v>
      </c>
      <c r="X63" s="314">
        <v>1</v>
      </c>
      <c r="Y63" s="315">
        <v>16</v>
      </c>
      <c r="Z63" s="316">
        <f>12288*W63</f>
        <v>0.67654021912679618</v>
      </c>
      <c r="AA63" s="321">
        <f>Z63/3.6*1000000*[2]Electricity!$I$94/1000000*1000</f>
        <v>111.6691373343061</v>
      </c>
      <c r="AB63" s="320">
        <f t="shared" si="10"/>
        <v>0</v>
      </c>
      <c r="AC63" s="314">
        <v>0</v>
      </c>
      <c r="AD63" s="315">
        <v>5</v>
      </c>
      <c r="AE63" s="322">
        <f>12288*AB63</f>
        <v>0</v>
      </c>
      <c r="AF63" s="323"/>
      <c r="AG63" s="324">
        <f t="shared" si="11"/>
        <v>0</v>
      </c>
      <c r="AH63" s="314">
        <v>0</v>
      </c>
      <c r="AI63" s="325"/>
      <c r="AJ63" s="322">
        <f>12288*AG63</f>
        <v>0</v>
      </c>
      <c r="AK63" s="325"/>
      <c r="AL63" s="320">
        <f t="shared" si="12"/>
        <v>0</v>
      </c>
      <c r="AM63" s="314">
        <v>0</v>
      </c>
      <c r="AN63" s="325">
        <f>8/100</f>
        <v>0.08</v>
      </c>
      <c r="AO63" s="325"/>
      <c r="AQ63" s="322">
        <f>12288*AL63</f>
        <v>0</v>
      </c>
      <c r="AR63" s="323"/>
      <c r="AS63" s="318">
        <f t="shared" si="13"/>
        <v>0.99939437317623736</v>
      </c>
      <c r="AT63" s="314">
        <f>15239+2838+75</f>
        <v>18152</v>
      </c>
      <c r="AU63" s="326">
        <v>18.252049891419901</v>
      </c>
      <c r="AV63" s="316">
        <f>12288*AS63</f>
        <v>12280.558057589606</v>
      </c>
      <c r="AW63" s="327">
        <v>786969.09506942285</v>
      </c>
      <c r="AX63" s="318">
        <f t="shared" si="14"/>
        <v>0</v>
      </c>
      <c r="AY63" s="314">
        <v>0</v>
      </c>
      <c r="AZ63" s="326">
        <v>18.252049891419901</v>
      </c>
      <c r="BA63" s="316">
        <f>12288*AX63</f>
        <v>0</v>
      </c>
      <c r="BB63" s="327">
        <v>0</v>
      </c>
    </row>
    <row r="64" spans="1:60" s="308" customFormat="1" ht="15.75" outlineLevel="1">
      <c r="A64" s="304" t="s">
        <v>214</v>
      </c>
      <c r="B64" s="305">
        <f>D50/C64*1000000</f>
        <v>29183.071458671962</v>
      </c>
      <c r="C64" s="330">
        <f>B50</f>
        <v>116277</v>
      </c>
      <c r="D64" s="307">
        <f t="shared" si="1"/>
        <v>38.906602337521605</v>
      </c>
      <c r="F64" s="309">
        <f t="shared" si="2"/>
        <v>24750.126800657054</v>
      </c>
      <c r="G64" s="310">
        <f t="shared" si="3"/>
        <v>24789.033402994573</v>
      </c>
      <c r="H64" s="311">
        <f t="shared" si="4"/>
        <v>6421.8897809912223</v>
      </c>
      <c r="I64" s="312"/>
      <c r="J64" s="309">
        <f t="shared" si="5"/>
        <v>1788353.3183830981</v>
      </c>
      <c r="K64" s="331">
        <f>P64+U64++AA64+AF64+AK64+AR64+AW64</f>
        <v>1794775.2081640894</v>
      </c>
      <c r="L64" s="332">
        <f t="shared" si="6"/>
        <v>8.2045460409195282E-3</v>
      </c>
      <c r="M64" s="333">
        <f>SUM(M65:M68)</f>
        <v>954</v>
      </c>
      <c r="N64" s="315">
        <v>10.600607605859013</v>
      </c>
      <c r="O64" s="334">
        <f>24721*L64</f>
        <v>202.82458267757167</v>
      </c>
      <c r="P64" s="317">
        <v>13673.31216412086</v>
      </c>
      <c r="Q64" s="335">
        <f t="shared" si="7"/>
        <v>0.99119344324328973</v>
      </c>
      <c r="R64" s="333">
        <f>SUM(R65:R68)</f>
        <v>115253</v>
      </c>
      <c r="S64" s="319">
        <f>T64*1000000000/'[2]EF-1'!$B$16*'[2]EF-1'!$U$11/R64/B64*100</f>
        <v>14.291290737790865</v>
      </c>
      <c r="T64" s="334">
        <f>24721*Q64</f>
        <v>24503.293110417366</v>
      </c>
      <c r="U64" s="331">
        <v>1771894.7054804822</v>
      </c>
      <c r="V64" s="304" t="str">
        <f t="shared" si="8"/>
        <v>Freight</v>
      </c>
      <c r="W64" s="336">
        <f t="shared" si="9"/>
        <v>1.5738280141386516E-3</v>
      </c>
      <c r="X64" s="333">
        <f>SUM(X65:X68)</f>
        <v>183</v>
      </c>
      <c r="Y64" s="337">
        <v>100</v>
      </c>
      <c r="Z64" s="334">
        <f>24721*W64</f>
        <v>38.906602337521605</v>
      </c>
      <c r="AA64" s="321">
        <f>Z64/3.6*1000000*[2]Electricity!$I$94/1000000*1000</f>
        <v>6421.8897809912223</v>
      </c>
      <c r="AB64" s="336">
        <f t="shared" si="10"/>
        <v>1.7200306165449745E-5</v>
      </c>
      <c r="AC64" s="333">
        <f>SUM(AC65:AC68)</f>
        <v>2</v>
      </c>
      <c r="AD64" s="337"/>
      <c r="AE64" s="338">
        <f>24721*AB64</f>
        <v>0.42520876871608315</v>
      </c>
      <c r="AF64" s="339"/>
      <c r="AG64" s="340">
        <f t="shared" si="11"/>
        <v>0</v>
      </c>
      <c r="AH64" s="333">
        <f>SUM(AH65:AH68)</f>
        <v>0</v>
      </c>
      <c r="AI64" s="341"/>
      <c r="AJ64" s="333">
        <f>24721*AG64</f>
        <v>0</v>
      </c>
      <c r="AK64" s="341"/>
      <c r="AL64" s="336">
        <f t="shared" si="12"/>
        <v>0</v>
      </c>
      <c r="AM64" s="333">
        <f>SUM(AM65:AM68)</f>
        <v>0</v>
      </c>
      <c r="AN64" s="341">
        <f>45/100</f>
        <v>0.45</v>
      </c>
      <c r="AO64" s="341"/>
      <c r="AP64" s="308">
        <v>0</v>
      </c>
      <c r="AQ64" s="333">
        <f>24721*AL64</f>
        <v>0</v>
      </c>
      <c r="AR64" s="339"/>
      <c r="AS64" s="335">
        <f t="shared" si="13"/>
        <v>1.7630313819585988E-3</v>
      </c>
      <c r="AT64" s="333">
        <f>SUM(AT65:AT68)</f>
        <v>205</v>
      </c>
      <c r="AU64" s="342">
        <v>5.3845709398698628E-2</v>
      </c>
      <c r="AV64" s="334">
        <f>24721*AS64</f>
        <v>43.583898793398525</v>
      </c>
      <c r="AW64" s="343">
        <v>2785.3007384949651</v>
      </c>
      <c r="AX64" s="318">
        <f t="shared" si="14"/>
        <v>0</v>
      </c>
      <c r="AY64" s="314">
        <v>0</v>
      </c>
      <c r="AZ64" s="342">
        <f>23.6/'[2]EF-1'!$U$22</f>
        <v>56.433107618487192</v>
      </c>
      <c r="BA64" s="334">
        <f>24721*AX64</f>
        <v>0</v>
      </c>
      <c r="BB64" s="343">
        <v>0</v>
      </c>
      <c r="BC64"/>
    </row>
    <row r="65" spans="1:59" s="308" customFormat="1" outlineLevel="1">
      <c r="A65" s="344" t="s">
        <v>215</v>
      </c>
      <c r="B65" s="345">
        <f>C48</f>
        <v>31356.01465961794</v>
      </c>
      <c r="C65" s="306">
        <f>B48</f>
        <v>30833</v>
      </c>
      <c r="D65" s="307">
        <f t="shared" si="1"/>
        <v>0</v>
      </c>
      <c r="F65" s="309">
        <f t="shared" si="2"/>
        <v>0</v>
      </c>
      <c r="G65" s="310">
        <f t="shared" si="3"/>
        <v>0</v>
      </c>
      <c r="H65" s="311">
        <f t="shared" si="4"/>
        <v>0</v>
      </c>
      <c r="I65" s="312"/>
      <c r="J65" s="309">
        <f t="shared" si="5"/>
        <v>0</v>
      </c>
      <c r="K65" s="323"/>
      <c r="L65" s="313">
        <f t="shared" si="6"/>
        <v>0</v>
      </c>
      <c r="M65" s="314">
        <v>0</v>
      </c>
      <c r="N65" s="346"/>
      <c r="O65" s="347"/>
      <c r="P65" s="323"/>
      <c r="Q65" s="318">
        <f t="shared" si="7"/>
        <v>0.19106152498945936</v>
      </c>
      <c r="R65" s="314">
        <v>5891</v>
      </c>
      <c r="S65" s="346"/>
      <c r="T65" s="347"/>
      <c r="U65" s="323"/>
      <c r="V65" s="344" t="str">
        <f t="shared" si="8"/>
        <v xml:space="preserve">Heavy </v>
      </c>
      <c r="W65" s="320">
        <f t="shared" si="9"/>
        <v>0</v>
      </c>
      <c r="X65" s="314">
        <v>0</v>
      </c>
      <c r="Y65" s="348"/>
      <c r="Z65" s="316"/>
      <c r="AA65" s="325"/>
      <c r="AB65" s="320">
        <f t="shared" si="10"/>
        <v>0</v>
      </c>
      <c r="AC65" s="314">
        <v>0</v>
      </c>
      <c r="AD65" s="315"/>
      <c r="AE65" s="347"/>
      <c r="AF65" s="323"/>
      <c r="AG65" s="324">
        <f t="shared" si="11"/>
        <v>0</v>
      </c>
      <c r="AH65" s="314">
        <v>0</v>
      </c>
      <c r="AI65" s="325"/>
      <c r="AJ65" s="347"/>
      <c r="AK65" s="325"/>
      <c r="AL65" s="320">
        <f t="shared" si="12"/>
        <v>0</v>
      </c>
      <c r="AM65" s="314">
        <v>0</v>
      </c>
      <c r="AN65" s="325"/>
      <c r="AO65" s="325"/>
      <c r="AP65" s="308">
        <v>0</v>
      </c>
      <c r="AQ65" s="347"/>
      <c r="AR65" s="323"/>
      <c r="AS65" s="318">
        <f t="shared" si="13"/>
        <v>0</v>
      </c>
      <c r="AT65" s="314">
        <v>0</v>
      </c>
      <c r="AU65" s="325"/>
      <c r="AV65" s="316"/>
      <c r="AW65" s="349"/>
      <c r="AX65" s="318">
        <v>0</v>
      </c>
      <c r="AY65" s="314">
        <v>0</v>
      </c>
      <c r="AZ65" s="325"/>
      <c r="BA65" s="316"/>
      <c r="BB65" s="349"/>
    </row>
    <row r="66" spans="1:59" s="308" customFormat="1" outlineLevel="1">
      <c r="A66" s="344" t="s">
        <v>216</v>
      </c>
      <c r="B66" s="350">
        <f>C47</f>
        <v>31355.975485188967</v>
      </c>
      <c r="C66" s="306">
        <f>B47</f>
        <v>11748</v>
      </c>
      <c r="D66" s="307">
        <f t="shared" si="1"/>
        <v>0</v>
      </c>
      <c r="F66" s="309">
        <f t="shared" si="2"/>
        <v>0</v>
      </c>
      <c r="G66" s="310">
        <f t="shared" si="3"/>
        <v>0</v>
      </c>
      <c r="H66" s="311">
        <f t="shared" si="4"/>
        <v>0</v>
      </c>
      <c r="I66" s="312"/>
      <c r="J66" s="309">
        <f t="shared" si="5"/>
        <v>0</v>
      </c>
      <c r="K66" s="323"/>
      <c r="L66" s="313">
        <f t="shared" si="6"/>
        <v>0</v>
      </c>
      <c r="M66" s="314">
        <v>0</v>
      </c>
      <c r="N66" s="346"/>
      <c r="O66" s="347"/>
      <c r="P66" s="323"/>
      <c r="Q66" s="318">
        <f t="shared" si="7"/>
        <v>3.1501532175689477</v>
      </c>
      <c r="R66" s="314">
        <v>37008</v>
      </c>
      <c r="S66" s="346"/>
      <c r="T66" s="347"/>
      <c r="U66" s="323"/>
      <c r="V66" s="344" t="str">
        <f t="shared" si="8"/>
        <v xml:space="preserve">Medium </v>
      </c>
      <c r="W66" s="320">
        <f t="shared" si="9"/>
        <v>1.7024174327545113E-4</v>
      </c>
      <c r="X66" s="314">
        <v>2</v>
      </c>
      <c r="Y66" s="348"/>
      <c r="Z66" s="316"/>
      <c r="AA66" s="325"/>
      <c r="AB66" s="320">
        <f t="shared" si="10"/>
        <v>0</v>
      </c>
      <c r="AC66" s="314">
        <v>0</v>
      </c>
      <c r="AD66" s="315"/>
      <c r="AE66" s="347"/>
      <c r="AF66" s="323"/>
      <c r="AG66" s="324">
        <f t="shared" si="11"/>
        <v>0</v>
      </c>
      <c r="AH66" s="314">
        <v>0</v>
      </c>
      <c r="AI66" s="325"/>
      <c r="AJ66" s="347"/>
      <c r="AK66" s="325"/>
      <c r="AL66" s="320">
        <f t="shared" si="12"/>
        <v>0</v>
      </c>
      <c r="AM66" s="314">
        <v>0</v>
      </c>
      <c r="AN66" s="325"/>
      <c r="AO66" s="325"/>
      <c r="AP66" s="308">
        <v>0</v>
      </c>
      <c r="AQ66" s="347"/>
      <c r="AR66" s="323"/>
      <c r="AS66" s="318">
        <f t="shared" si="13"/>
        <v>0</v>
      </c>
      <c r="AT66" s="314">
        <v>0</v>
      </c>
      <c r="AU66" s="325"/>
      <c r="AV66" s="316"/>
      <c r="AW66" s="349"/>
      <c r="AX66" s="318">
        <v>0</v>
      </c>
      <c r="AY66" s="314">
        <v>0</v>
      </c>
      <c r="AZ66" s="325"/>
      <c r="BA66" s="316"/>
      <c r="BB66" s="349"/>
    </row>
    <row r="67" spans="1:59" s="308" customFormat="1" outlineLevel="1">
      <c r="A67" s="344" t="s">
        <v>217</v>
      </c>
      <c r="B67" s="345">
        <f>C46</f>
        <v>28642.702070808282</v>
      </c>
      <c r="C67" s="306">
        <f>B46</f>
        <v>71856</v>
      </c>
      <c r="D67" s="307">
        <f t="shared" si="1"/>
        <v>0</v>
      </c>
      <c r="F67" s="309">
        <f t="shared" si="2"/>
        <v>0</v>
      </c>
      <c r="G67" s="310">
        <f t="shared" si="3"/>
        <v>0</v>
      </c>
      <c r="H67" s="311">
        <f t="shared" si="4"/>
        <v>0</v>
      </c>
      <c r="I67" s="312"/>
      <c r="J67" s="309">
        <f t="shared" si="5"/>
        <v>0</v>
      </c>
      <c r="K67" s="323"/>
      <c r="L67" s="313">
        <f t="shared" si="6"/>
        <v>1.2065798263193053E-2</v>
      </c>
      <c r="M67" s="314">
        <v>867</v>
      </c>
      <c r="N67" s="346"/>
      <c r="O67" s="347"/>
      <c r="P67" s="323"/>
      <c r="Q67" s="318">
        <f t="shared" si="7"/>
        <v>0.98690436428412376</v>
      </c>
      <c r="R67" s="314">
        <v>70915</v>
      </c>
      <c r="S67" s="346"/>
      <c r="T67" s="347"/>
      <c r="U67" s="323"/>
      <c r="V67" s="344" t="str">
        <f t="shared" si="8"/>
        <v xml:space="preserve">Light </v>
      </c>
      <c r="W67" s="320">
        <f t="shared" si="9"/>
        <v>1.029837452683144E-3</v>
      </c>
      <c r="X67" s="314">
        <v>74</v>
      </c>
      <c r="Y67" s="315">
        <v>16</v>
      </c>
      <c r="Z67" s="316"/>
      <c r="AA67" s="325"/>
      <c r="AB67" s="320">
        <f t="shared" si="10"/>
        <v>0</v>
      </c>
      <c r="AC67" s="314">
        <v>0</v>
      </c>
      <c r="AD67" s="315"/>
      <c r="AE67" s="347"/>
      <c r="AF67" s="323"/>
      <c r="AG67" s="324">
        <f t="shared" si="11"/>
        <v>0</v>
      </c>
      <c r="AH67" s="314">
        <v>0</v>
      </c>
      <c r="AI67" s="325"/>
      <c r="AJ67" s="347"/>
      <c r="AK67" s="325"/>
      <c r="AL67" s="320">
        <f t="shared" si="12"/>
        <v>0</v>
      </c>
      <c r="AM67" s="314">
        <v>0</v>
      </c>
      <c r="AN67" s="325"/>
      <c r="AO67" s="325"/>
      <c r="AP67" s="308">
        <v>0</v>
      </c>
      <c r="AQ67" s="347"/>
      <c r="AR67" s="323"/>
      <c r="AS67" s="318">
        <f t="shared" si="13"/>
        <v>0</v>
      </c>
      <c r="AT67" s="314">
        <v>0</v>
      </c>
      <c r="AU67" s="325"/>
      <c r="AV67" s="316"/>
      <c r="AW67" s="349"/>
      <c r="AX67" s="318">
        <v>0</v>
      </c>
      <c r="AY67" s="314">
        <v>0</v>
      </c>
      <c r="AZ67" s="325"/>
      <c r="BA67" s="316"/>
      <c r="BB67" s="349"/>
    </row>
    <row r="68" spans="1:59" s="308" customFormat="1" outlineLevel="1">
      <c r="A68" s="351" t="s">
        <v>218</v>
      </c>
      <c r="B68" s="352"/>
      <c r="C68" s="353">
        <f>B49</f>
        <v>1840</v>
      </c>
      <c r="D68" s="354">
        <f t="shared" si="1"/>
        <v>0</v>
      </c>
      <c r="E68" s="355"/>
      <c r="F68" s="356">
        <f t="shared" si="2"/>
        <v>0</v>
      </c>
      <c r="G68" s="357">
        <f t="shared" si="3"/>
        <v>0</v>
      </c>
      <c r="H68" s="358">
        <f t="shared" si="4"/>
        <v>0</v>
      </c>
      <c r="I68" s="359"/>
      <c r="J68" s="356">
        <f t="shared" si="5"/>
        <v>0</v>
      </c>
      <c r="K68" s="360"/>
      <c r="L68" s="361">
        <f t="shared" si="6"/>
        <v>4.7282608695652172E-2</v>
      </c>
      <c r="M68" s="362">
        <v>87</v>
      </c>
      <c r="N68" s="363"/>
      <c r="O68" s="364"/>
      <c r="P68" s="360"/>
      <c r="Q68" s="365">
        <f t="shared" si="7"/>
        <v>0.7820652173913043</v>
      </c>
      <c r="R68" s="362">
        <v>1439</v>
      </c>
      <c r="S68" s="363"/>
      <c r="T68" s="364"/>
      <c r="U68" s="360"/>
      <c r="V68" s="351" t="str">
        <f t="shared" si="8"/>
        <v>Special purpose</v>
      </c>
      <c r="W68" s="366">
        <f t="shared" si="9"/>
        <v>5.8152173913043476E-2</v>
      </c>
      <c r="X68" s="362">
        <v>107</v>
      </c>
      <c r="Y68" s="367"/>
      <c r="Z68" s="368"/>
      <c r="AA68" s="369"/>
      <c r="AB68" s="366">
        <f t="shared" si="10"/>
        <v>1.0869565217391304E-3</v>
      </c>
      <c r="AC68" s="362">
        <v>2</v>
      </c>
      <c r="AD68" s="370"/>
      <c r="AE68" s="364"/>
      <c r="AF68" s="360"/>
      <c r="AG68" s="371">
        <f t="shared" si="11"/>
        <v>0</v>
      </c>
      <c r="AH68" s="362">
        <v>0</v>
      </c>
      <c r="AI68" s="369"/>
      <c r="AJ68" s="364"/>
      <c r="AK68" s="369"/>
      <c r="AL68" s="366">
        <f t="shared" si="12"/>
        <v>0</v>
      </c>
      <c r="AM68" s="362">
        <v>0</v>
      </c>
      <c r="AN68" s="369"/>
      <c r="AO68" s="369"/>
      <c r="AP68" s="369">
        <v>0</v>
      </c>
      <c r="AQ68" s="364"/>
      <c r="AR68" s="360"/>
      <c r="AS68" s="365">
        <f t="shared" si="13"/>
        <v>0.11141304347826086</v>
      </c>
      <c r="AT68" s="362">
        <v>205</v>
      </c>
      <c r="AU68" s="369"/>
      <c r="AV68" s="368"/>
      <c r="AW68" s="372"/>
      <c r="AX68" s="318">
        <v>0</v>
      </c>
      <c r="AY68" s="314">
        <v>0</v>
      </c>
      <c r="AZ68" s="369"/>
      <c r="BA68" s="368"/>
      <c r="BB68" s="372"/>
    </row>
    <row r="69" spans="1:59" s="37" customFormat="1" outlineLevel="1">
      <c r="A69" s="147" t="s">
        <v>219</v>
      </c>
      <c r="B69" s="373"/>
      <c r="C69" s="306">
        <f t="shared" ref="C69:K69" si="15">SUM(C60:C64)</f>
        <v>810870</v>
      </c>
      <c r="D69" s="307">
        <f t="shared" si="15"/>
        <v>335.71761834358801</v>
      </c>
      <c r="E69" s="37">
        <f t="shared" si="15"/>
        <v>0</v>
      </c>
      <c r="F69" s="309">
        <f t="shared" si="15"/>
        <v>79085.056347777136</v>
      </c>
      <c r="G69" s="306">
        <f t="shared" si="15"/>
        <v>79420.773966120731</v>
      </c>
      <c r="H69" s="162">
        <f t="shared" si="15"/>
        <v>55413.256697056902</v>
      </c>
      <c r="I69" s="218">
        <f t="shared" si="15"/>
        <v>0</v>
      </c>
      <c r="J69" s="218">
        <f t="shared" si="15"/>
        <v>5477309.4742264748</v>
      </c>
      <c r="K69" s="310">
        <f t="shared" si="15"/>
        <v>5532722.7309235316</v>
      </c>
      <c r="L69" s="374"/>
      <c r="M69" s="375">
        <f>SUM(M60:M64)</f>
        <v>641889</v>
      </c>
      <c r="N69" s="71"/>
      <c r="O69" s="71">
        <f>SUM(O60:O64)</f>
        <v>22988.220272598501</v>
      </c>
      <c r="P69" s="376">
        <f>SUM(P60:P64)</f>
        <v>1553966.0608027757</v>
      </c>
      <c r="Q69"/>
      <c r="R69">
        <f>SUM(R60:R64)</f>
        <v>139917</v>
      </c>
      <c r="S69"/>
      <c r="T69">
        <f>SUM(T60:T64)</f>
        <v>40187.666560382357</v>
      </c>
      <c r="U69" s="309">
        <f>SUM(U60:U64)</f>
        <v>2904864.762126443</v>
      </c>
      <c r="V69" s="377" t="str">
        <f t="shared" si="8"/>
        <v>Sub-total road vehicle</v>
      </c>
      <c r="W69"/>
      <c r="X69">
        <f>SUM(X60:X64)</f>
        <v>7089</v>
      </c>
      <c r="Y69"/>
      <c r="Z69" s="378">
        <f>SUM(Z60:Z64)</f>
        <v>335.71761834358801</v>
      </c>
      <c r="AA69" s="98">
        <f>SUM(AA60:AA64)</f>
        <v>55413.256697056902</v>
      </c>
      <c r="AB69" s="159"/>
      <c r="AC69">
        <f>SUM(AC60:AC64)</f>
        <v>40</v>
      </c>
      <c r="AD69"/>
      <c r="AE69" s="379">
        <f>SUM(AE60:AE64)</f>
        <v>1.9165000589772498</v>
      </c>
      <c r="AF69" s="81">
        <f>SUM(AF60:AF64)</f>
        <v>0</v>
      </c>
      <c r="AG69" s="157"/>
      <c r="AH69" s="71">
        <f>SUM(AH60:AH64)</f>
        <v>0</v>
      </c>
      <c r="AI69" s="71"/>
      <c r="AJ69" s="71">
        <f>SUM(AJ60:AJ64)</f>
        <v>0</v>
      </c>
      <c r="AK69" s="72">
        <f>SUM(AK60:AK64)</f>
        <v>0</v>
      </c>
      <c r="AL69"/>
      <c r="AM69">
        <f>SUM(AM60:AM64)</f>
        <v>0</v>
      </c>
      <c r="AN69"/>
      <c r="AO69"/>
      <c r="AP69"/>
      <c r="AQ69">
        <f>SUM(AQ60:AQ64)</f>
        <v>0</v>
      </c>
      <c r="AR69">
        <f>SUM(AR60:AR64)</f>
        <v>0</v>
      </c>
      <c r="AS69"/>
      <c r="AT69" s="98">
        <f>SUM(AT60:AT64)</f>
        <v>22346</v>
      </c>
      <c r="AU69"/>
      <c r="AV69" s="98">
        <f>SUM(AV60:AV64)</f>
        <v>15907.253014737309</v>
      </c>
      <c r="AW69" s="380">
        <f>SUM(AW60:AW64)</f>
        <v>1018478.6512972559</v>
      </c>
      <c r="AX69"/>
      <c r="AY69" s="98">
        <f>SUM(AY60:AY64)</f>
        <v>0</v>
      </c>
      <c r="AZ69"/>
      <c r="BA69" s="98">
        <f>SUM(BA60:BA64)</f>
        <v>0</v>
      </c>
      <c r="BB69" s="380">
        <f>SUM(BB60:BB64)</f>
        <v>0</v>
      </c>
    </row>
    <row r="70" spans="1:59" s="37" customFormat="1" outlineLevel="1">
      <c r="A70" s="147" t="s">
        <v>220</v>
      </c>
      <c r="B70" s="373"/>
      <c r="C70" s="381"/>
      <c r="D70" s="307">
        <f>+Z70</f>
        <v>2951</v>
      </c>
      <c r="F70" s="309">
        <f>+G70-E70-D70</f>
        <v>0</v>
      </c>
      <c r="G70" s="306">
        <f>O70+T70++Z70+AE70+AJ70+AQ70+AV70</f>
        <v>2951</v>
      </c>
      <c r="H70" s="311">
        <f>+AA70</f>
        <v>500420.54001673951</v>
      </c>
      <c r="J70" s="309">
        <f>+K70-I70-H70</f>
        <v>0</v>
      </c>
      <c r="K70" s="310">
        <f>P70+U70++AA70+AF70+AK70+AR70+AW70</f>
        <v>500420.54001673951</v>
      </c>
      <c r="L70" s="214"/>
      <c r="M70" s="74"/>
      <c r="N70"/>
      <c r="O70" s="382"/>
      <c r="P70" s="81"/>
      <c r="Q70"/>
      <c r="R70"/>
      <c r="S70"/>
      <c r="T70"/>
      <c r="U70" s="309"/>
      <c r="V70" s="383" t="str">
        <f t="shared" si="8"/>
        <v>MTR &amp; tram</v>
      </c>
      <c r="W70"/>
      <c r="X70"/>
      <c r="Y70"/>
      <c r="Z70" s="384">
        <v>2951</v>
      </c>
      <c r="AA70" s="98">
        <f>+Z70*[2]Electricity!J96*1000</f>
        <v>500420.54001673951</v>
      </c>
      <c r="AB70" s="159"/>
      <c r="AC70"/>
      <c r="AD70"/>
      <c r="AE70"/>
      <c r="AF70" s="81"/>
      <c r="AG70" s="159"/>
      <c r="AH70"/>
      <c r="AI70"/>
      <c r="AJ70"/>
      <c r="AK70" s="81"/>
      <c r="AL70"/>
      <c r="AM70"/>
      <c r="AN70"/>
      <c r="AO70"/>
      <c r="AQ70"/>
      <c r="AR70"/>
      <c r="AS70"/>
      <c r="AT70"/>
      <c r="AU70"/>
      <c r="AV70"/>
      <c r="AW70" s="160"/>
      <c r="AX70"/>
      <c r="AY70"/>
      <c r="AZ70"/>
      <c r="BA70"/>
      <c r="BB70" s="160"/>
    </row>
    <row r="71" spans="1:59" s="37" customFormat="1" outlineLevel="1">
      <c r="A71" s="147" t="s">
        <v>221</v>
      </c>
      <c r="B71" s="373"/>
      <c r="C71" s="381"/>
      <c r="D71" s="307">
        <f>+Z71</f>
        <v>0</v>
      </c>
      <c r="F71" s="309">
        <f>+G71-E71-D71</f>
        <v>4636</v>
      </c>
      <c r="G71" s="306">
        <f>O71+T71++Z71+AE71+AJ71+AQ71+AV71</f>
        <v>4636</v>
      </c>
      <c r="H71" s="385"/>
      <c r="J71" s="309">
        <f>+K71-I71-H71</f>
        <v>336163.41013824876</v>
      </c>
      <c r="K71" s="310">
        <f>P71+U71++AA71+AF71+AK71+AR71+AW71</f>
        <v>336163.41013824876</v>
      </c>
      <c r="L71" s="214"/>
      <c r="M71" s="74"/>
      <c r="N71"/>
      <c r="O71"/>
      <c r="P71" s="81"/>
      <c r="Q71"/>
      <c r="R71"/>
      <c r="S71"/>
      <c r="T71">
        <v>4636</v>
      </c>
      <c r="U71" s="309">
        <v>336163.41013824876</v>
      </c>
      <c r="V71" s="383" t="str">
        <f t="shared" si="8"/>
        <v>Ferry &amp; internal air - pax</v>
      </c>
      <c r="W71"/>
      <c r="X71"/>
      <c r="Y71"/>
      <c r="Z71" s="384">
        <v>0</v>
      </c>
      <c r="AA71" s="98"/>
      <c r="AB71" s="159"/>
      <c r="AC71"/>
      <c r="AD71"/>
      <c r="AE71"/>
      <c r="AF71" s="81"/>
      <c r="AG71" s="159"/>
      <c r="AH71"/>
      <c r="AI71"/>
      <c r="AJ71"/>
      <c r="AK71" s="81"/>
      <c r="AL71"/>
      <c r="AM71"/>
      <c r="AN71"/>
      <c r="AO71"/>
      <c r="AQ71"/>
      <c r="AR71"/>
      <c r="AS71"/>
      <c r="AT71"/>
      <c r="AU71"/>
      <c r="AV71"/>
      <c r="AW71" s="160"/>
      <c r="AX71"/>
      <c r="AY71"/>
      <c r="AZ71"/>
      <c r="BA71"/>
      <c r="BB71" s="160"/>
    </row>
    <row r="72" spans="1:59" ht="30" outlineLevel="1">
      <c r="A72" s="386" t="s">
        <v>222</v>
      </c>
      <c r="B72" s="387"/>
      <c r="C72" s="388"/>
      <c r="D72" s="354">
        <f>+Z72</f>
        <v>0</v>
      </c>
      <c r="E72" s="258"/>
      <c r="F72" s="356">
        <f>+G72-E72-D72</f>
        <v>2961</v>
      </c>
      <c r="G72" s="353">
        <f>O72+T72++Z72+AE72+AJ72+AQ72+AV72</f>
        <v>2961</v>
      </c>
      <c r="H72" s="389"/>
      <c r="I72" s="93"/>
      <c r="J72" s="356">
        <f>+K72-I72-H72</f>
        <v>214706.61290322576</v>
      </c>
      <c r="K72" s="357">
        <f>P72+U72++AA72+AF72+AK72+AR72+AW72</f>
        <v>214706.61290322576</v>
      </c>
      <c r="L72" s="226"/>
      <c r="M72" s="258"/>
      <c r="N72" s="93"/>
      <c r="O72" s="93"/>
      <c r="P72" s="390"/>
      <c r="Q72" s="93"/>
      <c r="R72" s="93"/>
      <c r="S72" s="93"/>
      <c r="T72" s="93">
        <v>2961</v>
      </c>
      <c r="U72" s="309">
        <f>'[2]EF-1'!$K$16*[2]Transport!T72</f>
        <v>214706.61290322576</v>
      </c>
      <c r="V72" s="391" t="str">
        <f>+A72</f>
        <v>Ferry &amp; internal air - freight</v>
      </c>
      <c r="W72" s="93"/>
      <c r="X72" s="93"/>
      <c r="Y72" s="93"/>
      <c r="Z72" s="384">
        <v>0</v>
      </c>
      <c r="AA72" s="392"/>
      <c r="AB72" s="389"/>
      <c r="AC72" s="93"/>
      <c r="AD72" s="93"/>
      <c r="AE72" s="93"/>
      <c r="AF72" s="390"/>
      <c r="AG72" s="389"/>
      <c r="AH72" s="93"/>
      <c r="AI72" s="93"/>
      <c r="AJ72" s="93"/>
      <c r="AK72" s="390"/>
      <c r="AL72" s="93"/>
      <c r="AM72" s="93"/>
      <c r="AN72" s="93"/>
      <c r="AQ72" s="93"/>
      <c r="AR72" s="390"/>
      <c r="AS72" s="93"/>
      <c r="AT72" s="93"/>
      <c r="AU72" s="93"/>
      <c r="AV72" s="93"/>
      <c r="AW72" s="393"/>
      <c r="AX72" s="93"/>
      <c r="AY72" s="93"/>
      <c r="AZ72" s="93"/>
      <c r="BA72" s="93"/>
      <c r="BB72" s="393"/>
    </row>
    <row r="73" spans="1:59" ht="15.75" outlineLevel="1" thickBot="1">
      <c r="A73" s="394" t="s">
        <v>223</v>
      </c>
      <c r="B73" s="395"/>
      <c r="C73" s="396"/>
      <c r="D73" s="397">
        <f t="shared" ref="D73:K73" si="16">SUM(D69:D72)</f>
        <v>3286.7176183435881</v>
      </c>
      <c r="E73" s="398">
        <f t="shared" si="16"/>
        <v>0</v>
      </c>
      <c r="F73" s="398">
        <f t="shared" si="16"/>
        <v>86682.056347777136</v>
      </c>
      <c r="G73" s="396">
        <f t="shared" si="16"/>
        <v>89968.773966120731</v>
      </c>
      <c r="H73" s="397">
        <f t="shared" si="16"/>
        <v>555833.79671379644</v>
      </c>
      <c r="I73" s="398">
        <f t="shared" si="16"/>
        <v>0</v>
      </c>
      <c r="J73" s="398">
        <f t="shared" si="16"/>
        <v>6028179.4972679494</v>
      </c>
      <c r="K73" s="396">
        <f t="shared" si="16"/>
        <v>6584013.2939817458</v>
      </c>
      <c r="L73" s="399"/>
      <c r="M73" s="400"/>
      <c r="N73" s="401"/>
      <c r="O73" s="402">
        <f>SUM(O69:O72)</f>
        <v>22988.220272598501</v>
      </c>
      <c r="P73" s="403">
        <f>SUM(P69:P72)</f>
        <v>1553966.0608027757</v>
      </c>
      <c r="Q73" s="401"/>
      <c r="R73" s="401"/>
      <c r="S73" s="401"/>
      <c r="T73" s="402">
        <f>SUM(T69:T72)</f>
        <v>47784.666560382357</v>
      </c>
      <c r="U73" s="403">
        <f>SUM(U69:U72)</f>
        <v>3455734.7851679176</v>
      </c>
      <c r="V73" s="404" t="str">
        <f>+A73</f>
        <v>TOTAL</v>
      </c>
      <c r="W73" s="405"/>
      <c r="X73" s="401"/>
      <c r="Y73" s="401"/>
      <c r="Z73" s="402">
        <f>SUM(Z69:Z72)</f>
        <v>3286.7176183435881</v>
      </c>
      <c r="AA73" s="402">
        <f>SUM(AA69:AA72)</f>
        <v>555833.79671379644</v>
      </c>
      <c r="AB73" s="405"/>
      <c r="AC73" s="401"/>
      <c r="AD73" s="401"/>
      <c r="AE73" s="402">
        <f>SUM(AE69:AE72)</f>
        <v>1.9165000589772498</v>
      </c>
      <c r="AF73" s="403">
        <f>SUM(AF69:AF72)</f>
        <v>0</v>
      </c>
      <c r="AG73" s="405"/>
      <c r="AH73" s="401"/>
      <c r="AI73" s="401"/>
      <c r="AJ73" s="402">
        <f>SUM(AJ69:AJ72)</f>
        <v>0</v>
      </c>
      <c r="AK73" s="403">
        <f>SUM(AK69:AK72)</f>
        <v>0</v>
      </c>
      <c r="AL73" s="401"/>
      <c r="AM73" s="401"/>
      <c r="AN73" s="401"/>
      <c r="AO73" s="401"/>
      <c r="AP73" s="401"/>
      <c r="AQ73" s="402">
        <f>SUM(AQ69:AQ72)</f>
        <v>0</v>
      </c>
      <c r="AR73" s="402">
        <f>SUM(AR69:AR72)</f>
        <v>0</v>
      </c>
      <c r="AS73" s="401"/>
      <c r="AT73" s="401"/>
      <c r="AU73" s="401"/>
      <c r="AV73" s="402">
        <f>SUM(AV69:AV72)</f>
        <v>15907.253014737309</v>
      </c>
      <c r="AW73" s="406">
        <f>SUM(AW69:AW72)</f>
        <v>1018478.6512972559</v>
      </c>
      <c r="AX73" s="401"/>
      <c r="AY73" s="401"/>
      <c r="AZ73" s="401"/>
      <c r="BA73" s="402">
        <f>SUM(BA69:BA72)</f>
        <v>0</v>
      </c>
      <c r="BB73" s="406">
        <f>SUM(BB69:BB72)</f>
        <v>0</v>
      </c>
    </row>
    <row r="74" spans="1:59" outlineLevel="1">
      <c r="A74" s="74"/>
      <c r="B74"/>
      <c r="G74" s="407"/>
      <c r="H74"/>
      <c r="K74" s="407"/>
      <c r="L74" s="74"/>
      <c r="M74" s="74"/>
      <c r="V74" s="74"/>
    </row>
    <row r="75" spans="1:59" s="68" customFormat="1" ht="19.5" outlineLevel="1" thickBot="1">
      <c r="A75" s="408" t="s">
        <v>224</v>
      </c>
      <c r="B75" s="108"/>
      <c r="C75" s="108"/>
      <c r="D75" s="409"/>
      <c r="E75" s="409"/>
      <c r="F75" s="409"/>
      <c r="G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408" t="str">
        <f>+A75</f>
        <v>Module 6 Transport energy and emission forecasting (2050)</v>
      </c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Q75" s="108"/>
      <c r="AR75" s="108"/>
      <c r="AS75" s="108"/>
      <c r="AT75" s="108"/>
      <c r="AU75" s="108"/>
      <c r="AV75" s="108"/>
      <c r="AW75" s="108"/>
      <c r="AX75" s="108"/>
    </row>
    <row r="76" spans="1:59" s="291" customFormat="1" ht="15.75" customHeight="1" outlineLevel="1">
      <c r="A76" s="410"/>
      <c r="B76" s="411" t="s">
        <v>225</v>
      </c>
      <c r="C76" s="412" t="s">
        <v>129</v>
      </c>
      <c r="D76" s="413" t="s">
        <v>187</v>
      </c>
      <c r="E76" s="414"/>
      <c r="F76" s="414"/>
      <c r="G76" s="415"/>
      <c r="H76" s="413" t="s">
        <v>188</v>
      </c>
      <c r="I76" s="414"/>
      <c r="J76" s="414"/>
      <c r="K76" s="415"/>
      <c r="L76" s="416" t="s">
        <v>189</v>
      </c>
      <c r="M76" s="417"/>
      <c r="N76" s="417"/>
      <c r="O76" s="417"/>
      <c r="P76" s="418"/>
      <c r="Q76" s="417" t="s">
        <v>190</v>
      </c>
      <c r="R76" s="417"/>
      <c r="S76" s="417"/>
      <c r="T76" s="417"/>
      <c r="U76" s="417"/>
      <c r="V76" s="410"/>
      <c r="W76" s="416" t="s">
        <v>191</v>
      </c>
      <c r="X76" s="417"/>
      <c r="Y76" s="417"/>
      <c r="Z76" s="417"/>
      <c r="AA76" s="417"/>
      <c r="AB76" s="416" t="s">
        <v>192</v>
      </c>
      <c r="AC76" s="417"/>
      <c r="AD76" s="417"/>
      <c r="AE76" s="417"/>
      <c r="AF76" s="418"/>
      <c r="AG76" s="417" t="s">
        <v>193</v>
      </c>
      <c r="AH76" s="417"/>
      <c r="AI76" s="417"/>
      <c r="AJ76" s="417"/>
      <c r="AK76" s="417"/>
      <c r="AL76" s="416" t="s">
        <v>194</v>
      </c>
      <c r="AM76" s="417"/>
      <c r="AN76" s="417"/>
      <c r="AO76" s="417"/>
      <c r="AP76" s="417"/>
      <c r="AQ76" s="417"/>
      <c r="AR76" s="418"/>
      <c r="AS76" s="417" t="s">
        <v>195</v>
      </c>
      <c r="AT76" s="417"/>
      <c r="AU76" s="417"/>
      <c r="AV76" s="417"/>
      <c r="AW76" s="419"/>
      <c r="BG76" s="420" t="s">
        <v>226</v>
      </c>
    </row>
    <row r="77" spans="1:59" ht="51.75" outlineLevel="1">
      <c r="A77" s="294"/>
      <c r="B77" s="295"/>
      <c r="C77" s="296"/>
      <c r="D77" s="297" t="s">
        <v>197</v>
      </c>
      <c r="E77" s="298" t="s">
        <v>193</v>
      </c>
      <c r="F77" s="297" t="s">
        <v>198</v>
      </c>
      <c r="G77" s="297" t="s">
        <v>147</v>
      </c>
      <c r="H77" s="298" t="s">
        <v>197</v>
      </c>
      <c r="I77" s="298" t="s">
        <v>193</v>
      </c>
      <c r="J77" s="298" t="s">
        <v>198</v>
      </c>
      <c r="K77" s="298" t="s">
        <v>147</v>
      </c>
      <c r="L77" s="299" t="s">
        <v>199</v>
      </c>
      <c r="M77" s="299" t="s">
        <v>200</v>
      </c>
      <c r="N77" s="299" t="s">
        <v>201</v>
      </c>
      <c r="O77" s="299" t="s">
        <v>202</v>
      </c>
      <c r="P77" s="299" t="s">
        <v>203</v>
      </c>
      <c r="Q77" s="300" t="s">
        <v>199</v>
      </c>
      <c r="R77" s="299" t="s">
        <v>200</v>
      </c>
      <c r="S77" s="299" t="s">
        <v>201</v>
      </c>
      <c r="T77" s="299" t="s">
        <v>202</v>
      </c>
      <c r="U77" s="302" t="s">
        <v>203</v>
      </c>
      <c r="V77" s="421"/>
      <c r="W77" s="299" t="s">
        <v>199</v>
      </c>
      <c r="X77" s="299" t="s">
        <v>200</v>
      </c>
      <c r="Y77" s="299" t="s">
        <v>227</v>
      </c>
      <c r="Z77" s="299" t="s">
        <v>202</v>
      </c>
      <c r="AA77" s="302" t="s">
        <v>203</v>
      </c>
      <c r="AB77" s="299" t="s">
        <v>199</v>
      </c>
      <c r="AC77" s="299" t="s">
        <v>200</v>
      </c>
      <c r="AD77" s="299" t="s">
        <v>201</v>
      </c>
      <c r="AE77" s="299" t="s">
        <v>202</v>
      </c>
      <c r="AF77" s="299" t="s">
        <v>203</v>
      </c>
      <c r="AG77" s="300" t="s">
        <v>199</v>
      </c>
      <c r="AH77" s="299" t="s">
        <v>200</v>
      </c>
      <c r="AI77" s="299" t="s">
        <v>206</v>
      </c>
      <c r="AJ77" s="299" t="s">
        <v>202</v>
      </c>
      <c r="AK77" s="302" t="s">
        <v>203</v>
      </c>
      <c r="AL77" s="299" t="s">
        <v>199</v>
      </c>
      <c r="AM77" s="299" t="s">
        <v>200</v>
      </c>
      <c r="AN77" s="299" t="s">
        <v>228</v>
      </c>
      <c r="AO77" s="299" t="s">
        <v>208</v>
      </c>
      <c r="AP77" s="299" t="s">
        <v>209</v>
      </c>
      <c r="AQ77" s="299" t="s">
        <v>202</v>
      </c>
      <c r="AR77" s="299" t="s">
        <v>203</v>
      </c>
      <c r="AS77" s="300" t="s">
        <v>199</v>
      </c>
      <c r="AT77" s="299" t="s">
        <v>200</v>
      </c>
      <c r="AU77" s="299" t="s">
        <v>201</v>
      </c>
      <c r="AV77" s="299" t="s">
        <v>202</v>
      </c>
      <c r="AW77" s="303" t="s">
        <v>203</v>
      </c>
      <c r="BG77" s="420"/>
    </row>
    <row r="78" spans="1:59" outlineLevel="1">
      <c r="A78" s="304" t="s">
        <v>211</v>
      </c>
      <c r="B78" s="305">
        <f>K39</f>
        <v>11067.190050365896</v>
      </c>
      <c r="C78" s="306">
        <f>J39</f>
        <v>393669.8447201415</v>
      </c>
      <c r="D78" s="307">
        <f>Z78</f>
        <v>1493.1690037784194</v>
      </c>
      <c r="E78" s="308"/>
      <c r="F78" s="309">
        <f>+G78-E78-D78</f>
        <v>1582.1224572046419</v>
      </c>
      <c r="G78" s="310">
        <f>O78+T78++Z78+AE78+AJ78+AQ78+AV78</f>
        <v>3075.2914609830614</v>
      </c>
      <c r="H78" s="311">
        <f>+AA78</f>
        <v>3635.4679431741424</v>
      </c>
      <c r="I78" s="312"/>
      <c r="J78" s="309">
        <f>+K78-I78-H78</f>
        <v>106951.47810703376</v>
      </c>
      <c r="K78" s="310">
        <f>P78+U78++AA78+AF78+AK78+AR78+AW78</f>
        <v>110586.9460502079</v>
      </c>
      <c r="L78" s="422">
        <f>'[2]Key parameters rpt'!C88</f>
        <v>0.15</v>
      </c>
      <c r="M78" s="423">
        <f t="shared" ref="M78:M86" si="17">C78*L78</f>
        <v>59050.476708021219</v>
      </c>
      <c r="N78" s="424">
        <f>N60*(1-'[2]Key parameters rpt'!C94)</f>
        <v>7.4204253241013083</v>
      </c>
      <c r="O78" s="425">
        <f>$B78/100*M78*N78*'[2]EF-1'!$R$9/1000/1000/1000/1000</f>
        <v>1582.1224572046417</v>
      </c>
      <c r="P78" s="310">
        <f>O78*'[2]EF-1'!$K$14</f>
        <v>106951.47810703376</v>
      </c>
      <c r="Q78" s="426">
        <f>'[2]Key parameters rpt'!D88</f>
        <v>0</v>
      </c>
      <c r="R78" s="423">
        <f>C78*Q78</f>
        <v>0</v>
      </c>
      <c r="S78" s="427">
        <f>S60*(1-'[2]Key parameters rpt'!D94)</f>
        <v>4.8693365637966766</v>
      </c>
      <c r="T78" s="425">
        <f>B78*R78*S78/100/'[2]EF-1'!$U$11*'[2]EF-1'!$B$16/1000000000</f>
        <v>0</v>
      </c>
      <c r="U78" s="309">
        <f>'[2]EF-1'!$K$16*[2]Transport!T78</f>
        <v>0</v>
      </c>
      <c r="V78" s="304" t="str">
        <f t="shared" ref="V78:V91" si="18">+A78</f>
        <v>Private car</v>
      </c>
      <c r="W78" s="422">
        <f>'[2]Key parameters rpt'!E88</f>
        <v>0.85</v>
      </c>
      <c r="X78" s="423">
        <f>C78*W78</f>
        <v>334619.36801212025</v>
      </c>
      <c r="Y78" s="428">
        <f>Y60*(1-'[2]Key parameters rpt'!E94)</f>
        <v>11.2</v>
      </c>
      <c r="Z78" s="425">
        <f>IF([2]Transport!W78=W60,[2]Transport!Z60,$B78*X78*Y78/100*3.6/1000/1000)</f>
        <v>1493.1690037784194</v>
      </c>
      <c r="AA78" s="309">
        <f>IF(W78&lt;0.2,AA60,Z78/3.6*1000000*[2]Electricity!$R$19/1000000*1000)</f>
        <v>3635.4679431741424</v>
      </c>
      <c r="AB78" s="429">
        <f>'[2]Key parameters rpt'!F88</f>
        <v>0</v>
      </c>
      <c r="AC78" s="423">
        <f>C78*AB78</f>
        <v>0</v>
      </c>
      <c r="AD78" s="430">
        <f>AD60*(1-'[2]Key parameters rpt'!F94)</f>
        <v>3.5</v>
      </c>
      <c r="AE78" s="425">
        <f>$B78/100*AC78*AD78*'[2]EF-1'!$R$9/1000/1000/1000/1000</f>
        <v>0</v>
      </c>
      <c r="AF78" s="323">
        <v>0</v>
      </c>
      <c r="AG78" s="431">
        <f>'[2]Key parameters rpt'!G88</f>
        <v>0</v>
      </c>
      <c r="AH78" s="423">
        <f>C78*AG78</f>
        <v>0</v>
      </c>
      <c r="AI78" s="432">
        <f>'[2]Key parameters rpt'!G94</f>
        <v>0.3</v>
      </c>
      <c r="AJ78" s="425">
        <f>$B78/1000*AH78*AI78/3.6/1000</f>
        <v>0</v>
      </c>
      <c r="AK78" s="325">
        <v>0</v>
      </c>
      <c r="AL78" s="429">
        <f>'[2]Key parameters rpt'!H88</f>
        <v>0</v>
      </c>
      <c r="AM78" s="423">
        <f>C78*AL78</f>
        <v>0</v>
      </c>
      <c r="AN78" s="432">
        <f>AN60*(1-'[2]Key parameters rpt'!H94)</f>
        <v>5.5999999999999994E-2</v>
      </c>
      <c r="AO78" s="433">
        <f t="shared" ref="AO78:AO81" si="19">AQ78-AP78</f>
        <v>0</v>
      </c>
      <c r="AP78">
        <v>0</v>
      </c>
      <c r="AQ78" s="309">
        <f>AN78*B78*AM78*'[2]EF-1'!$R$25/1000/1000</f>
        <v>0</v>
      </c>
      <c r="AR78" s="425">
        <f>AQ78*'[2]EF-1'!$K$30</f>
        <v>0</v>
      </c>
      <c r="AS78" s="431">
        <f>+'[2]Key parameters rpt'!I88</f>
        <v>0</v>
      </c>
      <c r="AT78" s="423">
        <f>C78*AS78</f>
        <v>0</v>
      </c>
      <c r="AU78" s="434">
        <f>IF('[2]Key parameters rpt'!$O$4='[2]Key parameters rpt'!$D$4,[2]Transport!AU60,[2]Transport!AZ60*(1-'[2]Key parameters rpt'!I94))</f>
        <v>0</v>
      </c>
      <c r="AV78" s="309">
        <f>IF('[2]Key parameters rpt'!$O$4='[2]Key parameters rpt'!$D$4,BG55*B78*AT78*AU78*(1-'[2]Key parameters rpt'!I94),B78*AT78*AU78/100*'[2]EF-1'!$R$22/1000/1000)</f>
        <v>0</v>
      </c>
      <c r="AW78" s="327">
        <f>IF('[2]Key parameters rpt'!$O$4='[2]Key parameters rpt'!$D$4,BH55*B78*AT78*AU78*(1-'[2]Key parameters rpt'!I94), AV78*'[2]EF-1'!K26)</f>
        <v>0</v>
      </c>
      <c r="BG78" s="138">
        <f>L78+Q78+W78+AB78+AG78+AL78+AS78</f>
        <v>1</v>
      </c>
    </row>
    <row r="79" spans="1:59" outlineLevel="1">
      <c r="A79" s="304" t="s">
        <v>212</v>
      </c>
      <c r="B79" s="305">
        <f>K40</f>
        <v>4527.4162350163833</v>
      </c>
      <c r="C79" s="306">
        <f>J40</f>
        <v>65611.640786690332</v>
      </c>
      <c r="D79" s="307">
        <f t="shared" ref="D79:D86" si="20">+Z79</f>
        <v>12.725673738027576</v>
      </c>
      <c r="E79" s="308"/>
      <c r="F79" s="309">
        <f t="shared" ref="F79:F86" si="21">+G79-E79-D79</f>
        <v>44.070750131619654</v>
      </c>
      <c r="G79" s="310">
        <f>O79+T79++Z79+AE79+AJ79+AQ79+AV79</f>
        <v>56.796423869647228</v>
      </c>
      <c r="H79" s="311">
        <f t="shared" ref="H79:H86" si="22">+AA79</f>
        <v>30.983618607688207</v>
      </c>
      <c r="I79" s="312"/>
      <c r="J79" s="309">
        <f t="shared" ref="J79:J86" si="23">+K79-I79-H79</f>
        <v>2979.1827088974883</v>
      </c>
      <c r="K79" s="310">
        <f>P79+U79++AA79+AF79+AK79+AR79+AW79</f>
        <v>3010.1663275051765</v>
      </c>
      <c r="L79" s="422">
        <f>'[2]Key parameters rpt'!C89</f>
        <v>0.15</v>
      </c>
      <c r="M79" s="423">
        <f t="shared" si="17"/>
        <v>9841.7461180035498</v>
      </c>
      <c r="N79" s="424">
        <f>N61*(1-'[2]Key parameters rpt'!C95)</f>
        <v>3.0316379919440544</v>
      </c>
      <c r="O79" s="425">
        <f>$B79/100*M79*N79*'[2]EF-1'!$R$9/1000/1000/1000/1000</f>
        <v>44.070750131619654</v>
      </c>
      <c r="P79" s="310">
        <f>O79*'[2]EF-1'!$K$14</f>
        <v>2979.1827088974883</v>
      </c>
      <c r="Q79" s="426">
        <f>'[2]Key parameters rpt'!D89</f>
        <v>0</v>
      </c>
      <c r="R79" s="423">
        <f>C79*Q79</f>
        <v>0</v>
      </c>
      <c r="S79" s="435">
        <f>S61*(1-'[2]Key parameters rpt'!D95)</f>
        <v>0</v>
      </c>
      <c r="T79" s="425">
        <f>B79*R79*S79/100/'[2]EF-1'!$U$11*'[2]EF-1'!$B$16/1000000000</f>
        <v>0</v>
      </c>
      <c r="U79" s="309">
        <f>'[2]EF-1'!$K$16*[2]Transport!T79</f>
        <v>0</v>
      </c>
      <c r="V79" s="304" t="str">
        <f t="shared" si="18"/>
        <v>Motorcycle</v>
      </c>
      <c r="W79" s="422">
        <f>'[2]Key parameters rpt'!E89</f>
        <v>0.85</v>
      </c>
      <c r="X79" s="423">
        <f>C79*W79</f>
        <v>55769.894668686778</v>
      </c>
      <c r="Y79" s="428">
        <f>Y61*(1-'[2]Key parameters rpt'!E95)</f>
        <v>1.4</v>
      </c>
      <c r="Z79" s="425">
        <f>IF([2]Transport!W79=W61,[2]Transport!Z61,$B79*X79*Y79/100*3.6/1000/1000)</f>
        <v>12.725673738027576</v>
      </c>
      <c r="AA79" s="309">
        <f>IF(W79&lt;0.2,AA61,Z79/3.6*1000000*[2]Electricity!$R$19/1000000*1000)</f>
        <v>30.983618607688207</v>
      </c>
      <c r="AB79" s="429">
        <f>'[2]Key parameters rpt'!F89</f>
        <v>0</v>
      </c>
      <c r="AC79" s="423">
        <f>C79*AB79</f>
        <v>0</v>
      </c>
      <c r="AD79" s="430">
        <f>AD61*(1-'[2]Key parameters rpt'!F95)</f>
        <v>1.4</v>
      </c>
      <c r="AE79" s="425">
        <f>$B79/100*AC79*AD79*'[2]EF-1'!$R$9/1000/1000/1000/1000</f>
        <v>0</v>
      </c>
      <c r="AF79" s="323">
        <v>0</v>
      </c>
      <c r="AG79" s="431">
        <f>'[2]Key parameters rpt'!G89</f>
        <v>0</v>
      </c>
      <c r="AH79" s="423">
        <f>C79*AG79</f>
        <v>0</v>
      </c>
      <c r="AI79" s="432">
        <f>'[2]Key parameters rpt'!G95</f>
        <v>0.3</v>
      </c>
      <c r="AJ79" s="425">
        <f t="shared" ref="AJ79:AJ82" si="24">$B79/1000*AH79*AI79/3.6/1000</f>
        <v>0</v>
      </c>
      <c r="AK79" s="325">
        <v>0</v>
      </c>
      <c r="AL79" s="429">
        <f>'[2]Key parameters rpt'!H89</f>
        <v>0</v>
      </c>
      <c r="AM79" s="423">
        <f>C79*AL79</f>
        <v>0</v>
      </c>
      <c r="AN79" s="436">
        <f>AN61*(1-'[2]Key parameters rpt'!H95)</f>
        <v>0</v>
      </c>
      <c r="AO79" s="433">
        <f t="shared" si="19"/>
        <v>0</v>
      </c>
      <c r="AP79">
        <v>0</v>
      </c>
      <c r="AQ79" s="309">
        <f>AN79*B79*AM79*'[2]EF-1'!$R$25/1000/1000</f>
        <v>0</v>
      </c>
      <c r="AR79" s="425">
        <f>AQ79*'[2]EF-1'!$K$30</f>
        <v>0</v>
      </c>
      <c r="AS79" s="431">
        <f>+'[2]Key parameters rpt'!I89</f>
        <v>0</v>
      </c>
      <c r="AT79" s="423">
        <f>C79*AS79</f>
        <v>0</v>
      </c>
      <c r="AU79" s="434">
        <f>IF('[2]Key parameters rpt'!$O$4='[2]Key parameters rpt'!$D$4,[2]Transport!AU61,[2]Transport!AZ61*(1-'[2]Key parameters rpt'!I95))</f>
        <v>0</v>
      </c>
      <c r="AV79" s="309">
        <f>IF('[2]Key parameters rpt'!$O$4='[2]Key parameters rpt'!$D$4,BG56*B79*AT79*AU79*(1-'[2]Key parameters rpt'!I95),B79*AT79*AU79/100*'[2]EF-1'!$R$22/1000/1000)</f>
        <v>0</v>
      </c>
      <c r="AW79" s="327">
        <f>IF('[2]Key parameters rpt'!$O$4='[2]Key parameters rpt'!$D$4,BH56*B79*AT79*AU79*(1-'[2]Key parameters rpt'!I95), AV79*'[2]EF-1'!K27)</f>
        <v>0</v>
      </c>
      <c r="BG79" s="138">
        <f>L79+Q79+W79+AB79+AG79+AL79+AS79</f>
        <v>1</v>
      </c>
    </row>
    <row r="80" spans="1:59" outlineLevel="1">
      <c r="A80" s="304" t="s">
        <v>213</v>
      </c>
      <c r="B80" s="305">
        <f>+(L34+L35+L36)*1000000/(J34+J35+J36)</f>
        <v>24558.857862711571</v>
      </c>
      <c r="C80" s="306">
        <f>SUM(J34:J36)</f>
        <v>39979.277085884816</v>
      </c>
      <c r="D80" s="307">
        <f t="shared" si="20"/>
        <v>1237.1251830918206</v>
      </c>
      <c r="E80" s="308"/>
      <c r="F80" s="309">
        <f t="shared" si="21"/>
        <v>110625.55206440364</v>
      </c>
      <c r="G80" s="310">
        <f>O80+T80++Z80+AE80+AJ80+AR80+AV80</f>
        <v>111862.67724749546</v>
      </c>
      <c r="H80" s="311">
        <f t="shared" si="22"/>
        <v>3012.0695871953494</v>
      </c>
      <c r="I80" s="312"/>
      <c r="J80" s="309">
        <f>+K80-I80-H80</f>
        <v>110625.55206440364</v>
      </c>
      <c r="K80" s="310">
        <f>P80+U80++AA80+AF80+AK80+AR80+AW80</f>
        <v>113637.62165159899</v>
      </c>
      <c r="L80" s="422">
        <f>'[2]Key parameters rpt'!C90</f>
        <v>0</v>
      </c>
      <c r="M80" s="423">
        <f t="shared" si="17"/>
        <v>0</v>
      </c>
      <c r="N80" s="424">
        <f>N62*(1-'[2]Key parameters rpt'!C96)</f>
        <v>0</v>
      </c>
      <c r="O80" s="425">
        <f>$B80/100*M80*N80*'[2]EF-1'!$R$9/1000/1000/1000/1000</f>
        <v>0</v>
      </c>
      <c r="P80" s="310">
        <f>O80*'[2]EF-1'!$K$14</f>
        <v>0</v>
      </c>
      <c r="Q80" s="426">
        <f>'[2]Key parameters rpt'!D90</f>
        <v>0</v>
      </c>
      <c r="R80" s="423">
        <f>C80*Q80</f>
        <v>0</v>
      </c>
      <c r="S80" s="435">
        <f>S62*(1-'[2]Key parameters rpt'!D96)</f>
        <v>31.736561893539903</v>
      </c>
      <c r="T80" s="425">
        <f>B80*R80*S80/100/'[2]EF-1'!$U$11*'[2]EF-1'!$B$16/1000000000</f>
        <v>0</v>
      </c>
      <c r="U80" s="309">
        <f>'[2]EF-1'!$K$16*[2]Transport!T80</f>
        <v>0</v>
      </c>
      <c r="V80" s="304" t="str">
        <f t="shared" si="18"/>
        <v>Bus</v>
      </c>
      <c r="W80" s="422">
        <f>'[2]Key parameters rpt'!E90</f>
        <v>0.5</v>
      </c>
      <c r="X80" s="423">
        <f>C80*W80</f>
        <v>19989.638542942408</v>
      </c>
      <c r="Y80" s="428">
        <f>Y62*(1-'[2]Key parameters rpt'!E96)</f>
        <v>70</v>
      </c>
      <c r="Z80" s="425">
        <f>IF([2]Transport!W80=W62,[2]Transport!Z62,$B80*X80*Y80/100*3.6/1000/1000)</f>
        <v>1237.1251830918206</v>
      </c>
      <c r="AA80" s="309">
        <f>IF(W80&lt;0.2,AA62,Z80/3.6*1000000*[2]Electricity!$R$19/1000000*1000)</f>
        <v>3012.0695871953494</v>
      </c>
      <c r="AB80" s="429">
        <f>'[2]Key parameters rpt'!F90</f>
        <v>0</v>
      </c>
      <c r="AC80" s="423">
        <f>C80*AB80</f>
        <v>0</v>
      </c>
      <c r="AD80" s="430">
        <f>AD62*(1-'[2]Key parameters rpt'!F96)</f>
        <v>35</v>
      </c>
      <c r="AE80" s="425">
        <f>$B80/100*AC80*AD80*'[2]EF-1'!$R$9/1000/1000/1000/1000</f>
        <v>0</v>
      </c>
      <c r="AF80" s="323">
        <v>0</v>
      </c>
      <c r="AG80" s="431">
        <f>'[2]Key parameters rpt'!G90</f>
        <v>0</v>
      </c>
      <c r="AH80" s="423">
        <f>C80*AG80</f>
        <v>0</v>
      </c>
      <c r="AI80" s="432">
        <f>'[2]Key parameters rpt'!G96</f>
        <v>0.3</v>
      </c>
      <c r="AJ80" s="425">
        <f t="shared" si="24"/>
        <v>0</v>
      </c>
      <c r="AK80" s="325">
        <v>0</v>
      </c>
      <c r="AL80" s="429">
        <f>'[2]Key parameters rpt'!H90</f>
        <v>0.5</v>
      </c>
      <c r="AM80" s="423">
        <f>C80*AL80</f>
        <v>19989.638542942408</v>
      </c>
      <c r="AN80" s="432">
        <f>AN62*(1-'[2]Key parameters rpt'!H96)</f>
        <v>0.315</v>
      </c>
      <c r="AO80" s="433">
        <f>AQ80-AP80</f>
        <v>5761.7475033543569</v>
      </c>
      <c r="AP80">
        <v>0</v>
      </c>
      <c r="AQ80" s="309">
        <f>AN80*B80*AM80*'[2]EF-1'!$R$25/1000/1000</f>
        <v>5761.7475033543569</v>
      </c>
      <c r="AR80" s="425">
        <f>AQ80*'[2]EF-1'!$K$30</f>
        <v>110625.55206440364</v>
      </c>
      <c r="AS80" s="431">
        <f>+'[2]Key parameters rpt'!I90</f>
        <v>0</v>
      </c>
      <c r="AT80" s="423">
        <f>C80*AS80</f>
        <v>0</v>
      </c>
      <c r="AU80" s="434">
        <f>IF('[2]Key parameters rpt'!$O$4='[2]Key parameters rpt'!$D$4,[2]Transport!AU62,[2]Transport!AZ62*(1-'[2]Key parameters rpt'!I96))</f>
        <v>58.239999999999995</v>
      </c>
      <c r="AV80" s="309">
        <f>IF('[2]Key parameters rpt'!$O$4='[2]Key parameters rpt'!$D$4,BG57*B80*AT80*AU80*(1-'[2]Key parameters rpt'!I96),B80*AT80*AU80/100*'[2]EF-1'!$R$22/1000/1000)</f>
        <v>0</v>
      </c>
      <c r="AW80" s="327">
        <f>IF('[2]Key parameters rpt'!$O$4='[2]Key parameters rpt'!$D$4,BH57*B80*AT80*AU80*(1-'[2]Key parameters rpt'!I96), AV80*'[2]EF-1'!K28)</f>
        <v>0</v>
      </c>
      <c r="BG80" s="138">
        <f>L80+Q80+W80+AB80+AG80+AL80+AS80</f>
        <v>1</v>
      </c>
    </row>
    <row r="81" spans="1:59" outlineLevel="1">
      <c r="A81" s="304" t="s">
        <v>144</v>
      </c>
      <c r="B81" s="305">
        <f>K37</f>
        <v>148968.85444166698</v>
      </c>
      <c r="C81" s="306">
        <f>J37</f>
        <v>28429.323508820653</v>
      </c>
      <c r="D81" s="307">
        <f t="shared" si="20"/>
        <v>1707.5857702823398</v>
      </c>
      <c r="E81" s="308"/>
      <c r="F81" s="309">
        <f t="shared" si="21"/>
        <v>0</v>
      </c>
      <c r="G81" s="310">
        <f>O81+T81++Z81+AE81+AJ81+AQ81+AV81</f>
        <v>1707.5857702823398</v>
      </c>
      <c r="H81" s="311">
        <f t="shared" si="22"/>
        <v>4157.515533990415</v>
      </c>
      <c r="I81" s="312"/>
      <c r="J81" s="309">
        <f t="shared" si="23"/>
        <v>0</v>
      </c>
      <c r="K81" s="310">
        <f>P81+U81++AA81+AF81+AK81+AR81+AW81</f>
        <v>4157.515533990415</v>
      </c>
      <c r="L81" s="422">
        <f>'[2]Key parameters rpt'!C91</f>
        <v>0</v>
      </c>
      <c r="M81" s="423">
        <f t="shared" si="17"/>
        <v>0</v>
      </c>
      <c r="N81" s="424">
        <f>N63*(1-'[2]Key parameters rpt'!C97)</f>
        <v>7.4204253241013083</v>
      </c>
      <c r="O81" s="425">
        <f>$B81/100*M81*N81*'[2]EF-1'!$R$9/1000/1000/1000/1000</f>
        <v>0</v>
      </c>
      <c r="P81" s="310">
        <f>O81*'[2]EF-1'!$K$14</f>
        <v>0</v>
      </c>
      <c r="Q81" s="426">
        <f>'[2]Key parameters rpt'!D91</f>
        <v>0</v>
      </c>
      <c r="R81" s="423">
        <f>C81*Q81</f>
        <v>0</v>
      </c>
      <c r="S81" s="435">
        <f>S63*(1-'[2]Key parameters rpt'!D97)</f>
        <v>0</v>
      </c>
      <c r="T81" s="425">
        <f>B81*R81*S81/100/'[2]EF-1'!$U$11*'[2]EF-1'!$B$16/1000000000</f>
        <v>0</v>
      </c>
      <c r="U81" s="309">
        <f>'[2]EF-1'!$K$16*[2]Transport!T81</f>
        <v>0</v>
      </c>
      <c r="V81" s="304" t="str">
        <f t="shared" si="18"/>
        <v>Taxi</v>
      </c>
      <c r="W81" s="422">
        <f>'[2]Key parameters rpt'!E91</f>
        <v>1</v>
      </c>
      <c r="X81" s="423">
        <f>C81*W81</f>
        <v>28429.323508820653</v>
      </c>
      <c r="Y81" s="428">
        <f>Y63*(1-'[2]Key parameters rpt'!E97)</f>
        <v>11.2</v>
      </c>
      <c r="Z81" s="425">
        <f>IF([2]Transport!W81=W63,[2]Transport!Z63,$B81*X81*Y81/100*3.6/1000/1000)</f>
        <v>1707.5857702823398</v>
      </c>
      <c r="AA81" s="309">
        <f>IF(W81&lt;0.2,AA63,Z81/3.6*1000000*[2]Electricity!$R$19/1000000*1000)</f>
        <v>4157.515533990415</v>
      </c>
      <c r="AB81" s="429">
        <f>'[2]Key parameters rpt'!F91</f>
        <v>0</v>
      </c>
      <c r="AC81" s="423">
        <f>C81*AB81</f>
        <v>0</v>
      </c>
      <c r="AD81" s="430">
        <f>AD63*(1-'[2]Key parameters rpt'!F97)</f>
        <v>3.5</v>
      </c>
      <c r="AE81" s="425">
        <f>$B81/100*AC81*AD81*'[2]EF-1'!$R$9/1000/1000/1000/1000</f>
        <v>0</v>
      </c>
      <c r="AF81" s="323">
        <v>0</v>
      </c>
      <c r="AG81" s="431">
        <f>'[2]Key parameters rpt'!G91</f>
        <v>0</v>
      </c>
      <c r="AH81" s="423">
        <f>C81*AG81</f>
        <v>0</v>
      </c>
      <c r="AI81" s="432">
        <f>'[2]Key parameters rpt'!G97</f>
        <v>0.3</v>
      </c>
      <c r="AJ81" s="425">
        <f t="shared" si="24"/>
        <v>0</v>
      </c>
      <c r="AK81" s="325">
        <v>0</v>
      </c>
      <c r="AL81" s="429">
        <f>'[2]Key parameters rpt'!H91</f>
        <v>0</v>
      </c>
      <c r="AM81" s="423">
        <f>C81*AL81</f>
        <v>0</v>
      </c>
      <c r="AN81" s="432">
        <f>AN63*(1-'[2]Key parameters rpt'!H97)</f>
        <v>5.5999999999999994E-2</v>
      </c>
      <c r="AO81" s="433">
        <f t="shared" si="19"/>
        <v>0</v>
      </c>
      <c r="AP81">
        <v>0</v>
      </c>
      <c r="AQ81" s="309">
        <f>AN81*B81*AM81*'[2]EF-1'!$R$25/1000/1000</f>
        <v>0</v>
      </c>
      <c r="AR81" s="425">
        <f>AQ81*'[2]EF-1'!$K$30</f>
        <v>0</v>
      </c>
      <c r="AS81" s="431">
        <f>+'[2]Key parameters rpt'!I91</f>
        <v>0</v>
      </c>
      <c r="AT81" s="423">
        <f>C81*AS81</f>
        <v>0</v>
      </c>
      <c r="AU81" s="434">
        <f>IF('[2]Key parameters rpt'!$O$4='[2]Key parameters rpt'!$D$4,[2]Transport!AU63,[2]Transport!AZ63*(1-'[2]Key parameters rpt'!I97))</f>
        <v>12.77643492399393</v>
      </c>
      <c r="AV81" s="309">
        <f>IF('[2]Key parameters rpt'!$O$4='[2]Key parameters rpt'!$D$4,BG58*B81*AT81*AU81*(1-'[2]Key parameters rpt'!I97),B81*AT81*AU81/100*'[2]EF-1'!$R$22/1000/1000)</f>
        <v>0</v>
      </c>
      <c r="AW81" s="327">
        <f>IF('[2]Key parameters rpt'!$O$4='[2]Key parameters rpt'!$D$4,BH58*B81*AT81*AU81*(1-'[2]Key parameters rpt'!I97), AV81*'[2]EF-1'!K29)</f>
        <v>0</v>
      </c>
      <c r="BG81" s="138">
        <f>L81+Q81+W81+AB81+AG81+AL81+AS81</f>
        <v>1</v>
      </c>
    </row>
    <row r="82" spans="1:59" outlineLevel="1">
      <c r="A82" s="304" t="s">
        <v>214</v>
      </c>
      <c r="B82" s="305">
        <f>SUM(L46:L48)*1000000/SUM(B46:B48)</f>
        <v>51927.704899214863</v>
      </c>
      <c r="C82" s="437">
        <f>SUM(J46:J49)</f>
        <v>202244.39400274999</v>
      </c>
      <c r="D82" s="307">
        <f t="shared" si="20"/>
        <v>1323.2629883712132</v>
      </c>
      <c r="E82" s="308"/>
      <c r="F82" s="309">
        <f t="shared" si="21"/>
        <v>103155.21105690586</v>
      </c>
      <c r="G82" s="310">
        <f>O82+T82++Z82+AE82+AJ82+AQ82+AV82</f>
        <v>104478.47404527706</v>
      </c>
      <c r="H82" s="311">
        <f>+AA82</f>
        <v>6421.8897809912223</v>
      </c>
      <c r="I82" s="312"/>
      <c r="J82" s="309">
        <f t="shared" si="23"/>
        <v>2551619.2822668902</v>
      </c>
      <c r="K82" s="331">
        <f>P82+U82++AA82+AF82+AK82+AR82+AW82</f>
        <v>2558041.1720478814</v>
      </c>
      <c r="L82" s="422">
        <f>'[2]Key parameters rpt'!C92</f>
        <v>0</v>
      </c>
      <c r="M82" s="423">
        <f>C82*L82</f>
        <v>0</v>
      </c>
      <c r="N82" s="424">
        <f>S64*(1-'[2]Key parameters rpt'!C98)</f>
        <v>10.003903516453605</v>
      </c>
      <c r="O82" s="425">
        <f>$B82/100*M82*N82*'[2]EF-1'!$R$9/1000/1000/1000/1000</f>
        <v>0</v>
      </c>
      <c r="P82" s="310">
        <f>O82*'[2]EF-1'!$K$14</f>
        <v>0</v>
      </c>
      <c r="Q82" s="426">
        <f>'[2]Key parameters rpt'!D92</f>
        <v>0.2</v>
      </c>
      <c r="R82" s="423">
        <f>C82*Q82</f>
        <v>40448.878800550003</v>
      </c>
      <c r="S82" s="435">
        <f>S64*(1-'[2]Key parameters rpt'!D98)</f>
        <v>10.003903516453605</v>
      </c>
      <c r="T82" s="425">
        <f>B82*R82*S82/100/'[2]EF-1'!$U$11*'[2]EF-1'!$B$16/1000000000</f>
        <v>10711.366362777053</v>
      </c>
      <c r="U82" s="309">
        <f>'[2]EF-1'!$K$16*[2]Transport!T82</f>
        <v>776697.46413961705</v>
      </c>
      <c r="V82" s="304" t="str">
        <f t="shared" si="18"/>
        <v>Freight</v>
      </c>
      <c r="W82" s="422">
        <f>'[2]Key parameters rpt'!E92</f>
        <v>0.05</v>
      </c>
      <c r="X82" s="423">
        <f>C82*W82</f>
        <v>10112.219700137501</v>
      </c>
      <c r="Y82" s="428">
        <f>Y64*(1-'[2]Key parameters rpt'!E98)</f>
        <v>70</v>
      </c>
      <c r="Z82" s="425">
        <f>IF([2]Transport!W82=W64,[2]Transport!Z64,$B82*X82*Y82/100*3.6/1000/1000)</f>
        <v>1323.2629883712132</v>
      </c>
      <c r="AA82" s="309">
        <f>IF(W82&lt;0.2,AA64,Z82/3.6*1000000*[2]Electricity!$R$19/1000000*1000)</f>
        <v>6421.8897809912223</v>
      </c>
      <c r="AB82" s="429">
        <f>'[2]Key parameters rpt'!F92</f>
        <v>0</v>
      </c>
      <c r="AC82" s="423">
        <f>C82*AB82</f>
        <v>0</v>
      </c>
      <c r="AD82" s="430">
        <f>AD64*(1-'[2]Key parameters rpt'!F98)</f>
        <v>0</v>
      </c>
      <c r="AE82" s="425">
        <f>$B82/100*AC82*AD82*'[2]EF-1'!$R$9/1000/1000/1000/1000</f>
        <v>0</v>
      </c>
      <c r="AF82" s="323">
        <v>0</v>
      </c>
      <c r="AG82" s="431">
        <f>'[2]Key parameters rpt'!G92</f>
        <v>0</v>
      </c>
      <c r="AH82" s="423">
        <f>C82*AG82</f>
        <v>0</v>
      </c>
      <c r="AI82" s="432">
        <f>'[2]Key parameters rpt'!G98</f>
        <v>0.3</v>
      </c>
      <c r="AJ82" s="425">
        <f t="shared" si="24"/>
        <v>0</v>
      </c>
      <c r="AK82" s="325">
        <v>0</v>
      </c>
      <c r="AL82" s="429">
        <f>'[2]Key parameters rpt'!H92</f>
        <v>0.75</v>
      </c>
      <c r="AM82" s="423">
        <f>C82*AL82</f>
        <v>151683.29550206248</v>
      </c>
      <c r="AN82" s="432">
        <f>AN64*(1-'[2]Key parameters rpt'!H98)</f>
        <v>0.315</v>
      </c>
      <c r="AO82" s="433">
        <f>AQ82-AP82</f>
        <v>92443.844694128798</v>
      </c>
      <c r="AP82">
        <f>'[2]EF-1'!B31*[2]Waste!N6*1000/1000/1000/1000*'[2]Key parameters rpt'!C67</f>
        <v>0</v>
      </c>
      <c r="AQ82" s="309">
        <f>AN82*B82*AM82*'[2]EF-1'!$R$25/1000/1000</f>
        <v>92443.844694128798</v>
      </c>
      <c r="AR82" s="425">
        <f>AQ82*'[2]EF-1'!$K$30</f>
        <v>1774921.8181272729</v>
      </c>
      <c r="AS82" s="426">
        <f>'[2]Key parameters rpt'!I92</f>
        <v>0</v>
      </c>
      <c r="AT82" s="423">
        <f>C82*AS82</f>
        <v>0</v>
      </c>
      <c r="AU82" s="434">
        <f>IF('[2]Key parameters rpt'!$O$4='[2]Key parameters rpt'!$D$4,[2]Transport!AU64,[2]Transport!AZ64*(1-'[2]Key parameters rpt'!I98))</f>
        <v>39.503175332941034</v>
      </c>
      <c r="AV82" s="309">
        <f>IF('[2]Key parameters rpt'!$O$4='[2]Key parameters rpt'!$D$4,BG59*B82*AT82*AU82*(1-'[2]Key parameters rpt'!I98),B82*AT82*AU82/100*'[2]EF-1'!$R$22/1000/1000)</f>
        <v>0</v>
      </c>
      <c r="AW82" s="327">
        <f>IF('[2]Key parameters rpt'!$O$4='[2]Key parameters rpt'!$D$4,BH59*B82*AT82*AU82*(1-'[2]Key parameters rpt'!I98), AV82*'[2]EF-1'!K30)</f>
        <v>0</v>
      </c>
      <c r="AX82" s="98"/>
      <c r="BG82" s="138">
        <f>L82+Q82+W82+AB82+AG82+AL82+AS82</f>
        <v>1</v>
      </c>
    </row>
    <row r="83" spans="1:59" ht="15" customHeight="1" outlineLevel="1">
      <c r="A83" s="344" t="s">
        <v>215</v>
      </c>
      <c r="B83" s="345">
        <f>K48</f>
        <v>31356.014659617937</v>
      </c>
      <c r="C83" s="306">
        <f>J48</f>
        <v>53995.374575415211</v>
      </c>
      <c r="D83" s="307">
        <f>+Z78</f>
        <v>1493.1690037784194</v>
      </c>
      <c r="E83" s="308"/>
      <c r="F83" s="309">
        <f t="shared" si="21"/>
        <v>0</v>
      </c>
      <c r="G83" s="310">
        <f>O83+T83++Z78+AE83+AJ83+AQ83+AV83</f>
        <v>1493.1690037784194</v>
      </c>
      <c r="H83" s="311">
        <f t="shared" si="22"/>
        <v>0</v>
      </c>
      <c r="I83" s="312"/>
      <c r="J83" s="309">
        <f t="shared" si="23"/>
        <v>0</v>
      </c>
      <c r="K83" s="323"/>
      <c r="L83" s="438">
        <v>0</v>
      </c>
      <c r="M83" s="423">
        <f t="shared" si="17"/>
        <v>0</v>
      </c>
      <c r="N83" s="325"/>
      <c r="O83" s="325"/>
      <c r="P83" s="323"/>
      <c r="Q83" s="318"/>
      <c r="R83" s="423"/>
      <c r="S83" s="439"/>
      <c r="T83" s="325"/>
      <c r="U83" s="309"/>
      <c r="V83" s="344" t="str">
        <f t="shared" si="18"/>
        <v xml:space="preserve">Heavy </v>
      </c>
      <c r="W83" s="320"/>
      <c r="X83" s="423"/>
      <c r="Y83" s="325"/>
      <c r="AA83" s="309">
        <f>Z83/3.6*1000000*[2]Electricity!$R$19/1000000</f>
        <v>0</v>
      </c>
      <c r="AB83" s="440"/>
      <c r="AC83" s="423"/>
      <c r="AD83" s="441"/>
      <c r="AE83" s="325"/>
      <c r="AF83" s="323"/>
      <c r="AG83" s="324"/>
      <c r="AH83" s="423"/>
      <c r="AI83" s="325"/>
      <c r="AJ83" s="325"/>
      <c r="AK83" s="325"/>
      <c r="AL83" s="442"/>
      <c r="AM83" s="423"/>
      <c r="AN83" s="325"/>
      <c r="AO83" s="325"/>
      <c r="AQ83" s="325"/>
      <c r="AR83" s="425">
        <f>$B83*AM83*AN83*'[2]EF-1'!$I$30/1000</f>
        <v>0</v>
      </c>
      <c r="AS83" s="443"/>
      <c r="AT83" s="423"/>
      <c r="AU83" s="325"/>
      <c r="AV83" s="325"/>
      <c r="AW83" s="349"/>
      <c r="AX83" s="444"/>
    </row>
    <row r="84" spans="1:59" ht="15" customHeight="1" outlineLevel="1">
      <c r="A84" s="344" t="s">
        <v>216</v>
      </c>
      <c r="B84" s="350">
        <f>K47</f>
        <v>31355.97548518897</v>
      </c>
      <c r="C84" s="306">
        <f>J47</f>
        <v>20573.335728342288</v>
      </c>
      <c r="D84" s="307">
        <f t="shared" si="20"/>
        <v>0</v>
      </c>
      <c r="E84" s="308"/>
      <c r="F84" s="309">
        <f t="shared" si="21"/>
        <v>0</v>
      </c>
      <c r="G84" s="310">
        <f>O84+T84++Z84+AE84+AJ84+AQ84+AV84</f>
        <v>0</v>
      </c>
      <c r="H84" s="311">
        <f t="shared" si="22"/>
        <v>0</v>
      </c>
      <c r="I84" s="312"/>
      <c r="J84" s="309">
        <f t="shared" si="23"/>
        <v>0</v>
      </c>
      <c r="K84" s="323"/>
      <c r="L84" s="438">
        <v>0</v>
      </c>
      <c r="M84" s="423">
        <f t="shared" si="17"/>
        <v>0</v>
      </c>
      <c r="N84" s="325"/>
      <c r="O84" s="325"/>
      <c r="P84" s="323"/>
      <c r="Q84" s="318"/>
      <c r="R84" s="423"/>
      <c r="S84" s="325"/>
      <c r="T84" s="325"/>
      <c r="U84" s="309"/>
      <c r="V84" s="344" t="str">
        <f t="shared" si="18"/>
        <v xml:space="preserve">Medium </v>
      </c>
      <c r="W84" s="320"/>
      <c r="X84" s="423"/>
      <c r="Y84" s="325"/>
      <c r="Z84" s="325"/>
      <c r="AA84" s="309">
        <f>Z84/3.6*1000000*[2]Electricity!$R$19/1000000</f>
        <v>0</v>
      </c>
      <c r="AB84" s="440"/>
      <c r="AC84" s="423"/>
      <c r="AD84" s="445"/>
      <c r="AE84" s="325"/>
      <c r="AF84" s="323"/>
      <c r="AG84" s="324"/>
      <c r="AH84" s="423"/>
      <c r="AI84" s="325"/>
      <c r="AJ84" s="325"/>
      <c r="AK84" s="325"/>
      <c r="AL84" s="442"/>
      <c r="AM84" s="423"/>
      <c r="AN84" s="325"/>
      <c r="AO84" s="325"/>
      <c r="AQ84" s="446"/>
      <c r="AR84" s="425">
        <f>$B84*AM84*AN84*'[2]EF-1'!$I$30/1000</f>
        <v>0</v>
      </c>
      <c r="AS84" s="443"/>
      <c r="AT84" s="423"/>
      <c r="AU84" s="325"/>
      <c r="AV84" s="325"/>
      <c r="AW84" s="349"/>
      <c r="AX84" s="382"/>
    </row>
    <row r="85" spans="1:59" ht="15" customHeight="1" outlineLevel="1">
      <c r="A85" s="344" t="s">
        <v>217</v>
      </c>
      <c r="B85" s="345">
        <f>K46</f>
        <v>28642.702070808285</v>
      </c>
      <c r="C85" s="306">
        <f>J46</f>
        <v>125835.68369899248</v>
      </c>
      <c r="D85" s="307">
        <f t="shared" si="20"/>
        <v>0</v>
      </c>
      <c r="E85" s="308"/>
      <c r="F85" s="309">
        <f t="shared" si="21"/>
        <v>0</v>
      </c>
      <c r="G85" s="310">
        <f>O85+T85++Z85+AE85+AJ85+AQ85+AV85</f>
        <v>0</v>
      </c>
      <c r="H85" s="311">
        <f t="shared" si="22"/>
        <v>0</v>
      </c>
      <c r="I85" s="312"/>
      <c r="J85" s="309">
        <f t="shared" si="23"/>
        <v>0</v>
      </c>
      <c r="K85" s="323"/>
      <c r="L85" s="438">
        <v>0</v>
      </c>
      <c r="M85" s="423">
        <f t="shared" si="17"/>
        <v>0</v>
      </c>
      <c r="N85" s="325"/>
      <c r="O85" s="325"/>
      <c r="P85" s="323"/>
      <c r="Q85" s="318"/>
      <c r="R85" s="423"/>
      <c r="S85" s="325"/>
      <c r="T85" s="325"/>
      <c r="U85" s="309"/>
      <c r="V85" s="344" t="str">
        <f t="shared" si="18"/>
        <v xml:space="preserve">Light </v>
      </c>
      <c r="W85" s="320"/>
      <c r="X85" s="423"/>
      <c r="Y85" s="445"/>
      <c r="Z85" s="325"/>
      <c r="AA85" s="309">
        <f>Z85/3.6*1000000*[2]Electricity!$R$19/1000000</f>
        <v>0</v>
      </c>
      <c r="AB85" s="440"/>
      <c r="AC85" s="423"/>
      <c r="AD85" s="445"/>
      <c r="AE85" s="325"/>
      <c r="AF85" s="323"/>
      <c r="AG85" s="324"/>
      <c r="AH85" s="423"/>
      <c r="AI85" s="325"/>
      <c r="AJ85" s="325"/>
      <c r="AK85" s="325"/>
      <c r="AL85" s="442"/>
      <c r="AM85" s="423"/>
      <c r="AN85" s="325"/>
      <c r="AO85" s="325"/>
      <c r="AQ85" s="325"/>
      <c r="AR85" s="425">
        <f>$B85*AM85*AN85*'[2]EF-1'!$I$30/1000</f>
        <v>0</v>
      </c>
      <c r="AS85" s="443"/>
      <c r="AT85" s="423"/>
      <c r="AU85" s="325"/>
      <c r="AV85" s="325"/>
      <c r="AW85" s="349"/>
    </row>
    <row r="86" spans="1:59" ht="15" customHeight="1" outlineLevel="1">
      <c r="A86" s="351" t="s">
        <v>218</v>
      </c>
      <c r="B86" s="352"/>
      <c r="C86" s="353"/>
      <c r="D86" s="307">
        <f t="shared" si="20"/>
        <v>0</v>
      </c>
      <c r="E86" s="308"/>
      <c r="F86" s="309">
        <f t="shared" si="21"/>
        <v>0</v>
      </c>
      <c r="G86" s="310">
        <f>O86+T86++Z86+AE86+AJ86+AQ86+AV86</f>
        <v>0</v>
      </c>
      <c r="H86" s="311">
        <f t="shared" si="22"/>
        <v>0</v>
      </c>
      <c r="I86" s="312"/>
      <c r="J86" s="309">
        <f t="shared" si="23"/>
        <v>0</v>
      </c>
      <c r="K86" s="323"/>
      <c r="L86" s="438">
        <v>0</v>
      </c>
      <c r="M86" s="423">
        <f t="shared" si="17"/>
        <v>0</v>
      </c>
      <c r="N86" s="325"/>
      <c r="O86" s="325"/>
      <c r="P86" s="323"/>
      <c r="Q86" s="318"/>
      <c r="R86" s="423"/>
      <c r="S86" s="325"/>
      <c r="T86" s="325"/>
      <c r="U86" s="309"/>
      <c r="V86" s="344" t="str">
        <f t="shared" si="18"/>
        <v>Special purpose</v>
      </c>
      <c r="W86" s="320"/>
      <c r="X86" s="423"/>
      <c r="Y86" s="325"/>
      <c r="Z86" s="325"/>
      <c r="AA86" s="309">
        <f>Z86/3.6*1000000*[2]Electricity!$R$19/1000000</f>
        <v>0</v>
      </c>
      <c r="AB86" s="440"/>
      <c r="AC86" s="423"/>
      <c r="AD86" s="445"/>
      <c r="AE86" s="325"/>
      <c r="AF86" s="323"/>
      <c r="AG86" s="324"/>
      <c r="AH86" s="423"/>
      <c r="AI86" s="325"/>
      <c r="AJ86" s="325"/>
      <c r="AK86" s="325"/>
      <c r="AL86" s="442"/>
      <c r="AM86" s="423"/>
      <c r="AN86" s="325"/>
      <c r="AO86" s="325"/>
      <c r="AQ86" s="325"/>
      <c r="AR86" s="425">
        <f>$B86*AM86*AN86*'[2]EF-1'!$I$30/1000</f>
        <v>0</v>
      </c>
      <c r="AS86" s="443"/>
      <c r="AU86" s="325"/>
      <c r="AV86" s="325"/>
      <c r="AW86" s="349"/>
    </row>
    <row r="87" spans="1:59" outlineLevel="1">
      <c r="A87" s="147" t="s">
        <v>229</v>
      </c>
      <c r="B87" s="373"/>
      <c r="C87" s="306">
        <f t="shared" ref="C87:K87" si="25">SUM(C78:C82)</f>
        <v>729934.48010428739</v>
      </c>
      <c r="D87" s="447">
        <f>SUM(D78:D82)</f>
        <v>5773.8686192618206</v>
      </c>
      <c r="E87" s="448">
        <f t="shared" si="25"/>
        <v>0</v>
      </c>
      <c r="F87" s="449">
        <f t="shared" si="25"/>
        <v>215406.95632864576</v>
      </c>
      <c r="G87" s="450">
        <f t="shared" si="25"/>
        <v>221180.82494790759</v>
      </c>
      <c r="H87" s="451">
        <f t="shared" si="25"/>
        <v>17257.926463958818</v>
      </c>
      <c r="I87" s="174">
        <f t="shared" si="25"/>
        <v>0</v>
      </c>
      <c r="J87" s="174">
        <f>SUM(J78+J79+J80+J81+J82)</f>
        <v>2772175.495147225</v>
      </c>
      <c r="K87" s="452">
        <f t="shared" si="25"/>
        <v>2789433.4216111838</v>
      </c>
      <c r="L87" s="447"/>
      <c r="M87" s="453">
        <f>SUM(M78:M82)</f>
        <v>68892.222826024765</v>
      </c>
      <c r="N87" s="453"/>
      <c r="O87" s="453">
        <f>SUM(O78:O82)</f>
        <v>1626.1932073362614</v>
      </c>
      <c r="P87" s="450">
        <f>SUM(P78:P82)</f>
        <v>109930.66081593125</v>
      </c>
      <c r="Q87" s="453"/>
      <c r="R87" s="453">
        <f>SUM(R78:R82)</f>
        <v>40448.878800550003</v>
      </c>
      <c r="S87" s="453"/>
      <c r="T87" s="453">
        <f>SUM(T78:T82)</f>
        <v>10711.366362777053</v>
      </c>
      <c r="U87" s="449">
        <f>SUM(U78:U82)</f>
        <v>776697.46413961705</v>
      </c>
      <c r="V87" s="454" t="str">
        <f t="shared" si="18"/>
        <v>sub-total (vehicle)</v>
      </c>
      <c r="W87" s="447"/>
      <c r="X87" s="453">
        <f>SUM(X78:X82)</f>
        <v>448920.44443270762</v>
      </c>
      <c r="Y87" s="453"/>
      <c r="Z87" s="453">
        <f>SUM(Z78:Z82)</f>
        <v>5773.8686192618206</v>
      </c>
      <c r="AA87" s="453">
        <f>SUM(AA78:AA82)</f>
        <v>17257.926463958818</v>
      </c>
      <c r="AB87" s="447"/>
      <c r="AC87" s="453">
        <f>SUM(AC78:AC82)</f>
        <v>0</v>
      </c>
      <c r="AD87" s="453"/>
      <c r="AE87" s="453">
        <f>SUM(AE78:AE82)</f>
        <v>0</v>
      </c>
      <c r="AF87" s="450">
        <f>SUM(AF78:AF82)</f>
        <v>0</v>
      </c>
      <c r="AG87" s="453"/>
      <c r="AH87" s="453">
        <f>SUM(AH78:AH82)</f>
        <v>0</v>
      </c>
      <c r="AI87" s="453"/>
      <c r="AJ87" s="453">
        <f>SUM(AJ78:AJ82)</f>
        <v>0</v>
      </c>
      <c r="AK87" s="453">
        <f>SUM(AK78:AK82)</f>
        <v>0</v>
      </c>
      <c r="AL87" s="447"/>
      <c r="AM87" s="453">
        <f>SUM(AM78:AM82)</f>
        <v>171672.93404500489</v>
      </c>
      <c r="AN87" s="453"/>
      <c r="AO87" s="453"/>
      <c r="AP87" s="453">
        <f>SUM(AP78:AP82)</f>
        <v>0</v>
      </c>
      <c r="AQ87" s="453">
        <f>SUM(AQ78:AQ82)</f>
        <v>98205.592197483158</v>
      </c>
      <c r="AR87" s="450">
        <f>SUM(AR78:AR82)</f>
        <v>1885547.3701916765</v>
      </c>
      <c r="AS87" s="447"/>
      <c r="AT87" s="453">
        <f>SUM(AT78:AT82)</f>
        <v>0</v>
      </c>
      <c r="AU87" s="453"/>
      <c r="AV87" s="453">
        <f>SUM(AV78:AV82)</f>
        <v>0</v>
      </c>
      <c r="AW87" s="450">
        <f>SUM(AW78:AW82)</f>
        <v>0</v>
      </c>
    </row>
    <row r="88" spans="1:59" outlineLevel="1">
      <c r="A88" s="147" t="s">
        <v>220</v>
      </c>
      <c r="B88" s="373"/>
      <c r="C88" s="381"/>
      <c r="D88" s="307">
        <f t="shared" ref="D88:D90" si="26">+Z88</f>
        <v>3573.3589145355368</v>
      </c>
      <c r="E88" s="37"/>
      <c r="F88" s="309">
        <f t="shared" ref="F88" si="27">+G88-E88-D88</f>
        <v>0</v>
      </c>
      <c r="G88" s="306">
        <f>O88+T88++Z88+AE88+AJ88+AQ88+AV88</f>
        <v>3573.3589145355368</v>
      </c>
      <c r="H88" s="311">
        <f>+AA88</f>
        <v>8700.1750976457333</v>
      </c>
      <c r="I88" s="37"/>
      <c r="J88" s="309">
        <f t="shared" ref="J88:J89" si="28">+K88-I88-H88</f>
        <v>0</v>
      </c>
      <c r="K88" s="310">
        <f>P88+U88++AA88+AF88+AK88+AR88+AW88</f>
        <v>8700.1750976457333</v>
      </c>
      <c r="L88" s="455"/>
      <c r="M88" s="456"/>
      <c r="N88" s="44"/>
      <c r="O88" s="44"/>
      <c r="P88" s="381"/>
      <c r="Q88" s="457"/>
      <c r="R88" s="456"/>
      <c r="S88" s="44"/>
      <c r="T88" s="44"/>
      <c r="U88" s="458"/>
      <c r="V88" s="459" t="str">
        <f t="shared" si="18"/>
        <v>MTR &amp; tram</v>
      </c>
      <c r="W88" s="455"/>
      <c r="X88" s="456"/>
      <c r="Y88" s="44"/>
      <c r="Z88" s="423">
        <f>+Z70*(1-'[2]Key parameters rpt'!E99)*[2]Transport!N42/[2]Transport!F42</f>
        <v>3573.3589145355368</v>
      </c>
      <c r="AA88" s="309">
        <f>Z88*[2]Electricity!$S$19*1000</f>
        <v>8700.1750976457333</v>
      </c>
      <c r="AB88" s="460"/>
      <c r="AC88" s="456"/>
      <c r="AD88" s="44"/>
      <c r="AE88" s="44"/>
      <c r="AF88" s="381"/>
      <c r="AG88" s="461"/>
      <c r="AH88" s="456"/>
      <c r="AI88" s="44"/>
      <c r="AJ88" s="44"/>
      <c r="AK88" s="44"/>
      <c r="AL88" s="460"/>
      <c r="AM88" s="456"/>
      <c r="AN88" s="44"/>
      <c r="AO88" s="462"/>
      <c r="AQ88" s="44"/>
      <c r="AR88" s="381"/>
      <c r="AS88" s="463"/>
      <c r="AT88" s="464"/>
      <c r="AU88" s="465"/>
      <c r="AV88" s="465"/>
      <c r="AW88" s="466"/>
    </row>
    <row r="89" spans="1:59" outlineLevel="1">
      <c r="A89" s="147" t="s">
        <v>230</v>
      </c>
      <c r="B89" s="373"/>
      <c r="C89" s="381"/>
      <c r="D89" s="467">
        <f t="shared" si="26"/>
        <v>0</v>
      </c>
      <c r="E89"/>
      <c r="F89" s="334">
        <f>+G89-E89-D89</f>
        <v>2534.6479357798157</v>
      </c>
      <c r="G89" s="330">
        <f>(O89+T89++Z89+AE89+AJ89+AQ89+AV89)*(1-(([2]Transport!E43-[2]Transport!M43)/[2]Transport!E43))</f>
        <v>2534.6479357798157</v>
      </c>
      <c r="H89" s="159"/>
      <c r="J89" s="334">
        <f t="shared" si="28"/>
        <v>336163.41013824876</v>
      </c>
      <c r="K89" s="331">
        <f>P89+U89++AA89+AF89+AK89+AR89+AW89</f>
        <v>336163.41013824876</v>
      </c>
      <c r="L89" s="468"/>
      <c r="M89" s="407"/>
      <c r="N89" s="74"/>
      <c r="O89" s="74"/>
      <c r="P89" s="265"/>
      <c r="Q89" s="469"/>
      <c r="R89" s="407"/>
      <c r="S89" s="74"/>
      <c r="T89" s="74">
        <v>4636</v>
      </c>
      <c r="U89" s="309">
        <f>'[2]EF-1'!$K$16*[2]Transport!T89</f>
        <v>336163.41013824876</v>
      </c>
      <c r="V89" s="147" t="s">
        <v>230</v>
      </c>
      <c r="W89" s="468"/>
      <c r="X89" s="407"/>
      <c r="Y89" s="74"/>
      <c r="Z89" s="333"/>
      <c r="AA89" s="334"/>
      <c r="AB89" s="470"/>
      <c r="AC89" s="407"/>
      <c r="AD89" s="74"/>
      <c r="AE89" s="74"/>
      <c r="AF89" s="265"/>
      <c r="AG89" s="471"/>
      <c r="AH89" s="407"/>
      <c r="AI89" s="74"/>
      <c r="AJ89" s="74"/>
      <c r="AK89" s="74"/>
      <c r="AL89" s="470"/>
      <c r="AM89" s="407"/>
      <c r="AN89" s="74"/>
      <c r="AO89" s="74"/>
      <c r="AQ89" s="74"/>
      <c r="AR89" s="265"/>
      <c r="AS89" s="472"/>
      <c r="AT89" s="407"/>
      <c r="AU89" s="74"/>
      <c r="AV89" s="74"/>
      <c r="AW89" s="473"/>
    </row>
    <row r="90" spans="1:59" ht="30" outlineLevel="1">
      <c r="A90" s="386" t="s">
        <v>222</v>
      </c>
      <c r="B90" s="387"/>
      <c r="C90" s="388"/>
      <c r="D90" s="354">
        <f t="shared" si="26"/>
        <v>0</v>
      </c>
      <c r="E90" s="258"/>
      <c r="F90" s="356">
        <v>2961</v>
      </c>
      <c r="G90" s="353">
        <v>2961</v>
      </c>
      <c r="H90" s="389"/>
      <c r="I90" s="93"/>
      <c r="J90" s="356"/>
      <c r="K90" s="357"/>
      <c r="L90" s="226"/>
      <c r="M90" s="258"/>
      <c r="N90" s="93"/>
      <c r="O90" s="93"/>
      <c r="P90" s="390"/>
      <c r="Q90" s="93"/>
      <c r="R90" s="93"/>
      <c r="S90" s="93"/>
      <c r="T90" s="474">
        <v>2961</v>
      </c>
      <c r="U90" s="309">
        <f>'[2]EF-1'!$K$16*[2]Transport!T90</f>
        <v>214706.61290322576</v>
      </c>
      <c r="V90" s="386" t="str">
        <f t="shared" si="18"/>
        <v>Ferry &amp; internal air - freight</v>
      </c>
      <c r="W90" s="475"/>
      <c r="X90" s="260"/>
      <c r="Y90" s="260"/>
      <c r="Z90" s="260"/>
      <c r="AA90" s="260"/>
      <c r="AB90" s="389"/>
      <c r="AC90" s="93"/>
      <c r="AD90" s="93"/>
      <c r="AE90" s="93"/>
      <c r="AF90" s="390"/>
      <c r="AG90" s="93"/>
      <c r="AH90" s="93"/>
      <c r="AI90" s="93"/>
      <c r="AJ90" s="93"/>
      <c r="AK90" s="93"/>
      <c r="AL90" s="389"/>
      <c r="AM90" s="93"/>
      <c r="AN90" s="93"/>
      <c r="AQ90" s="93"/>
      <c r="AR90" s="390"/>
      <c r="AS90" s="93"/>
      <c r="AT90" s="93"/>
      <c r="AU90" s="93"/>
      <c r="AV90" s="93"/>
      <c r="AW90" s="393"/>
    </row>
    <row r="91" spans="1:59" ht="15.75" outlineLevel="1" thickBot="1">
      <c r="A91" s="394" t="s">
        <v>223</v>
      </c>
      <c r="B91" s="395"/>
      <c r="C91" s="396"/>
      <c r="D91" s="397">
        <f>SUM(D87:D90)</f>
        <v>9347.227533797357</v>
      </c>
      <c r="E91" s="398">
        <f t="shared" ref="E91:K91" si="29">SUM(E87:E90)</f>
        <v>0</v>
      </c>
      <c r="F91" s="398">
        <f t="shared" si="29"/>
        <v>220902.60426442558</v>
      </c>
      <c r="G91" s="396">
        <f t="shared" si="29"/>
        <v>230249.83179822296</v>
      </c>
      <c r="H91" s="397">
        <f>SUM(H87:H90)</f>
        <v>25958.101561604552</v>
      </c>
      <c r="I91" s="398">
        <f t="shared" si="29"/>
        <v>0</v>
      </c>
      <c r="J91" s="398">
        <f t="shared" si="29"/>
        <v>3108338.9052854739</v>
      </c>
      <c r="K91" s="396">
        <f t="shared" si="29"/>
        <v>3134297.0068470784</v>
      </c>
      <c r="L91" s="399"/>
      <c r="M91" s="400"/>
      <c r="N91" s="401"/>
      <c r="O91" s="402">
        <f>SUM(O87:O90)</f>
        <v>1626.1932073362614</v>
      </c>
      <c r="P91" s="403">
        <f>SUM(P87:P90)</f>
        <v>109930.66081593125</v>
      </c>
      <c r="Q91" s="401"/>
      <c r="R91" s="401"/>
      <c r="S91" s="401"/>
      <c r="T91" s="402">
        <f>SUM(T87:T90)</f>
        <v>18308.366362777051</v>
      </c>
      <c r="U91" s="476">
        <f>SUM(U87:U90)</f>
        <v>1327567.4871810914</v>
      </c>
      <c r="V91" s="404" t="str">
        <f t="shared" si="18"/>
        <v>TOTAL</v>
      </c>
      <c r="W91" s="405"/>
      <c r="X91" s="401"/>
      <c r="Y91" s="401"/>
      <c r="Z91" s="402">
        <f>SUM(Z87:Z90)</f>
        <v>9347.227533797357</v>
      </c>
      <c r="AA91" s="402">
        <f>SUM(AA87:AA90)</f>
        <v>25958.101561604552</v>
      </c>
      <c r="AB91" s="405"/>
      <c r="AC91" s="401"/>
      <c r="AD91" s="401"/>
      <c r="AE91" s="402">
        <f>SUM(AE87:AE90)</f>
        <v>0</v>
      </c>
      <c r="AF91" s="402">
        <f>SUM(AF87:AF90)</f>
        <v>0</v>
      </c>
      <c r="AG91" s="405"/>
      <c r="AH91" s="401"/>
      <c r="AI91" s="401"/>
      <c r="AJ91" s="402">
        <f>SUM(AJ87:AJ90)</f>
        <v>0</v>
      </c>
      <c r="AK91" s="403">
        <f>SUM(AK87:AK90)</f>
        <v>0</v>
      </c>
      <c r="AL91" s="405"/>
      <c r="AM91" s="401"/>
      <c r="AN91" s="401"/>
      <c r="AO91" s="401"/>
      <c r="AP91" s="401"/>
      <c r="AQ91" s="402">
        <f>SUM(AQ87:AQ90)</f>
        <v>98205.592197483158</v>
      </c>
      <c r="AR91" s="402">
        <f>SUM(AR87:AR90)</f>
        <v>1885547.3701916765</v>
      </c>
      <c r="AS91" s="401"/>
      <c r="AT91" s="401"/>
      <c r="AU91" s="401"/>
      <c r="AV91" s="402">
        <f>SUM(AV87:AV90)</f>
        <v>0</v>
      </c>
      <c r="AW91" s="477">
        <f>SUM(AW87:AW90)</f>
        <v>0</v>
      </c>
    </row>
    <row r="92" spans="1:59" s="37" customFormat="1" ht="23.25">
      <c r="A92" s="478" t="s">
        <v>182</v>
      </c>
      <c r="B92" s="478"/>
      <c r="C92" s="44"/>
      <c r="D92" s="44"/>
      <c r="E92" s="44"/>
      <c r="F92" s="44"/>
      <c r="G92" s="44"/>
      <c r="H92" s="44"/>
      <c r="U92" s="218"/>
      <c r="V92" s="478" t="s">
        <v>182</v>
      </c>
      <c r="AA92" s="218">
        <f>Z78*1000*[2]Electricity!S19*1000*1000/X78/B78</f>
        <v>0.9816843712792046</v>
      </c>
    </row>
  </sheetData>
  <mergeCells count="26">
    <mergeCell ref="B76:B77"/>
    <mergeCell ref="C76:C77"/>
    <mergeCell ref="D76:G76"/>
    <mergeCell ref="H76:K76"/>
    <mergeCell ref="A15:F16"/>
    <mergeCell ref="O19:P21"/>
    <mergeCell ref="A24:F24"/>
    <mergeCell ref="G31:N31"/>
    <mergeCell ref="B53:B55"/>
    <mergeCell ref="B58:B59"/>
    <mergeCell ref="C58:C59"/>
    <mergeCell ref="D58:G58"/>
    <mergeCell ref="H58:K58"/>
    <mergeCell ref="Q6:R7"/>
    <mergeCell ref="A7:A8"/>
    <mergeCell ref="H8:I9"/>
    <mergeCell ref="A9:B10"/>
    <mergeCell ref="D9:E10"/>
    <mergeCell ref="O9:P10"/>
    <mergeCell ref="A5:B6"/>
    <mergeCell ref="D5:E6"/>
    <mergeCell ref="G5:H6"/>
    <mergeCell ref="K5:L6"/>
    <mergeCell ref="O5:P6"/>
    <mergeCell ref="I6:J7"/>
    <mergeCell ref="M6:N8"/>
  </mergeCells>
  <hyperlinks>
    <hyperlink ref="I15" r:id="rId1" display="https://www.td.gov.hk/filemanager/en/content_4854/table21s.pdf" xr:uid="{0480E81A-7988-449B-9A67-B25226C4149C}"/>
    <hyperlink ref="I16" r:id="rId2" xr:uid="{BB9963AD-5B8E-4FF9-B963-3220BBDB9DAA}"/>
    <hyperlink ref="I17" r:id="rId3" xr:uid="{B557E469-E8F9-41D3-B4EA-E49B6CD60990}"/>
    <hyperlink ref="I18" r:id="rId4" xr:uid="{2D2954BE-0002-495F-9FCD-E8C71509ECC7}"/>
    <hyperlink ref="I19" r:id="rId5" xr:uid="{B4BD918D-0526-44B6-9947-DFCBFD8224BB}"/>
    <hyperlink ref="I20" r:id="rId6" xr:uid="{F62182A6-E3EC-4CED-A7F2-C26B943B52EA}"/>
    <hyperlink ref="I21" r:id="rId7" display="Hong Kong Population Projections 2017-2066" xr:uid="{56BF205C-7D63-4DBE-8370-2DA17BB7B9C5}"/>
    <hyperlink ref="J29" r:id="rId8" xr:uid="{B777023B-F8CB-4B51-8064-8C95D8BB7051}"/>
    <hyperlink ref="M29" r:id="rId9" xr:uid="{2CDCB480-2358-4798-A8DB-A43C6330E69E}"/>
  </hyperlinks>
  <pageMargins left="0.7" right="0.7" top="0.75" bottom="0.75" header="0.3" footer="0.3"/>
  <drawing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7DB5-C9A4-4DF1-A96D-7963A68193DC}">
  <sheetPr>
    <tabColor theme="3"/>
  </sheetPr>
  <dimension ref="A1:H8"/>
  <sheetViews>
    <sheetView showGridLines="0" workbookViewId="0">
      <selection activeCell="F6" sqref="F6"/>
    </sheetView>
  </sheetViews>
  <sheetFormatPr defaultRowHeight="15"/>
  <cols>
    <col min="5" max="5" width="17.7109375" customWidth="1"/>
    <col min="6" max="6" width="12" bestFit="1" customWidth="1"/>
  </cols>
  <sheetData>
    <row r="1" spans="1:8">
      <c r="A1" s="479" t="s">
        <v>231</v>
      </c>
    </row>
    <row r="2" spans="1:8">
      <c r="A2" t="s">
        <v>232</v>
      </c>
      <c r="F2" t="s">
        <v>233</v>
      </c>
      <c r="G2">
        <v>21.2</v>
      </c>
      <c r="H2" t="s">
        <v>234</v>
      </c>
    </row>
    <row r="4" spans="1:8">
      <c r="A4" t="s">
        <v>235</v>
      </c>
      <c r="B4">
        <v>45.34</v>
      </c>
      <c r="C4" t="s">
        <v>236</v>
      </c>
    </row>
    <row r="5" spans="1:8">
      <c r="A5" t="s">
        <v>237</v>
      </c>
      <c r="B5">
        <f>B4*38.44*0.6213712*B7*10^4</f>
        <v>10264.563916943936</v>
      </c>
      <c r="C5" t="s">
        <v>238</v>
      </c>
      <c r="E5" t="s">
        <v>239</v>
      </c>
      <c r="F5">
        <f>B5/G2</f>
        <v>484.1775432520725</v>
      </c>
      <c r="G5" t="s">
        <v>240</v>
      </c>
    </row>
    <row r="6" spans="1:8">
      <c r="A6" s="480" t="s">
        <v>241</v>
      </c>
      <c r="E6" t="s">
        <v>242</v>
      </c>
      <c r="F6" s="482">
        <f>1/F5</f>
        <v>2.0653580777070034E-3</v>
      </c>
      <c r="G6" t="s">
        <v>243</v>
      </c>
    </row>
    <row r="7" spans="1:8">
      <c r="A7" t="s">
        <v>244</v>
      </c>
      <c r="B7">
        <f>1/1055.056</f>
        <v>9.4781698791343778E-4</v>
      </c>
      <c r="C7" t="s">
        <v>245</v>
      </c>
      <c r="F7" s="481"/>
    </row>
    <row r="8" spans="1:8">
      <c r="F8" s="4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3F69-490D-4EB7-86AC-EC0661226459}">
  <sheetPr>
    <tabColor theme="3"/>
  </sheetPr>
  <dimension ref="A1:H8"/>
  <sheetViews>
    <sheetView showGridLines="0" workbookViewId="0">
      <selection activeCell="F6" sqref="F6"/>
    </sheetView>
  </sheetViews>
  <sheetFormatPr defaultRowHeight="15"/>
  <cols>
    <col min="5" max="5" width="17.7109375" customWidth="1"/>
    <col min="6" max="6" width="12" bestFit="1" customWidth="1"/>
  </cols>
  <sheetData>
    <row r="1" spans="1:8">
      <c r="A1" s="479" t="s">
        <v>231</v>
      </c>
      <c r="B1" s="479"/>
      <c r="C1" s="479"/>
    </row>
    <row r="2" spans="1:8">
      <c r="A2" t="s">
        <v>232</v>
      </c>
      <c r="F2" t="s">
        <v>233</v>
      </c>
      <c r="G2">
        <v>21.2</v>
      </c>
      <c r="H2" t="s">
        <v>234</v>
      </c>
    </row>
    <row r="4" spans="1:8">
      <c r="A4" t="s">
        <v>56</v>
      </c>
      <c r="B4">
        <v>17.5</v>
      </c>
      <c r="C4" t="s">
        <v>236</v>
      </c>
    </row>
    <row r="5" spans="1:8">
      <c r="A5" t="s">
        <v>237</v>
      </c>
      <c r="B5">
        <f>B4*38.44*0.6213712*B7*10^4</f>
        <v>3961.8409472103845</v>
      </c>
      <c r="C5" t="s">
        <v>238</v>
      </c>
      <c r="E5" t="s">
        <v>239</v>
      </c>
      <c r="F5">
        <f>B5/G2</f>
        <v>186.879289962754</v>
      </c>
      <c r="G5" t="s">
        <v>240</v>
      </c>
    </row>
    <row r="6" spans="1:8">
      <c r="A6" s="480" t="s">
        <v>241</v>
      </c>
      <c r="E6" t="s">
        <v>242</v>
      </c>
      <c r="F6" s="482">
        <f>1/F5</f>
        <v>5.3510477281848894E-3</v>
      </c>
      <c r="G6" t="s">
        <v>243</v>
      </c>
    </row>
    <row r="7" spans="1:8">
      <c r="A7" t="s">
        <v>244</v>
      </c>
      <c r="B7">
        <f>1/1055.056</f>
        <v>9.4781698791343778E-4</v>
      </c>
      <c r="C7" t="s">
        <v>245</v>
      </c>
      <c r="F7" s="481"/>
    </row>
    <row r="8" spans="1:8">
      <c r="F8" s="4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topLeftCell="R1" workbookViewId="0">
      <selection activeCell="B2" sqref="B2:AJ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8">
        <f>B$4/(1-'Other Values'!$B$2)</f>
        <v>9.4157087635782038E-4</v>
      </c>
      <c r="C2" s="4">
        <f>C$4/(1-'Other Values'!$B$2)</f>
        <v>9.539355264057528E-4</v>
      </c>
      <c r="D2" s="4">
        <f>D$4/(1-'Other Values'!$B$2)</f>
        <v>9.6630017645368241E-4</v>
      </c>
      <c r="E2" s="4">
        <f>E$4/(1-'Other Values'!$B$2)</f>
        <v>9.7866482650161494E-4</v>
      </c>
      <c r="F2" s="4">
        <f>F$4/(1-'Other Values'!$B$2)</f>
        <v>9.9102947654954726E-4</v>
      </c>
      <c r="G2" s="4">
        <f>G$4/(1-'Other Values'!$B$2)</f>
        <v>1.0033941265974798E-3</v>
      </c>
      <c r="H2" s="4">
        <f>H$4/(1-'Other Values'!$B$2)</f>
        <v>1.0157587766454095E-3</v>
      </c>
      <c r="I2" s="4">
        <f>I$4/(1-'Other Values'!$B$2)</f>
        <v>1.0281234266933418E-3</v>
      </c>
      <c r="J2" s="4">
        <f>J$4/(1-'Other Values'!$B$2)</f>
        <v>1.0404880767412744E-3</v>
      </c>
      <c r="K2" s="4">
        <f>K$4/(1-'Other Values'!$B$2)</f>
        <v>1.0528527267892041E-3</v>
      </c>
      <c r="L2" s="4">
        <f>L$4/(1-'Other Values'!$B$2)</f>
        <v>1.0652173768371392E-3</v>
      </c>
      <c r="M2" s="4">
        <f>M$4/(1-'Other Values'!$B$2)</f>
        <v>1.0775820268850689E-3</v>
      </c>
      <c r="N2" s="4">
        <f>N$4/(1-'Other Values'!$B$2)</f>
        <v>1.0899466769330041E-3</v>
      </c>
      <c r="O2" s="4">
        <f>O$4/(1-'Other Values'!$B$2)</f>
        <v>1.1045982621303912E-3</v>
      </c>
      <c r="P2" s="4">
        <f>P$4/(1-'Other Values'!$B$2)</f>
        <v>1.1252191578012478E-3</v>
      </c>
      <c r="Q2" s="4">
        <f>Q$4/(1-'Other Values'!$B$2)</f>
        <v>1.1448424347850017E-3</v>
      </c>
      <c r="R2" s="4">
        <f>R$4/(1-'Other Values'!$B$2)</f>
        <v>1.188565825783602E-3</v>
      </c>
      <c r="S2" s="4">
        <f>S$4/(1-'Other Values'!$B$2)</f>
        <v>1.2454820861176102E-3</v>
      </c>
      <c r="T2" s="4">
        <f>T$4/(1-'Other Values'!$B$2)</f>
        <v>1.3137701931264752E-3</v>
      </c>
      <c r="U2" s="4">
        <f>U$4/(1-'Other Values'!$B$2)</f>
        <v>1.3711702115708562E-3</v>
      </c>
      <c r="V2" s="4">
        <f>V$4/(1-'Other Values'!$B$2)</f>
        <v>1.4355279604869977E-3</v>
      </c>
      <c r="W2" s="4">
        <f>W$4/(1-'Other Values'!$B$2)</f>
        <v>1.5077536201663225E-3</v>
      </c>
      <c r="X2" s="4">
        <f>X$4/(1-'Other Values'!$B$2)</f>
        <v>1.5779469661199169E-3</v>
      </c>
      <c r="Y2" s="4">
        <f>Y$4/(1-'Other Values'!$B$2)</f>
        <v>1.5861882887091725E-3</v>
      </c>
      <c r="Z2" s="4">
        <f>Z$4/(1-'Other Values'!$B$2)</f>
        <v>1.593815335602985E-3</v>
      </c>
      <c r="AA2" s="4">
        <f>AA$4/(1-'Other Values'!$B$2)</f>
        <v>1.594862257009913E-3</v>
      </c>
      <c r="AB2" s="4">
        <f>AB$4/(1-'Other Values'!$B$2)</f>
        <v>1.5977935398445811E-3</v>
      </c>
      <c r="AC2" s="4">
        <f>AC$4/(1-'Other Values'!$B$2)</f>
        <v>1.6024344397311712E-3</v>
      </c>
      <c r="AD2" s="4">
        <f>AD$4/(1-'Other Values'!$B$2)</f>
        <v>1.6055401138335478E-3</v>
      </c>
      <c r="AE2" s="4">
        <f>AE$4/(1-'Other Values'!$B$2)</f>
        <v>1.6084550212796256E-3</v>
      </c>
      <c r="AF2" s="4">
        <f>AF$4/(1-'Other Values'!$B$2)</f>
        <v>1.6097973176203686E-3</v>
      </c>
      <c r="AG2" s="4">
        <f>AG$4/(1-'Other Values'!$B$2)</f>
        <v>1.6112434718838951E-3</v>
      </c>
      <c r="AH2" s="4">
        <f>AH$4/(1-'Other Values'!$B$2)</f>
        <v>1.6120820153675505E-3</v>
      </c>
      <c r="AI2" s="4">
        <f>AI$4/(1-'Other Values'!$B$2)</f>
        <v>1.6141151235865275E-3</v>
      </c>
      <c r="AJ2" s="4">
        <f>AJ$4/(1-'Other Values'!$B$2)</f>
        <v>1.6143789836215463E-3</v>
      </c>
    </row>
    <row r="3" spans="1:36">
      <c r="A3" t="s">
        <v>3</v>
      </c>
      <c r="B3" s="8">
        <f>B$4</f>
        <v>2.9569994464129901E-4</v>
      </c>
      <c r="C3" s="4">
        <f t="shared" ref="C3:AJ5" si="0">C$4</f>
        <v>2.9958305787949267E-4</v>
      </c>
      <c r="D3" s="4">
        <f t="shared" si="0"/>
        <v>3.0346617111768546E-4</v>
      </c>
      <c r="E3" s="4">
        <f t="shared" si="0"/>
        <v>3.0734928435587912E-4</v>
      </c>
      <c r="F3" s="4">
        <f t="shared" si="0"/>
        <v>3.1123239759407278E-4</v>
      </c>
      <c r="G3" s="4">
        <f t="shared" si="0"/>
        <v>3.1511551083226644E-4</v>
      </c>
      <c r="H3" s="4">
        <f t="shared" si="0"/>
        <v>3.1899862407045923E-4</v>
      </c>
      <c r="I3" s="4">
        <f t="shared" si="0"/>
        <v>3.2288173730865289E-4</v>
      </c>
      <c r="J3" s="4">
        <f t="shared" si="0"/>
        <v>3.2676485054684655E-4</v>
      </c>
      <c r="K3" s="4">
        <f t="shared" si="0"/>
        <v>3.3064796378503935E-4</v>
      </c>
      <c r="L3" s="4">
        <f t="shared" si="0"/>
        <v>3.3453107702323387E-4</v>
      </c>
      <c r="M3" s="4">
        <f t="shared" si="0"/>
        <v>3.3841419026142667E-4</v>
      </c>
      <c r="N3" s="4">
        <f t="shared" si="0"/>
        <v>3.4229730349962119E-4</v>
      </c>
      <c r="O3" s="4">
        <f t="shared" si="0"/>
        <v>3.4689862777648655E-4</v>
      </c>
      <c r="P3" s="4">
        <f t="shared" si="0"/>
        <v>3.533746115408878E-4</v>
      </c>
      <c r="Q3" s="4">
        <f t="shared" si="0"/>
        <v>3.595372935688436E-4</v>
      </c>
      <c r="R3" s="4">
        <f t="shared" si="0"/>
        <v>3.7326860644443704E-4</v>
      </c>
      <c r="S3" s="4">
        <f t="shared" si="0"/>
        <v>3.9114313448321655E-4</v>
      </c>
      <c r="T3" s="4">
        <f t="shared" si="0"/>
        <v>4.1258898627112453E-4</v>
      </c>
      <c r="U3" s="4">
        <f t="shared" si="0"/>
        <v>4.3061543834456651E-4</v>
      </c>
      <c r="V3" s="4">
        <f t="shared" si="0"/>
        <v>4.5082696279756963E-4</v>
      </c>
      <c r="W3" s="4">
        <f t="shared" si="0"/>
        <v>4.7350940137454764E-4</v>
      </c>
      <c r="X3" s="4">
        <f t="shared" si="0"/>
        <v>4.9555359266575917E-4</v>
      </c>
      <c r="Y3" s="4">
        <f t="shared" si="0"/>
        <v>4.9814177661940964E-4</v>
      </c>
      <c r="Z3" s="4">
        <f t="shared" si="0"/>
        <v>5.005370475447392E-4</v>
      </c>
      <c r="AA3" s="4">
        <f t="shared" si="0"/>
        <v>5.0086583277997277E-4</v>
      </c>
      <c r="AB3" s="4">
        <f t="shared" si="0"/>
        <v>5.0178640094292637E-4</v>
      </c>
      <c r="AC3" s="4">
        <f t="shared" si="0"/>
        <v>5.0324387363458276E-4</v>
      </c>
      <c r="AD3" s="4">
        <f t="shared" si="0"/>
        <v>5.0421920930309773E-4</v>
      </c>
      <c r="AE3" s="4">
        <f t="shared" si="0"/>
        <v>5.0513463478203127E-4</v>
      </c>
      <c r="AF3" s="4">
        <f t="shared" si="0"/>
        <v>5.0555618239317369E-4</v>
      </c>
      <c r="AG3" s="4">
        <f t="shared" si="0"/>
        <v>5.0601034654204982E-4</v>
      </c>
      <c r="AH3" s="4">
        <f t="shared" si="0"/>
        <v>5.0627369077658622E-4</v>
      </c>
      <c r="AI3" s="4">
        <f t="shared" si="0"/>
        <v>5.0691218757262853E-4</v>
      </c>
      <c r="AJ3" s="4">
        <f t="shared" si="0"/>
        <v>5.0699505270759317E-4</v>
      </c>
    </row>
    <row r="4" spans="1:36">
      <c r="A4" t="s">
        <v>4</v>
      </c>
      <c r="B4" s="8">
        <f>Extrapolations!X2</f>
        <v>2.9569994464129901E-4</v>
      </c>
      <c r="C4" s="4">
        <f>Extrapolations!Y2</f>
        <v>2.9958305787949267E-4</v>
      </c>
      <c r="D4" s="4">
        <f>Extrapolations!Z2</f>
        <v>3.0346617111768546E-4</v>
      </c>
      <c r="E4" s="4">
        <f>Extrapolations!AA2</f>
        <v>3.0734928435587912E-4</v>
      </c>
      <c r="F4" s="4">
        <f>Extrapolations!AB2</f>
        <v>3.1123239759407278E-4</v>
      </c>
      <c r="G4" s="4">
        <f>Extrapolations!AC2</f>
        <v>3.1511551083226644E-4</v>
      </c>
      <c r="H4" s="4">
        <f>Extrapolations!AD2</f>
        <v>3.1899862407045923E-4</v>
      </c>
      <c r="I4" s="4">
        <f>Extrapolations!AE2</f>
        <v>3.2288173730865289E-4</v>
      </c>
      <c r="J4" s="4">
        <f>Extrapolations!AF2</f>
        <v>3.2676485054684655E-4</v>
      </c>
      <c r="K4" s="4">
        <f>Extrapolations!AG2</f>
        <v>3.3064796378503935E-4</v>
      </c>
      <c r="L4" s="4">
        <f>Extrapolations!AH2</f>
        <v>3.3453107702323387E-4</v>
      </c>
      <c r="M4" s="4">
        <f>Extrapolations!AI2</f>
        <v>3.3841419026142667E-4</v>
      </c>
      <c r="N4" s="4">
        <f>Extrapolations!AJ2</f>
        <v>3.4229730349962119E-4</v>
      </c>
      <c r="O4" s="4">
        <f>Extrapolations!AK2</f>
        <v>3.4689862777648655E-4</v>
      </c>
      <c r="P4" s="4">
        <f>Extrapolations!AL2</f>
        <v>3.533746115408878E-4</v>
      </c>
      <c r="Q4" s="4">
        <f>Extrapolations!AM2</f>
        <v>3.595372935688436E-4</v>
      </c>
      <c r="R4" s="4">
        <f>Extrapolations!AN2</f>
        <v>3.7326860644443704E-4</v>
      </c>
      <c r="S4" s="4">
        <f>Extrapolations!AO2</f>
        <v>3.9114313448321655E-4</v>
      </c>
      <c r="T4" s="4">
        <f>Extrapolations!AP2</f>
        <v>4.1258898627112453E-4</v>
      </c>
      <c r="U4" s="4">
        <f>Extrapolations!AQ2</f>
        <v>4.3061543834456651E-4</v>
      </c>
      <c r="V4" s="4">
        <f>Extrapolations!AR2</f>
        <v>4.5082696279756963E-4</v>
      </c>
      <c r="W4" s="4">
        <f>Extrapolations!AS2</f>
        <v>4.7350940137454764E-4</v>
      </c>
      <c r="X4" s="4">
        <f>Extrapolations!AT2</f>
        <v>4.9555359266575917E-4</v>
      </c>
      <c r="Y4" s="4">
        <f>Extrapolations!AU2</f>
        <v>4.9814177661940964E-4</v>
      </c>
      <c r="Z4" s="4">
        <f>Extrapolations!AV2</f>
        <v>5.005370475447392E-4</v>
      </c>
      <c r="AA4" s="4">
        <f>Extrapolations!AW2</f>
        <v>5.0086583277997277E-4</v>
      </c>
      <c r="AB4" s="4">
        <f>Extrapolations!AX2</f>
        <v>5.0178640094292637E-4</v>
      </c>
      <c r="AC4" s="4">
        <f>Extrapolations!AY2</f>
        <v>5.0324387363458276E-4</v>
      </c>
      <c r="AD4" s="4">
        <f>Extrapolations!AZ2</f>
        <v>5.0421920930309773E-4</v>
      </c>
      <c r="AE4" s="4">
        <f>Extrapolations!BA2</f>
        <v>5.0513463478203127E-4</v>
      </c>
      <c r="AF4" s="4">
        <f>Extrapolations!BB2</f>
        <v>5.0555618239317369E-4</v>
      </c>
      <c r="AG4" s="4">
        <f>Extrapolations!BC2</f>
        <v>5.0601034654204982E-4</v>
      </c>
      <c r="AH4" s="4">
        <f>Extrapolations!BD2</f>
        <v>5.0627369077658622E-4</v>
      </c>
      <c r="AI4" s="4">
        <f>Extrapolations!BE2</f>
        <v>5.0691218757262853E-4</v>
      </c>
      <c r="AJ4" s="4">
        <f>Extrapolations!BF2</f>
        <v>5.0699505270759317E-4</v>
      </c>
    </row>
    <row r="5" spans="1:36">
      <c r="A5" t="s">
        <v>5</v>
      </c>
      <c r="B5" s="8">
        <f>B$4</f>
        <v>2.9569994464129901E-4</v>
      </c>
      <c r="C5" s="4">
        <f t="shared" si="0"/>
        <v>2.9958305787949267E-4</v>
      </c>
      <c r="D5" s="4">
        <f t="shared" si="0"/>
        <v>3.0346617111768546E-4</v>
      </c>
      <c r="E5" s="4">
        <f t="shared" si="0"/>
        <v>3.0734928435587912E-4</v>
      </c>
      <c r="F5" s="4">
        <f t="shared" si="0"/>
        <v>3.1123239759407278E-4</v>
      </c>
      <c r="G5" s="4">
        <f t="shared" si="0"/>
        <v>3.1511551083226644E-4</v>
      </c>
      <c r="H5" s="4">
        <f t="shared" si="0"/>
        <v>3.1899862407045923E-4</v>
      </c>
      <c r="I5" s="4">
        <f t="shared" si="0"/>
        <v>3.2288173730865289E-4</v>
      </c>
      <c r="J5" s="4">
        <f t="shared" si="0"/>
        <v>3.2676485054684655E-4</v>
      </c>
      <c r="K5" s="4">
        <f t="shared" si="0"/>
        <v>3.3064796378503935E-4</v>
      </c>
      <c r="L5" s="4">
        <f t="shared" si="0"/>
        <v>3.3453107702323387E-4</v>
      </c>
      <c r="M5" s="4">
        <f t="shared" si="0"/>
        <v>3.3841419026142667E-4</v>
      </c>
      <c r="N5" s="4">
        <f t="shared" si="0"/>
        <v>3.4229730349962119E-4</v>
      </c>
      <c r="O5" s="4">
        <f t="shared" si="0"/>
        <v>3.4689862777648655E-4</v>
      </c>
      <c r="P5" s="4">
        <f t="shared" si="0"/>
        <v>3.533746115408878E-4</v>
      </c>
      <c r="Q5" s="4">
        <f t="shared" si="0"/>
        <v>3.595372935688436E-4</v>
      </c>
      <c r="R5" s="4">
        <f t="shared" si="0"/>
        <v>3.7326860644443704E-4</v>
      </c>
      <c r="S5" s="4">
        <f t="shared" si="0"/>
        <v>3.9114313448321655E-4</v>
      </c>
      <c r="T5" s="4">
        <f t="shared" si="0"/>
        <v>4.1258898627112453E-4</v>
      </c>
      <c r="U5" s="4">
        <f t="shared" si="0"/>
        <v>4.3061543834456651E-4</v>
      </c>
      <c r="V5" s="4">
        <f t="shared" si="0"/>
        <v>4.5082696279756963E-4</v>
      </c>
      <c r="W5" s="4">
        <f t="shared" si="0"/>
        <v>4.7350940137454764E-4</v>
      </c>
      <c r="X5" s="4">
        <f t="shared" si="0"/>
        <v>4.9555359266575917E-4</v>
      </c>
      <c r="Y5" s="4">
        <f t="shared" si="0"/>
        <v>4.9814177661940964E-4</v>
      </c>
      <c r="Z5" s="4">
        <f t="shared" si="0"/>
        <v>5.005370475447392E-4</v>
      </c>
      <c r="AA5" s="4">
        <f t="shared" si="0"/>
        <v>5.0086583277997277E-4</v>
      </c>
      <c r="AB5" s="4">
        <f t="shared" si="0"/>
        <v>5.0178640094292637E-4</v>
      </c>
      <c r="AC5" s="4">
        <f t="shared" si="0"/>
        <v>5.0324387363458276E-4</v>
      </c>
      <c r="AD5" s="4">
        <f t="shared" si="0"/>
        <v>5.0421920930309773E-4</v>
      </c>
      <c r="AE5" s="4">
        <f t="shared" si="0"/>
        <v>5.0513463478203127E-4</v>
      </c>
      <c r="AF5" s="4">
        <f t="shared" si="0"/>
        <v>5.0555618239317369E-4</v>
      </c>
      <c r="AG5" s="4">
        <f t="shared" si="0"/>
        <v>5.0601034654204982E-4</v>
      </c>
      <c r="AH5" s="4">
        <f t="shared" si="0"/>
        <v>5.0627369077658622E-4</v>
      </c>
      <c r="AI5" s="4">
        <f t="shared" si="0"/>
        <v>5.0691218757262853E-4</v>
      </c>
      <c r="AJ5" s="4">
        <f t="shared" si="0"/>
        <v>5.0699505270759317E-4</v>
      </c>
    </row>
    <row r="6" spans="1:36">
      <c r="A6" t="s">
        <v>6</v>
      </c>
      <c r="B6" s="8">
        <f>B$4/(1-'Other Values'!$B$2)*'Other Values'!$B$6+B$4*(1-'Other Values'!$B$6)</f>
        <v>6.5092895708538582E-4</v>
      </c>
      <c r="C6" s="4">
        <f>C$4/(1-'Other Values'!$B$2)*'Other Values'!$B$6+C$4*(1-'Other Values'!$B$6)</f>
        <v>6.5947691556893576E-4</v>
      </c>
      <c r="D6" s="4">
        <f>D$4/(1-'Other Values'!$B$2)*'Other Values'!$B$6+D$4*(1-'Other Values'!$B$6)</f>
        <v>6.6802487405248385E-4</v>
      </c>
      <c r="E6" s="4">
        <f>E$4/(1-'Other Values'!$B$2)*'Other Values'!$B$6+E$4*(1-'Other Values'!$B$6)</f>
        <v>6.7657283253603389E-4</v>
      </c>
      <c r="F6" s="4">
        <f>F$4/(1-'Other Values'!$B$2)*'Other Values'!$B$6+F$4*(1-'Other Values'!$B$6)</f>
        <v>6.8512079101958371E-4</v>
      </c>
      <c r="G6" s="4">
        <f>G$4/(1-'Other Values'!$B$2)*'Other Values'!$B$6+G$4*(1-'Other Values'!$B$6)</f>
        <v>6.9366874950313375E-4</v>
      </c>
      <c r="H6" s="4">
        <f>H$4/(1-'Other Values'!$B$2)*'Other Values'!$B$6+H$4*(1-'Other Values'!$B$6)</f>
        <v>7.0221670798668195E-4</v>
      </c>
      <c r="I6" s="4">
        <f>I$4/(1-'Other Values'!$B$2)*'Other Values'!$B$6+I$4*(1-'Other Values'!$B$6)</f>
        <v>7.1076466647023177E-4</v>
      </c>
      <c r="J6" s="4">
        <f>J$4/(1-'Other Values'!$B$2)*'Other Values'!$B$6+J$4*(1-'Other Values'!$B$6)</f>
        <v>7.1931262495378181E-4</v>
      </c>
      <c r="K6" s="4">
        <f>K$4/(1-'Other Values'!$B$2)*'Other Values'!$B$6+K$4*(1-'Other Values'!$B$6)</f>
        <v>7.2786058343733001E-4</v>
      </c>
      <c r="L6" s="4">
        <f>L$4/(1-'Other Values'!$B$2)*'Other Values'!$B$6+L$4*(1-'Other Values'!$B$6)</f>
        <v>7.3640854192088189E-4</v>
      </c>
      <c r="M6" s="4">
        <f>M$4/(1-'Other Values'!$B$2)*'Other Values'!$B$6+M$4*(1-'Other Values'!$B$6)</f>
        <v>7.4495650040442988E-4</v>
      </c>
      <c r="N6" s="4">
        <f>N$4/(1-'Other Values'!$B$2)*'Other Values'!$B$6+N$4*(1-'Other Values'!$B$6)</f>
        <v>7.5350445888798176E-4</v>
      </c>
      <c r="O6" s="4">
        <f>O$4/(1-'Other Values'!$B$2)*'Other Values'!$B$6+O$4*(1-'Other Values'!$B$6)</f>
        <v>7.6363342667113419E-4</v>
      </c>
      <c r="P6" s="4">
        <f>P$4/(1-'Other Values'!$B$2)*'Other Values'!$B$6+P$4*(1-'Other Values'!$B$6)</f>
        <v>7.7788911198408577E-4</v>
      </c>
      <c r="Q6" s="4">
        <f>Q$4/(1-'Other Values'!$B$2)*'Other Values'!$B$6+Q$4*(1-'Other Values'!$B$6)</f>
        <v>7.9145512123773062E-4</v>
      </c>
      <c r="R6" s="4">
        <f>R$4/(1-'Other Values'!$B$2)*'Other Values'!$B$6+R$4*(1-'Other Values'!$B$6)</f>
        <v>8.2168207708097779E-4</v>
      </c>
      <c r="S6" s="4">
        <f>S$4/(1-'Other Values'!$B$2)*'Other Values'!$B$6+S$4*(1-'Other Values'!$B$6)</f>
        <v>8.6102955788213309E-4</v>
      </c>
      <c r="T6" s="4">
        <f>T$4/(1-'Other Values'!$B$2)*'Other Values'!$B$6+T$4*(1-'Other Values'!$B$6)</f>
        <v>9.0823865004156746E-4</v>
      </c>
      <c r="U6" s="4">
        <f>U$4/(1-'Other Values'!$B$2)*'Other Values'!$B$6+U$4*(1-'Other Values'!$B$6)</f>
        <v>9.479205636190259E-4</v>
      </c>
      <c r="V6" s="4">
        <f>V$4/(1-'Other Values'!$B$2)*'Other Values'!$B$6+V$4*(1-'Other Values'!$B$6)</f>
        <v>9.9241251152675522E-4</v>
      </c>
      <c r="W6" s="4">
        <f>W$4/(1-'Other Values'!$B$2)*'Other Values'!$B$6+W$4*(1-'Other Values'!$B$6)</f>
        <v>1.0423437217100238E-3</v>
      </c>
      <c r="X6" s="4">
        <f>X$4/(1-'Other Values'!$B$2)*'Other Values'!$B$6+X$4*(1-'Other Values'!$B$6)</f>
        <v>1.0908699480655459E-3</v>
      </c>
      <c r="Y6" s="4">
        <f>Y$4/(1-'Other Values'!$B$2)*'Other Values'!$B$6+Y$4*(1-'Other Values'!$B$6)</f>
        <v>1.0965673582687793E-3</v>
      </c>
      <c r="Z6" s="4">
        <f>Z$4/(1-'Other Values'!$B$2)*'Other Values'!$B$6+Z$4*(1-'Other Values'!$B$6)</f>
        <v>1.1018401059767744E-3</v>
      </c>
      <c r="AA6" s="4">
        <f>AA$4/(1-'Other Values'!$B$2)*'Other Values'!$B$6+AA$4*(1-'Other Values'!$B$6)</f>
        <v>1.10256386610644E-3</v>
      </c>
      <c r="AB6" s="4">
        <f>AB$4/(1-'Other Values'!$B$2)*'Other Values'!$B$6+AB$4*(1-'Other Values'!$B$6)</f>
        <v>1.1045903273388365E-3</v>
      </c>
      <c r="AC6" s="4">
        <f>AC$4/(1-'Other Values'!$B$2)*'Other Values'!$B$6+AC$4*(1-'Other Values'!$B$6)</f>
        <v>1.1077986849877064E-3</v>
      </c>
      <c r="AD6" s="4">
        <f>AD$4/(1-'Other Values'!$B$2)*'Other Values'!$B$6+AD$4*(1-'Other Values'!$B$6)</f>
        <v>1.1099457067948453E-3</v>
      </c>
      <c r="AE6" s="4">
        <f>AE$4/(1-'Other Values'!$B$2)*'Other Values'!$B$6+AE$4*(1-'Other Values'!$B$6)</f>
        <v>1.1119608473557081E-3</v>
      </c>
      <c r="AF6" s="4">
        <f>AF$4/(1-'Other Values'!$B$2)*'Other Values'!$B$6+AF$4*(1-'Other Values'!$B$6)</f>
        <v>1.1128888067681308E-3</v>
      </c>
      <c r="AG6" s="4">
        <f>AG$4/(1-'Other Values'!$B$2)*'Other Values'!$B$6+AG$4*(1-'Other Values'!$B$6)</f>
        <v>1.1138885654800648E-3</v>
      </c>
      <c r="AH6" s="4">
        <f>AH$4/(1-'Other Values'!$B$2)*'Other Values'!$B$6+AH$4*(1-'Other Values'!$B$6)</f>
        <v>1.1144682693016166E-3</v>
      </c>
      <c r="AI6" s="4">
        <f>AI$4/(1-'Other Values'!$B$2)*'Other Values'!$B$6+AI$4*(1-'Other Values'!$B$6)</f>
        <v>1.115873802380273E-3</v>
      </c>
      <c r="AJ6" s="4">
        <f>AJ$4/(1-'Other Values'!$B$2)*'Other Values'!$B$6+AJ$4*(1-'Other Values'!$B$6)</f>
        <v>1.1160562147102674E-3</v>
      </c>
    </row>
    <row r="7" spans="1:36">
      <c r="A7" t="s">
        <v>7</v>
      </c>
      <c r="B7" s="8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3.0472122333951646E-4</v>
      </c>
      <c r="C2" s="4">
        <f>C$4/(1-'Other Values'!$B$2)</f>
        <v>3.0790114943383382E-4</v>
      </c>
      <c r="D2" s="4">
        <f>D$4/(1-'Other Values'!$B$2)</f>
        <v>3.1108107552814976E-4</v>
      </c>
      <c r="E2" s="4">
        <f>E$4/(1-'Other Values'!$B$2)</f>
        <v>3.1426100162246706E-4</v>
      </c>
      <c r="F2" s="4">
        <f>F$4/(1-'Other Values'!$B$2)</f>
        <v>3.17440927716783E-4</v>
      </c>
      <c r="G2" s="4">
        <f>G$4/(1-'Other Values'!$B$2)</f>
        <v>3.2062085381109895E-4</v>
      </c>
      <c r="H2" s="4">
        <f>H$4/(1-'Other Values'!$B$2)</f>
        <v>3.238007799054163E-4</v>
      </c>
      <c r="I2" s="4">
        <f>I$4/(1-'Other Values'!$B$2)</f>
        <v>3.2698070599973224E-4</v>
      </c>
      <c r="J2" s="4">
        <f>J$4/(1-'Other Values'!$B$2)</f>
        <v>3.301606320940496E-4</v>
      </c>
      <c r="K2" s="4">
        <f>K$4/(1-'Other Values'!$B$2)</f>
        <v>3.3334055818836554E-4</v>
      </c>
      <c r="L2" s="4">
        <f>L$4/(1-'Other Values'!$B$2)</f>
        <v>3.3652048428268284E-4</v>
      </c>
      <c r="M2" s="4">
        <f>M$4/(1-'Other Values'!$B$2)</f>
        <v>3.3970041037699878E-4</v>
      </c>
      <c r="N2" s="4">
        <f>N$4/(1-'Other Values'!$B$2)</f>
        <v>3.4288033647131473E-4</v>
      </c>
      <c r="O2" s="4">
        <f>O$4/(1-'Other Values'!$B$2)</f>
        <v>3.4653723301081139E-4</v>
      </c>
      <c r="P2" s="4">
        <f>P$4/(1-'Other Values'!$B$2)</f>
        <v>3.5036573368620256E-4</v>
      </c>
      <c r="Q2" s="4">
        <f>Q$4/(1-'Other Values'!$B$2)</f>
        <v>4.8409520175234718E-4</v>
      </c>
      <c r="R2" s="4">
        <f>R$4/(1-'Other Values'!$B$2)</f>
        <v>4.8499575958347668E-4</v>
      </c>
      <c r="S2" s="4">
        <f>S$4/(1-'Other Values'!$B$2)</f>
        <v>4.8748971775990313E-4</v>
      </c>
      <c r="T2" s="4">
        <f>T$4/(1-'Other Values'!$B$2)</f>
        <v>4.919824634214108E-4</v>
      </c>
      <c r="U2" s="4">
        <f>U$4/(1-'Other Values'!$B$2)</f>
        <v>4.9613457605008889E-4</v>
      </c>
      <c r="V2" s="4">
        <f>V$4/(1-'Other Values'!$B$2)</f>
        <v>5.0172473202786828E-4</v>
      </c>
      <c r="W2" s="4">
        <f>W$4/(1-'Other Values'!$B$2)</f>
        <v>5.0860082527902459E-4</v>
      </c>
      <c r="X2" s="4">
        <f>X$4/(1-'Other Values'!$B$2)</f>
        <v>5.1620343317996501E-4</v>
      </c>
      <c r="Y2" s="4">
        <f>Y$4/(1-'Other Values'!$B$2)</f>
        <v>5.2392740877851179E-4</v>
      </c>
      <c r="Z2" s="4">
        <f>Z$4/(1-'Other Values'!$B$2)</f>
        <v>5.3090055389935699E-4</v>
      </c>
      <c r="AA2" s="4">
        <f>AA$4/(1-'Other Values'!$B$2)</f>
        <v>5.3383946529642924E-4</v>
      </c>
      <c r="AB2" s="4">
        <f>AB$4/(1-'Other Values'!$B$2)</f>
        <v>5.3781235441520544E-4</v>
      </c>
      <c r="AC2" s="4">
        <f>AC$4/(1-'Other Values'!$B$2)</f>
        <v>5.4077605738465473E-4</v>
      </c>
      <c r="AD2" s="4">
        <f>AD$4/(1-'Other Values'!$B$2)</f>
        <v>5.4265908038464948E-4</v>
      </c>
      <c r="AE2" s="4">
        <f>AE$4/(1-'Other Values'!$B$2)</f>
        <v>5.4361791691203819E-4</v>
      </c>
      <c r="AF2" s="4">
        <f>AF$4/(1-'Other Values'!$B$2)</f>
        <v>5.4257836240806205E-4</v>
      </c>
      <c r="AG2" s="4">
        <f>AG$4/(1-'Other Values'!$B$2)</f>
        <v>5.4278692349295167E-4</v>
      </c>
      <c r="AH2" s="4">
        <f>AH$4/(1-'Other Values'!$B$2)</f>
        <v>5.4302643439794063E-4</v>
      </c>
      <c r="AI2" s="4">
        <f>AI$4/(1-'Other Values'!$B$2)</f>
        <v>5.4328539796526395E-4</v>
      </c>
      <c r="AJ2" s="4">
        <f>AJ$4/(1-'Other Values'!$B$2)</f>
        <v>5.4359941573862264E-4</v>
      </c>
    </row>
    <row r="3" spans="1:36">
      <c r="A3" t="s">
        <v>3</v>
      </c>
      <c r="B3" s="4">
        <f>B$4</f>
        <v>9.5697574271914285E-5</v>
      </c>
      <c r="C3" s="4">
        <f t="shared" ref="C3:AJ3" si="0">C$4</f>
        <v>9.6696228747815595E-5</v>
      </c>
      <c r="D3" s="4">
        <f t="shared" si="0"/>
        <v>9.7694883223716471E-5</v>
      </c>
      <c r="E3" s="4">
        <f t="shared" si="0"/>
        <v>9.869353769961778E-5</v>
      </c>
      <c r="F3" s="4">
        <f t="shared" si="0"/>
        <v>9.9692192175518656E-5</v>
      </c>
      <c r="G3" s="4">
        <f t="shared" si="0"/>
        <v>1.0069084665141953E-4</v>
      </c>
      <c r="H3" s="4">
        <f t="shared" si="0"/>
        <v>1.0168950112732084E-4</v>
      </c>
      <c r="I3" s="4">
        <f t="shared" si="0"/>
        <v>1.0268815560322172E-4</v>
      </c>
      <c r="J3" s="4">
        <f t="shared" si="0"/>
        <v>1.0368681007912303E-4</v>
      </c>
      <c r="K3" s="4">
        <f t="shared" si="0"/>
        <v>1.046854645550239E-4</v>
      </c>
      <c r="L3" s="4">
        <f t="shared" si="0"/>
        <v>1.0568411903092521E-4</v>
      </c>
      <c r="M3" s="4">
        <f t="shared" si="0"/>
        <v>1.0668277350682609E-4</v>
      </c>
      <c r="N3" s="4">
        <f t="shared" si="0"/>
        <v>1.0768142798272696E-4</v>
      </c>
      <c r="O3" s="4">
        <f t="shared" si="0"/>
        <v>1.0882987482984162E-4</v>
      </c>
      <c r="P3" s="4">
        <f t="shared" si="0"/>
        <v>1.1003221388492314E-4</v>
      </c>
      <c r="Q3" s="4">
        <f t="shared" si="0"/>
        <v>1.520298980709851E-4</v>
      </c>
      <c r="R3" s="4">
        <f t="shared" si="0"/>
        <v>1.5231271788571999E-4</v>
      </c>
      <c r="S3" s="4">
        <f t="shared" si="0"/>
        <v>1.5309594442046548E-4</v>
      </c>
      <c r="T3" s="4">
        <f t="shared" si="0"/>
        <v>1.5450688933895548E-4</v>
      </c>
      <c r="U3" s="4">
        <f t="shared" si="0"/>
        <v>1.5581085859424284E-4</v>
      </c>
      <c r="V3" s="4">
        <f t="shared" si="0"/>
        <v>1.5756644476908264E-4</v>
      </c>
      <c r="W3" s="4">
        <f t="shared" si="0"/>
        <v>1.5972587901324744E-4</v>
      </c>
      <c r="X3" s="4">
        <f t="shared" si="0"/>
        <v>1.6211347488296425E-4</v>
      </c>
      <c r="Y3" s="4">
        <f t="shared" si="0"/>
        <v>1.6453918622796242E-4</v>
      </c>
      <c r="Z3" s="4">
        <f t="shared" si="0"/>
        <v>1.6672909957169893E-4</v>
      </c>
      <c r="AA3" s="4">
        <f t="shared" si="0"/>
        <v>1.6765206348152327E-4</v>
      </c>
      <c r="AB3" s="4">
        <f t="shared" si="0"/>
        <v>1.6889974766758523E-4</v>
      </c>
      <c r="AC3" s="4">
        <f t="shared" si="0"/>
        <v>1.6983049736047013E-4</v>
      </c>
      <c r="AD3" s="4">
        <f t="shared" si="0"/>
        <v>1.704218599555098E-4</v>
      </c>
      <c r="AE3" s="4">
        <f t="shared" si="0"/>
        <v>1.7072298217072279E-4</v>
      </c>
      <c r="AF3" s="4">
        <f t="shared" si="0"/>
        <v>1.7039651050831703E-4</v>
      </c>
      <c r="AG3" s="4">
        <f t="shared" si="0"/>
        <v>1.7046200903084435E-4</v>
      </c>
      <c r="AH3" s="4">
        <f t="shared" si="0"/>
        <v>1.7053722733158469E-4</v>
      </c>
      <c r="AI3" s="4">
        <f t="shared" si="0"/>
        <v>1.7061855473289285E-4</v>
      </c>
      <c r="AJ3" s="4">
        <f t="shared" si="0"/>
        <v>1.7071717188485674E-4</v>
      </c>
    </row>
    <row r="4" spans="1:36">
      <c r="A4" t="s">
        <v>4</v>
      </c>
      <c r="B4" s="4">
        <f>Extrapolations!X3</f>
        <v>9.5697574271914285E-5</v>
      </c>
      <c r="C4" s="4">
        <f>Extrapolations!Y3</f>
        <v>9.6696228747815595E-5</v>
      </c>
      <c r="D4" s="4">
        <f>Extrapolations!Z3</f>
        <v>9.7694883223716471E-5</v>
      </c>
      <c r="E4" s="4">
        <f>Extrapolations!AA3</f>
        <v>9.869353769961778E-5</v>
      </c>
      <c r="F4" s="4">
        <f>Extrapolations!AB3</f>
        <v>9.9692192175518656E-5</v>
      </c>
      <c r="G4" s="4">
        <f>Extrapolations!AC3</f>
        <v>1.0069084665141953E-4</v>
      </c>
      <c r="H4" s="4">
        <f>Extrapolations!AD3</f>
        <v>1.0168950112732084E-4</v>
      </c>
      <c r="I4" s="4">
        <f>Extrapolations!AE3</f>
        <v>1.0268815560322172E-4</v>
      </c>
      <c r="J4" s="4">
        <f>Extrapolations!AF3</f>
        <v>1.0368681007912303E-4</v>
      </c>
      <c r="K4" s="4">
        <f>Extrapolations!AG3</f>
        <v>1.046854645550239E-4</v>
      </c>
      <c r="L4" s="4">
        <f>Extrapolations!AH3</f>
        <v>1.0568411903092521E-4</v>
      </c>
      <c r="M4" s="4">
        <f>Extrapolations!AI3</f>
        <v>1.0668277350682609E-4</v>
      </c>
      <c r="N4" s="4">
        <f>Extrapolations!AJ3</f>
        <v>1.0768142798272696E-4</v>
      </c>
      <c r="O4" s="4">
        <f>Extrapolations!AK3</f>
        <v>1.0882987482984162E-4</v>
      </c>
      <c r="P4" s="4">
        <f>Extrapolations!AL3</f>
        <v>1.1003221388492314E-4</v>
      </c>
      <c r="Q4" s="4">
        <f>Extrapolations!AM3</f>
        <v>1.520298980709851E-4</v>
      </c>
      <c r="R4" s="4">
        <f>Extrapolations!AN3</f>
        <v>1.5231271788571999E-4</v>
      </c>
      <c r="S4" s="4">
        <f>Extrapolations!AO3</f>
        <v>1.5309594442046548E-4</v>
      </c>
      <c r="T4" s="4">
        <f>Extrapolations!AP3</f>
        <v>1.5450688933895548E-4</v>
      </c>
      <c r="U4" s="4">
        <f>Extrapolations!AQ3</f>
        <v>1.5581085859424284E-4</v>
      </c>
      <c r="V4" s="4">
        <f>Extrapolations!AR3</f>
        <v>1.5756644476908264E-4</v>
      </c>
      <c r="W4" s="4">
        <f>Extrapolations!AS3</f>
        <v>1.5972587901324744E-4</v>
      </c>
      <c r="X4" s="4">
        <f>Extrapolations!AT3</f>
        <v>1.6211347488296425E-4</v>
      </c>
      <c r="Y4" s="4">
        <f>Extrapolations!AU3</f>
        <v>1.6453918622796242E-4</v>
      </c>
      <c r="Z4" s="4">
        <f>Extrapolations!AV3</f>
        <v>1.6672909957169893E-4</v>
      </c>
      <c r="AA4" s="4">
        <f>Extrapolations!AW3</f>
        <v>1.6765206348152327E-4</v>
      </c>
      <c r="AB4" s="4">
        <f>Extrapolations!AX3</f>
        <v>1.6889974766758523E-4</v>
      </c>
      <c r="AC4" s="4">
        <f>Extrapolations!AY3</f>
        <v>1.6983049736047013E-4</v>
      </c>
      <c r="AD4" s="4">
        <f>Extrapolations!AZ3</f>
        <v>1.704218599555098E-4</v>
      </c>
      <c r="AE4" s="4">
        <f>Extrapolations!BA3</f>
        <v>1.7072298217072279E-4</v>
      </c>
      <c r="AF4" s="4">
        <f>Extrapolations!BB3</f>
        <v>1.7039651050831703E-4</v>
      </c>
      <c r="AG4" s="4">
        <f>Extrapolations!BC3</f>
        <v>1.7046200903084435E-4</v>
      </c>
      <c r="AH4" s="4">
        <f>Extrapolations!BD3</f>
        <v>1.7053722733158469E-4</v>
      </c>
      <c r="AI4" s="4">
        <f>Extrapolations!BE3</f>
        <v>1.7061855473289285E-4</v>
      </c>
      <c r="AJ4" s="4">
        <f>Extrapolations!BF3</f>
        <v>1.7071717188485674E-4</v>
      </c>
    </row>
    <row r="5" spans="1:36">
      <c r="A5" t="s">
        <v>5</v>
      </c>
      <c r="B5" s="4">
        <f>B$4</f>
        <v>9.5697574271914285E-5</v>
      </c>
      <c r="C5" s="4">
        <f t="shared" ref="C5:AJ5" si="1">C$4</f>
        <v>9.6696228747815595E-5</v>
      </c>
      <c r="D5" s="4">
        <f t="shared" si="1"/>
        <v>9.7694883223716471E-5</v>
      </c>
      <c r="E5" s="4">
        <f t="shared" si="1"/>
        <v>9.869353769961778E-5</v>
      </c>
      <c r="F5" s="4">
        <f t="shared" si="1"/>
        <v>9.9692192175518656E-5</v>
      </c>
      <c r="G5" s="4">
        <f t="shared" si="1"/>
        <v>1.0069084665141953E-4</v>
      </c>
      <c r="H5" s="4">
        <f t="shared" si="1"/>
        <v>1.0168950112732084E-4</v>
      </c>
      <c r="I5" s="4">
        <f t="shared" si="1"/>
        <v>1.0268815560322172E-4</v>
      </c>
      <c r="J5" s="4">
        <f t="shared" si="1"/>
        <v>1.0368681007912303E-4</v>
      </c>
      <c r="K5" s="4">
        <f t="shared" si="1"/>
        <v>1.046854645550239E-4</v>
      </c>
      <c r="L5" s="4">
        <f t="shared" si="1"/>
        <v>1.0568411903092521E-4</v>
      </c>
      <c r="M5" s="4">
        <f t="shared" si="1"/>
        <v>1.0668277350682609E-4</v>
      </c>
      <c r="N5" s="4">
        <f t="shared" si="1"/>
        <v>1.0768142798272696E-4</v>
      </c>
      <c r="O5" s="4">
        <f t="shared" si="1"/>
        <v>1.0882987482984162E-4</v>
      </c>
      <c r="P5" s="4">
        <f t="shared" si="1"/>
        <v>1.1003221388492314E-4</v>
      </c>
      <c r="Q5" s="4">
        <f t="shared" si="1"/>
        <v>1.520298980709851E-4</v>
      </c>
      <c r="R5" s="4">
        <f t="shared" si="1"/>
        <v>1.5231271788571999E-4</v>
      </c>
      <c r="S5" s="4">
        <f t="shared" si="1"/>
        <v>1.5309594442046548E-4</v>
      </c>
      <c r="T5" s="4">
        <f t="shared" si="1"/>
        <v>1.5450688933895548E-4</v>
      </c>
      <c r="U5" s="4">
        <f t="shared" si="1"/>
        <v>1.5581085859424284E-4</v>
      </c>
      <c r="V5" s="4">
        <f t="shared" si="1"/>
        <v>1.5756644476908264E-4</v>
      </c>
      <c r="W5" s="4">
        <f t="shared" si="1"/>
        <v>1.5972587901324744E-4</v>
      </c>
      <c r="X5" s="4">
        <f t="shared" si="1"/>
        <v>1.6211347488296425E-4</v>
      </c>
      <c r="Y5" s="4">
        <f t="shared" si="1"/>
        <v>1.6453918622796242E-4</v>
      </c>
      <c r="Z5" s="4">
        <f t="shared" si="1"/>
        <v>1.6672909957169893E-4</v>
      </c>
      <c r="AA5" s="4">
        <f t="shared" si="1"/>
        <v>1.6765206348152327E-4</v>
      </c>
      <c r="AB5" s="4">
        <f t="shared" si="1"/>
        <v>1.6889974766758523E-4</v>
      </c>
      <c r="AC5" s="4">
        <f t="shared" si="1"/>
        <v>1.6983049736047013E-4</v>
      </c>
      <c r="AD5" s="4">
        <f t="shared" si="1"/>
        <v>1.704218599555098E-4</v>
      </c>
      <c r="AE5" s="4">
        <f t="shared" si="1"/>
        <v>1.7072298217072279E-4</v>
      </c>
      <c r="AF5" s="4">
        <f t="shared" si="1"/>
        <v>1.7039651050831703E-4</v>
      </c>
      <c r="AG5" s="4">
        <f t="shared" si="1"/>
        <v>1.7046200903084435E-4</v>
      </c>
      <c r="AH5" s="4">
        <f t="shared" si="1"/>
        <v>1.7053722733158469E-4</v>
      </c>
      <c r="AI5" s="4">
        <f t="shared" si="1"/>
        <v>1.7061855473289285E-4</v>
      </c>
      <c r="AJ5" s="4">
        <f t="shared" si="1"/>
        <v>1.7071717188485674E-4</v>
      </c>
    </row>
    <row r="6" spans="1:36">
      <c r="A6" t="s">
        <v>6</v>
      </c>
      <c r="B6" s="4">
        <f>B$4/(1-'Other Values'!$B$2)*'Other Values'!$B$6+B$4*(1-'Other Values'!$B$6)</f>
        <v>2.1066058125909548E-4</v>
      </c>
      <c r="C6" s="4">
        <f>C$4/(1-'Other Values'!$B$2)*'Other Values'!$B$6+C$4*(1-'Other Values'!$B$6)</f>
        <v>2.1285893512512562E-4</v>
      </c>
      <c r="D6" s="4">
        <f>D$4/(1-'Other Values'!$B$2)*'Other Values'!$B$6+D$4*(1-'Other Values'!$B$6)</f>
        <v>2.1505728899115479E-4</v>
      </c>
      <c r="E6" s="4">
        <f>E$4/(1-'Other Values'!$B$2)*'Other Values'!$B$6+E$4*(1-'Other Values'!$B$6)</f>
        <v>2.172556428571849E-4</v>
      </c>
      <c r="F6" s="4">
        <f>F$4/(1-'Other Values'!$B$2)*'Other Values'!$B$6+F$4*(1-'Other Values'!$B$6)</f>
        <v>2.1945399672321404E-4</v>
      </c>
      <c r="G6" s="4">
        <f>G$4/(1-'Other Values'!$B$2)*'Other Values'!$B$6+G$4*(1-'Other Values'!$B$6)</f>
        <v>2.2165235058924321E-4</v>
      </c>
      <c r="H6" s="4">
        <f>H$4/(1-'Other Values'!$B$2)*'Other Values'!$B$6+H$4*(1-'Other Values'!$B$6)</f>
        <v>2.2385070445527335E-4</v>
      </c>
      <c r="I6" s="4">
        <f>I$4/(1-'Other Values'!$B$2)*'Other Values'!$B$6+I$4*(1-'Other Values'!$B$6)</f>
        <v>2.2604905832130252E-4</v>
      </c>
      <c r="J6" s="4">
        <f>J$4/(1-'Other Values'!$B$2)*'Other Values'!$B$6+J$4*(1-'Other Values'!$B$6)</f>
        <v>2.2824741218733263E-4</v>
      </c>
      <c r="K6" s="4">
        <f>K$4/(1-'Other Values'!$B$2)*'Other Values'!$B$6+K$4*(1-'Other Values'!$B$6)</f>
        <v>2.3044576605336182E-4</v>
      </c>
      <c r="L6" s="4">
        <f>L$4/(1-'Other Values'!$B$2)*'Other Values'!$B$6+L$4*(1-'Other Values'!$B$6)</f>
        <v>2.3264411991939191E-4</v>
      </c>
      <c r="M6" s="4">
        <f>M$4/(1-'Other Values'!$B$2)*'Other Values'!$B$6+M$4*(1-'Other Values'!$B$6)</f>
        <v>2.3484247378542108E-4</v>
      </c>
      <c r="N6" s="4">
        <f>N$4/(1-'Other Values'!$B$2)*'Other Values'!$B$6+N$4*(1-'Other Values'!$B$6)</f>
        <v>2.3704082765145024E-4</v>
      </c>
      <c r="O6" s="4">
        <f>O$4/(1-'Other Values'!$B$2)*'Other Values'!$B$6+O$4*(1-'Other Values'!$B$6)</f>
        <v>2.3956892182937502E-4</v>
      </c>
      <c r="P6" s="4">
        <f>P$4/(1-'Other Values'!$B$2)*'Other Values'!$B$6+P$4*(1-'Other Values'!$B$6)</f>
        <v>2.4221564977562683E-4</v>
      </c>
      <c r="Q6" s="4">
        <f>Q$4/(1-'Other Values'!$B$2)*'Other Values'!$B$6+Q$4*(1-'Other Values'!$B$6)</f>
        <v>3.3466581509573423E-4</v>
      </c>
      <c r="R6" s="4">
        <f>R$4/(1-'Other Values'!$B$2)*'Other Values'!$B$6+R$4*(1-'Other Values'!$B$6)</f>
        <v>3.3528839081948619E-4</v>
      </c>
      <c r="S6" s="4">
        <f>S$4/(1-'Other Values'!$B$2)*'Other Values'!$B$6+S$4*(1-'Other Values'!$B$6)</f>
        <v>3.3701251975715624E-4</v>
      </c>
      <c r="T6" s="4">
        <f>T$4/(1-'Other Values'!$B$2)*'Other Values'!$B$6+T$4*(1-'Other Values'!$B$6)</f>
        <v>3.4011845508430589E-4</v>
      </c>
      <c r="U6" s="4">
        <f>U$4/(1-'Other Values'!$B$2)*'Other Values'!$B$6+U$4*(1-'Other Values'!$B$6)</f>
        <v>3.4298890319495819E-4</v>
      </c>
      <c r="V6" s="4">
        <f>V$4/(1-'Other Values'!$B$2)*'Other Values'!$B$6+V$4*(1-'Other Values'!$B$6)</f>
        <v>3.4685350276141474E-4</v>
      </c>
      <c r="W6" s="4">
        <f>W$4/(1-'Other Values'!$B$2)*'Other Values'!$B$6+W$4*(1-'Other Values'!$B$6)</f>
        <v>3.5160709945942489E-4</v>
      </c>
      <c r="X6" s="4">
        <f>X$4/(1-'Other Values'!$B$2)*'Other Values'!$B$6+X$4*(1-'Other Values'!$B$6)</f>
        <v>3.5686295194631469E-4</v>
      </c>
      <c r="Y6" s="4">
        <f>Y$4/(1-'Other Values'!$B$2)*'Other Values'!$B$6+Y$4*(1-'Other Values'!$B$6)</f>
        <v>3.6220270863076458E-4</v>
      </c>
      <c r="Z6" s="4">
        <f>Z$4/(1-'Other Values'!$B$2)*'Other Values'!$B$6+Z$4*(1-'Other Values'!$B$6)</f>
        <v>3.6702339945191091E-4</v>
      </c>
      <c r="AA6" s="4">
        <f>AA$4/(1-'Other Values'!$B$2)*'Other Values'!$B$6+AA$4*(1-'Other Values'!$B$6)</f>
        <v>3.690551344797216E-4</v>
      </c>
      <c r="AB6" s="4">
        <f>AB$4/(1-'Other Values'!$B$2)*'Other Values'!$B$6+AB$4*(1-'Other Values'!$B$6)</f>
        <v>3.7180168137877637E-4</v>
      </c>
      <c r="AC6" s="4">
        <f>AC$4/(1-'Other Values'!$B$2)*'Other Values'!$B$6+AC$4*(1-'Other Values'!$B$6)</f>
        <v>3.7385055537377166E-4</v>
      </c>
      <c r="AD6" s="4">
        <f>AD$4/(1-'Other Values'!$B$2)*'Other Values'!$B$6+AD$4*(1-'Other Values'!$B$6)</f>
        <v>3.7515233119153667E-4</v>
      </c>
      <c r="AE6" s="4">
        <f>AE$4/(1-'Other Values'!$B$2)*'Other Values'!$B$6+AE$4*(1-'Other Values'!$B$6)</f>
        <v>3.7581519627844629E-4</v>
      </c>
      <c r="AF6" s="4">
        <f>AF$4/(1-'Other Values'!$B$2)*'Other Values'!$B$6+AF$4*(1-'Other Values'!$B$6)</f>
        <v>3.7509652905317681E-4</v>
      </c>
      <c r="AG6" s="4">
        <f>AG$4/(1-'Other Values'!$B$2)*'Other Values'!$B$6+AG$4*(1-'Other Values'!$B$6)</f>
        <v>3.7524071198500339E-4</v>
      </c>
      <c r="AH6" s="4">
        <f>AH$4/(1-'Other Values'!$B$2)*'Other Values'!$B$6+AH$4*(1-'Other Values'!$B$6)</f>
        <v>3.7540629121808047E-4</v>
      </c>
      <c r="AI6" s="4">
        <f>AI$4/(1-'Other Values'!$B$2)*'Other Values'!$B$6+AI$4*(1-'Other Values'!$B$6)</f>
        <v>3.7558531851069699E-4</v>
      </c>
      <c r="AJ6" s="4">
        <f>AJ$4/(1-'Other Values'!$B$2)*'Other Values'!$B$6+AJ$4*(1-'Other Values'!$B$6)</f>
        <v>3.75802406004428E-4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715A6E9-9BFC-4DEA-8144-8FC4E29B0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E3196-F373-4655-8004-F320D95243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313A9E-1EC2-4934-AAF6-37F8C8A0BC3E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c9df191c-55f2-496b-9838-9a5abe4742ad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889d872-e2a2-4afb-87bc-97561eced75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BNVFE</vt:lpstr>
      <vt:lpstr>Other Values</vt:lpstr>
      <vt:lpstr>Extrapolations</vt:lpstr>
      <vt:lpstr>HK</vt:lpstr>
      <vt:lpstr>BUS DIESEL</vt:lpstr>
      <vt:lpstr>Bus LPG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2017-06-26T22:04:22Z</dcterms:created>
  <dcterms:modified xsi:type="dcterms:W3CDTF">2019-10-24T13:52:19Z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