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charts/colors1.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harts/style1.xml" ContentType="application/vnd.ms-office.chartstyle+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orvis\Dropbox (Energy Innovation)\My Documents\Energy Policy Solutions\US\Models\eps-2.0.0-us-wipA\"/>
    </mc:Choice>
  </mc:AlternateContent>
  <bookViews>
    <workbookView xWindow="480" yWindow="90" windowWidth="27795" windowHeight="14130"/>
  </bookViews>
  <sheets>
    <sheet name="About" sheetId="8" r:id="rId1"/>
    <sheet name="Calculations" sheetId="2" r:id="rId2"/>
    <sheet name="Cost Curve" sheetId="5" r:id="rId3"/>
    <sheet name="2.0.0-us-NetZero" sheetId="9"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19" i="2"/>
  <c r="C24" i="2"/>
  <c r="C17" i="2"/>
  <c r="C22" i="2"/>
  <c r="C23" i="2"/>
  <c r="C6" i="2"/>
  <c r="C9" i="2"/>
  <c r="C25" i="2"/>
  <c r="C8" i="2"/>
  <c r="C3" i="2"/>
  <c r="C13" i="2"/>
  <c r="C12" i="2"/>
  <c r="C21" i="2"/>
  <c r="C14" i="2"/>
  <c r="C5" i="2"/>
  <c r="C18" i="2"/>
  <c r="C7" i="2"/>
  <c r="C10" i="2"/>
  <c r="C11" i="2"/>
  <c r="C20" i="2"/>
  <c r="C16" i="2"/>
  <c r="C15" i="2"/>
  <c r="C26" i="2"/>
  <c r="C27" i="2"/>
  <c r="C4" i="2"/>
  <c r="A20" i="5" l="1"/>
  <c r="A4" i="5"/>
  <c r="A3" i="5"/>
  <c r="D13" i="2"/>
  <c r="A26" i="5" l="1"/>
  <c r="A23" i="5" l="1"/>
  <c r="A17" i="5"/>
  <c r="A6" i="5"/>
  <c r="A2" i="5"/>
  <c r="A14" i="5"/>
  <c r="A5" i="5"/>
  <c r="A18" i="5"/>
  <c r="A13" i="5"/>
  <c r="A11" i="5"/>
  <c r="A16" i="5"/>
  <c r="A8" i="5"/>
  <c r="A10" i="5"/>
  <c r="A12" i="5"/>
  <c r="A9" i="5"/>
  <c r="A22" i="5"/>
  <c r="A21" i="5"/>
  <c r="A17" i="2"/>
  <c r="D27" i="2"/>
  <c r="J8" i="2"/>
  <c r="J19" i="2"/>
  <c r="D15" i="2"/>
  <c r="J10" i="2"/>
  <c r="J7" i="2"/>
  <c r="D14" i="2"/>
  <c r="J11" i="2"/>
  <c r="J13" i="2"/>
  <c r="D7" i="2"/>
  <c r="D11" i="2"/>
  <c r="D20" i="2"/>
  <c r="D10" i="2"/>
  <c r="D19" i="2"/>
  <c r="J16" i="2"/>
  <c r="D8" i="2"/>
  <c r="J3" i="2"/>
  <c r="J17" i="2"/>
  <c r="J12" i="2"/>
  <c r="J5" i="2"/>
  <c r="J15" i="2"/>
  <c r="J6" i="2"/>
  <c r="J9" i="2"/>
  <c r="D3" i="2"/>
  <c r="J18" i="2"/>
  <c r="D16" i="2"/>
  <c r="D5" i="2"/>
  <c r="D18" i="2"/>
  <c r="D12" i="2"/>
  <c r="D4" i="2"/>
  <c r="D9" i="2"/>
  <c r="J14" i="2"/>
  <c r="D17" i="2"/>
  <c r="J4" i="2"/>
  <c r="D6" i="2"/>
  <c r="E27" i="2" l="1"/>
  <c r="A24" i="5"/>
  <c r="E20" i="2"/>
  <c r="A15" i="5"/>
  <c r="K3" i="2"/>
  <c r="L3" i="2" s="1"/>
  <c r="A19" i="5"/>
  <c r="A7" i="5"/>
  <c r="A25"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D25" i="2"/>
  <c r="J24" i="2"/>
  <c r="J23" i="2"/>
  <c r="J21" i="2"/>
  <c r="D23" i="2"/>
  <c r="D22" i="2"/>
  <c r="D21" i="2"/>
  <c r="J22" i="2"/>
  <c r="J20"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23" i="5" s="1"/>
  <c r="F4" i="2"/>
  <c r="F16" i="2"/>
  <c r="F12" i="2"/>
  <c r="F26" i="2"/>
  <c r="G26" i="2" s="1"/>
  <c r="H26" i="2" s="1"/>
  <c r="B25" i="5" s="1"/>
  <c r="F19" i="2"/>
  <c r="F6" i="2"/>
  <c r="F21" i="2"/>
  <c r="F25" i="2"/>
  <c r="F14" i="2"/>
  <c r="F22" i="2"/>
  <c r="F15" i="2"/>
  <c r="F9" i="2"/>
  <c r="F20" i="2"/>
  <c r="F11" i="2"/>
  <c r="F7" i="2"/>
  <c r="F18" i="2"/>
  <c r="F27" i="2"/>
  <c r="G27" i="2" s="1"/>
  <c r="M27" i="2" s="1"/>
  <c r="C26" i="5" s="1"/>
  <c r="F24" i="2"/>
  <c r="F10" i="2"/>
  <c r="F13" i="2"/>
  <c r="F17" i="2"/>
  <c r="G25" i="2" l="1"/>
  <c r="H25" i="2" s="1"/>
  <c r="B24" i="5" s="1"/>
  <c r="M3" i="2"/>
  <c r="C23" i="5" s="1"/>
  <c r="G22" i="2"/>
  <c r="M22" i="2" s="1"/>
  <c r="C15" i="5" s="1"/>
  <c r="G7" i="2"/>
  <c r="H7" i="2" s="1"/>
  <c r="B14" i="5" s="1"/>
  <c r="M26" i="2"/>
  <c r="C25" i="5" s="1"/>
  <c r="G24" i="2"/>
  <c r="M24" i="2" s="1"/>
  <c r="C21" i="5" s="1"/>
  <c r="G15" i="2"/>
  <c r="M15" i="2" s="1"/>
  <c r="C16" i="5" s="1"/>
  <c r="H27" i="2"/>
  <c r="G19" i="2"/>
  <c r="M19" i="2" s="1"/>
  <c r="C9" i="5" s="1"/>
  <c r="G21" i="2"/>
  <c r="M21" i="2" s="1"/>
  <c r="C19" i="5" s="1"/>
  <c r="G10" i="2"/>
  <c r="M10" i="2" s="1"/>
  <c r="C13" i="5" s="1"/>
  <c r="G23" i="2"/>
  <c r="G8" i="2"/>
  <c r="M8" i="2" s="1"/>
  <c r="C5" i="5" s="1"/>
  <c r="G12" i="2"/>
  <c r="M12" i="2" s="1"/>
  <c r="C3" i="5" s="1"/>
  <c r="G17" i="2"/>
  <c r="M17" i="2" s="1"/>
  <c r="C10" i="5" s="1"/>
  <c r="G6" i="2"/>
  <c r="M6" i="2" s="1"/>
  <c r="C2" i="5" s="1"/>
  <c r="G13" i="2"/>
  <c r="H13" i="2" s="1"/>
  <c r="B20" i="5" s="1"/>
  <c r="G16" i="2"/>
  <c r="H16" i="2" s="1"/>
  <c r="B8" i="5" s="1"/>
  <c r="G20" i="2"/>
  <c r="G5" i="2"/>
  <c r="H5" i="2" s="1"/>
  <c r="B6" i="5" s="1"/>
  <c r="G14" i="2"/>
  <c r="H14" i="2" s="1"/>
  <c r="B4" i="5" s="1"/>
  <c r="G4" i="2"/>
  <c r="M4" i="2" s="1"/>
  <c r="C17" i="5" s="1"/>
  <c r="G11" i="2"/>
  <c r="H11" i="2" s="1"/>
  <c r="B11" i="5" s="1"/>
  <c r="G9" i="2"/>
  <c r="H9" i="2" s="1"/>
  <c r="B18" i="5" s="1"/>
  <c r="G18" i="2"/>
  <c r="M18" i="2" s="1"/>
  <c r="C12" i="5" s="1"/>
  <c r="B26" i="5" l="1"/>
  <c r="A86" i="5" s="1"/>
  <c r="Y41" i="5"/>
  <c r="C98" i="5"/>
  <c r="M25" i="2"/>
  <c r="C24" i="5" s="1"/>
  <c r="X88" i="5" s="1"/>
  <c r="M7" i="2"/>
  <c r="C14" i="5" s="1"/>
  <c r="H12" i="2"/>
  <c r="H4" i="2"/>
  <c r="B17" i="5" s="1"/>
  <c r="M16" i="2"/>
  <c r="C8" i="5" s="1"/>
  <c r="H10" i="2"/>
  <c r="B13" i="5" s="1"/>
  <c r="H22" i="2"/>
  <c r="B15" i="5" s="1"/>
  <c r="H15" i="2"/>
  <c r="B16" i="5" s="1"/>
  <c r="M5" i="2"/>
  <c r="C6" i="5" s="1"/>
  <c r="M14" i="2"/>
  <c r="C4" i="5" s="1"/>
  <c r="Z92" i="5" s="1"/>
  <c r="H18" i="2"/>
  <c r="B12" i="5" s="1"/>
  <c r="H17" i="2"/>
  <c r="B10" i="5" s="1"/>
  <c r="M11" i="2"/>
  <c r="C11" i="5" s="1"/>
  <c r="H6" i="2"/>
  <c r="B2" i="5" s="1"/>
  <c r="A44" i="5" s="1"/>
  <c r="H19" i="2"/>
  <c r="B9" i="5" s="1"/>
  <c r="H21" i="2"/>
  <c r="B19" i="5" s="1"/>
  <c r="M13" i="2"/>
  <c r="C20" i="5" s="1"/>
  <c r="H24" i="2"/>
  <c r="B21" i="5" s="1"/>
  <c r="M23" i="2"/>
  <c r="C22" i="5" s="1"/>
  <c r="T79" i="5" s="1"/>
  <c r="H23" i="2"/>
  <c r="B22" i="5" s="1"/>
  <c r="M9" i="2"/>
  <c r="C18" i="5" s="1"/>
  <c r="H8" i="2"/>
  <c r="B5" i="5" s="1"/>
  <c r="M20" i="2"/>
  <c r="C7" i="5" s="1"/>
  <c r="H20" i="2"/>
  <c r="B7" i="5" s="1"/>
  <c r="V84" i="5" l="1"/>
  <c r="R76" i="5"/>
  <c r="V83" i="5"/>
  <c r="C96" i="5"/>
  <c r="B3" i="5"/>
  <c r="H41" i="5" s="1"/>
  <c r="W41" i="5"/>
  <c r="R41" i="5"/>
  <c r="Z41" i="5"/>
  <c r="N41" i="5"/>
  <c r="N67" i="5"/>
  <c r="C45" i="5"/>
  <c r="W86" i="5"/>
  <c r="C99" i="5"/>
  <c r="W85" i="5"/>
  <c r="C41" i="5"/>
  <c r="D41" i="5"/>
  <c r="G53" i="5"/>
  <c r="G41" i="5"/>
  <c r="I41" i="5"/>
  <c r="K41" i="5"/>
  <c r="S77" i="5"/>
  <c r="K62" i="5"/>
  <c r="S78" i="5"/>
  <c r="O70" i="5"/>
  <c r="O69" i="5"/>
  <c r="L63" i="5"/>
  <c r="L41" i="5"/>
  <c r="J60" i="5"/>
  <c r="J59" i="5"/>
  <c r="U41" i="5"/>
  <c r="F41" i="5"/>
  <c r="O41" i="5"/>
  <c r="S41" i="5"/>
  <c r="B41" i="5"/>
  <c r="Q41" i="5"/>
  <c r="V41" i="5"/>
  <c r="M41" i="5"/>
  <c r="T41" i="5"/>
  <c r="E41" i="5"/>
  <c r="A45" i="5"/>
  <c r="A46" i="5" s="1"/>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P41" i="5" l="1"/>
  <c r="J41" i="5"/>
  <c r="C97" i="5"/>
  <c r="X41" i="5"/>
  <c r="A47" i="5"/>
  <c r="A48" i="5" s="1"/>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<sst xmlns="http://schemas.openxmlformats.org/spreadsheetml/2006/main" count="190" uniqueCount="104">
  <si>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</si>
  <si>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</si>
  <si>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</si>
  <si>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</si>
  <si>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</si>
  <si>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</si>
  <si>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</si>
  <si>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DisabledPolicyGroup=Reduce F-gases</t>
  </si>
  <si>
    <t>DisabledPolicyGroup=Methane Capture and Destruction</t>
  </si>
  <si>
    <t>Disabled Policy Group</t>
  </si>
  <si>
    <t>This is the width of each box.</t>
  </si>
  <si>
    <t>Cost or Savings Attributable to This Policy Group</t>
  </si>
  <si>
    <t>Cost or Savings per Ton Abated (in Dollars per Ton)</t>
  </si>
  <si>
    <t>This is the height of each box.</t>
  </si>
  <si>
    <t>DisabledPolicyGroup=All</t>
  </si>
  <si>
    <t>DisabledPolicies=All</t>
  </si>
  <si>
    <t>Number of Years in Model Run</t>
  </si>
  <si>
    <t>DisabledPolicyGroup=Carbon Tax</t>
  </si>
  <si>
    <t>Settings</t>
  </si>
  <si>
    <t>First simulated year</t>
  </si>
  <si>
    <t>Final Year in Cost Curve</t>
  </si>
  <si>
    <t>Source Data Tab Name</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</si>
  <si>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</si>
  <si>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</si>
  <si>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</si>
  <si>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</si>
  <si>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</si>
  <si>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</si>
  <si>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</si>
  <si>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</si>
  <si>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</si>
  <si>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</si>
  <si>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</si>
  <si>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</si>
  <si>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</si>
  <si>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</si>
  <si>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</si>
  <si>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</si>
  <si>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</si>
  <si>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</si>
  <si>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</si>
  <si>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</si>
  <si>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</si>
  <si>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</si>
  <si>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</si>
  <si>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</si>
  <si>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</si>
  <si>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</si>
  <si>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</si>
  <si>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</si>
  <si>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</si>
  <si>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</si>
  <si>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</si>
  <si>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</si>
  <si>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</si>
  <si>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</si>
  <si>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</si>
  <si>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</si>
  <si>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</si>
  <si>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</si>
  <si>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</si>
  <si>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</si>
  <si>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</si>
  <si>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</si>
  <si>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</si>
  <si>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</si>
  <si>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</si>
  <si>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</si>
  <si>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</si>
  <si>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DisabledPolicies=Transportation Demand Management - Passengers, Transportation Demand Management - Freight</t>
  </si>
  <si>
    <t>DisabledPolicies=Building Energy Efficiency Standards - Urban Residential Heating, Building Energy Efficiency Standards - Urban Residential Cooling and Ventilation, Building Energy Efficiency Standards - Urban Residential Envelope, Building Energy Efficiency Standards - Urban Residential Lighting, Building Energy Efficiency Standards - Urban Residential Appliances, Building Energy Efficiency Standards - Urban Residential Other Components, Building Energy Efficiency Standards - Rural Residential Heating, Building Energy Efficiency Standards - Rural Residential Cooling and Ventilation, Building Energy Efficiency Standards - Rural Residential Envelope, Building Energy Efficiency Standards - Rural Residential Lighting, Building Energy Efficiency Standards - Rural Residential Appliances, Building Energy Efficiency Standards - Rural Residential Other Components, Building Energy Efficiency Standards - Commercial Heating, Building Energy Efficiency Standards - Commercial Cooling and Ventilation, Building Energy Efficiency Standards - Commercial Envelope, Building Energy Efficiency Standards - Commercial Lighting, Building Energy Efficiency Standards - Commercial Appliances, Building Energy Efficiency Standards - Commercial Other Components</t>
  </si>
  <si>
    <t>DisabledPolicies=Methane Capture, Methane Destruction</t>
  </si>
  <si>
    <t>DisabledPolicies=Reduce F-gases</t>
  </si>
  <si>
    <t>Output First Year NPV of CapEx and OpEx through This Year with Revenue Neutral Taxes and Subsidies</t>
  </si>
  <si>
    <t>First Year NPV of CapEx and OpEx through This Year</t>
  </si>
  <si>
    <t>DisabledPolicyGroup=ZEV Sales Mandate</t>
  </si>
  <si>
    <t>DisabledPolicies=Electric Vehicle Sales Mandate - Passenger LDVs, Electric Vehicle Sales Mandate - Freight LDVs, Electric Vehicle Sales Mandate - Passenger HDVs, Electric Vehicle Sales Mandate - Freight HDVs, Electric Vehicle Sales Mandate - Passenger Motorbikes, Electric Vehicle Sales Mandate - Passenger Rail, Electric Vehicle Sales Mandate - Freight Rail, Hydrogen Vehicle Sales Mandate - Freight HDVs</t>
  </si>
  <si>
    <t>DisabledPolicies=Fuel Economy Standard - Passenger LDVs, Fuel Economy Standard - Freight LDVs, Fuel Economy Standard - Passenger HDVs, Fuel Economy Standard - Freight HDVs, Fuel Economy Standard - Passenger Aircraft, Fuel Economy Standard - Freight Aircraft, Fuel Economy Standard - Passenger Rail, Fuel Economy Standard - Freight Rail, Fuel Economy Standard - Passenger Ships, Fuel Economy Standard - Freight Ships, Fuel Economy Standard - Passenger Motorbikes</t>
  </si>
  <si>
    <t>DisabledPolicyGroup=Building Component Electrification</t>
  </si>
  <si>
    <t>DisabledPolicies=Building Component Electrification - Urban Residential Heating, Building Component Electrification - Urban Residential Appliances, Building Component Electrification - Urban Residential Other Components, Building Component Electrification - Rural Residential Heating, Building Component Electrification - Rural Residential Appliances, Building Component Electrification - Rural Residential Other Components, Building Component Electrification - Commercial Heating, Building Component Electrification - Commercial Appliances, Building Component Electrification - Commercial Other Components</t>
  </si>
  <si>
    <t>DisabledPolicyGroup=Increased Retrofitting</t>
  </si>
  <si>
    <t>DisabledPolicies=Retrofit Existing Buildings - Urban Residential, Retrofit Existing Buildings - Rural Residential, Retrofit Existing Buildings - Commercial</t>
  </si>
  <si>
    <t>DisabledPolicyGroup=CES and Supporting Policies</t>
  </si>
  <si>
    <t>DisabledPolicies=Demand Response, Grid-Scale Electricity Storage, Increase Transmission, Clean Energy Standard</t>
  </si>
  <si>
    <t>DisabledPolicyGroup=Industry Energy Efficiency</t>
  </si>
  <si>
    <t>DisabledPolicyGroup=Industrial Electrification</t>
  </si>
  <si>
    <t>DisabledPolicies=Industrial Electrification - Cement Industry Coal Use, Industrial Electrification - Cement Industry Natural Gas Use, Industrial Electrification - Cement Industry Petroleum Use, Industrial Electrification - Cement Industry Heavy or Residual Fuel Oil Use, Industrial Electrification - Cement Industry LPG Use, Industrial Electrification - Natural Gas and Petroleum Industry Coal Use, Industrial Electrification - Natural Gas and Petroleum Industry Natural Gas Use, Industrial Electrification - Natural Gas and Petroleum Industry Petroleum Use, Industrial Electrification - Natural Gas and Petroleum Industry Crude Use, Industrial Electrification - Natural Gas and Petroleum Industry Biomass Use, Industrial Electrification - Iron and Steel Industry Coal Use, Industrial Electrification - Iron and Steel Industry Natural Gas Use, Industrial Electrification - Iron and Steel Industry Petroleum Use, Industrial Electrification - Iron and Steel Industry Heavy or Residual Fuel Oil Use, Industrial Electrification - Iron and Steel Industry LPG Use, Industrial Electrification - Chemicals Industry Coal Use, Industrial Electrification - Chemicals Industry Natural Gas Use, Industrial Electrification - Chemicals Industry Petroleum Use, Industrial Electrification - Chemicals Industry Heavy or Residual Fuel Oil Use, Industrial Electrification - Chemicals Industry LPG Use, Industrial Electrification - Mining Industry Coal Use, Industrial Electrification - Mining Industry Natural Gas Use, Industrial Electrification - Mining Industry Petroleum Use, Industrial Electrification - Mining Industry Heavy or Residual Fuel Oil Use, Industrial Electrification - Agriculture Natural Gas Use, Industrial Electrification - Agriculture Petroleum Use, Industrial Electrification - Agriculture Heavy or Residual Fuel Oil Use, Industrial Electrification - Agriculture LPG Use, Industrial Electrification - Other Industries Coal Use, Industrial Electrification - Other Industries Natural Gas Use, Industrial Electrification - Other Industries Petroleum Use, Industrial Electrification - Other Industries Heavy or Residual Fuel Oil Use, Industrial Electrification - Other Industries LPG Use</t>
  </si>
  <si>
    <t>DisabledPolicyGroup=Material Efficiency, Longevity, n Re-Use</t>
  </si>
  <si>
    <t>DisabledPolicies=Material Efficiency, Longevity, n Re-Use - Cement Industry, Material Efficiency, Longevity, n Re-Use - Iron and Steel Industry, Material Efficiency, Longevity, n Re-Use - Chemicals Industry, Material Efficiency, Longevity, n Re-Use - Other Industries</t>
  </si>
  <si>
    <t>DisabledPolicyGroup=Land Use Policies</t>
  </si>
  <si>
    <t>DisabledPolicyGroup=Reduce Agriculture Process Emissions</t>
  </si>
  <si>
    <t>DisabledPolicyGroup=Shift to Non-Animal Products</t>
  </si>
  <si>
    <t>DisabledPolicies=Shift to Non-Animal Products</t>
  </si>
  <si>
    <t>DisabledPolicyGroup=Hydrogen Electrolysis</t>
  </si>
  <si>
    <t>DisabledPolicies=Shift Hydrogen Production to Electrolysis</t>
  </si>
  <si>
    <t>DisabledPolicyGroup=Cement Clinker Substitution</t>
  </si>
  <si>
    <t>DisabledPolicies=Cement Clinker Substitution</t>
  </si>
  <si>
    <t>DisabledPolicies=Industry Energy Efficiency Standards - Cement Industry, Industry Energy Efficiency Standards - Natural Gas and Petroleum Industry, Industry Energy Efficiency Standards - Iron and Steel Industry, Industry Energy Efficiency Standards - Chemicals Industry, Industry Energy Efficiency Standards - Mining Industry, Industry Energy Efficiency Standards - Water n Waste, Industry Energy Efficiency Standards - Agriculture, Industry Energy Efficiency Standards - Other Industries</t>
  </si>
  <si>
    <t>DisabledPolicyGroup=Worker Training</t>
  </si>
  <si>
    <t>DisabledPolicies=Worker Training</t>
  </si>
  <si>
    <t>DisabledPolicies=Afforestation and Reforestation, Improved Forest Management</t>
  </si>
  <si>
    <t>DisabledPolicies=Cropland Management, Livestock Measures</t>
  </si>
  <si>
    <t>DisabledPolicies=Carbon Tax - Industry Sector</t>
  </si>
  <si>
    <t>2.0.0-us-NetZero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</si>
</sst>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1" fontId="0" fillId="0" borderId="16" xfId="0" applyNumberFormat="1"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0" fillId="0" borderId="17" xfId="0" applyBorder="1" applyAlignment="1">
      <alignment horizontal="righ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-991.18937744507002</c:v>
                </c:pt>
                <c:pt idx="2">
                  <c:v>-991.18937744507002</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Industry Energy Efficiency</c:v>
                </c:pt>
              </c:strCache>
            </c:strRef>
          </c:tx>
          <c:spPr>
            <a:solidFill>
              <a:schemeClr val="accent2"/>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-393.02909467369363</c:v>
                </c:pt>
                <c:pt idx="4" formatCode="0.00">
                  <c:v>-393.02909467369363</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Material Efficiency, Longevity, n Re-Use</c:v>
                </c:pt>
              </c:strCache>
            </c:strRef>
          </c:tx>
          <c:spPr>
            <a:solidFill>
              <a:schemeClr val="accent3"/>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-233.78643174155746</c:v>
                </c:pt>
                <c:pt idx="6" formatCode="0.00">
                  <c:v>-233.78643174155746</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Building Energy Efficiency Standards</c:v>
                </c:pt>
              </c:strCache>
            </c:strRef>
          </c:tx>
          <c:spPr>
            <a:solidFill>
              <a:schemeClr val="accent4"/>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-226.44361151867682</c:v>
                </c:pt>
                <c:pt idx="8" formatCode="0.00">
                  <c:v>-226.44361151867682</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Vehicle Fuel Economy Standards</c:v>
                </c:pt>
              </c:strCache>
            </c:strRef>
          </c:tx>
          <c:spPr>
            <a:solidFill>
              <a:schemeClr val="accent5"/>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-130.48476048382798</c:v>
                </c:pt>
                <c:pt idx="10" formatCode="0.00">
                  <c:v>-130.48476048382798</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Shift to Non-Animal Products</c:v>
                </c:pt>
              </c:strCache>
            </c:strRef>
          </c:tx>
          <c:spPr>
            <a:solidFill>
              <a:schemeClr val="accent6"/>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-11.909659817473649</c:v>
                </c:pt>
                <c:pt idx="12" formatCode="0.00">
                  <c:v>-11.909659817473649</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Reduce F-gases</c:v>
                </c:pt>
              </c:strCache>
            </c:strRef>
          </c:tx>
          <c:spPr>
            <a:solidFill>
              <a:schemeClr val="accent1">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-1.1954366853504876</c:v>
                </c:pt>
                <c:pt idx="14" formatCode="0.00">
                  <c:v>-1.1954366853504876</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Reduce Agriculture Process Emissions</c:v>
                </c:pt>
              </c:strCache>
            </c:strRef>
          </c:tx>
          <c:spPr>
            <a:solidFill>
              <a:schemeClr val="accent2">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-0.69813502424468499</c:v>
                </c:pt>
                <c:pt idx="16" formatCode="0.00">
                  <c:v>-0.69813502424468499</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Worker Training</c:v>
                </c:pt>
              </c:strCache>
            </c:strRef>
          </c:tx>
          <c:spPr>
            <a:solidFill>
              <a:schemeClr val="accent3">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-0.21284604397703807</c:v>
                </c:pt>
                <c:pt idx="18" formatCode="0.00">
                  <c:v>-0.21284604397703807</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Cement Clinker Substitution</c:v>
                </c:pt>
              </c:strCache>
            </c:strRef>
          </c:tx>
          <c:spPr>
            <a:solidFill>
              <a:schemeClr val="accent4">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1.415138562658145</c:v>
                </c:pt>
                <c:pt idx="20" formatCode="0.00">
                  <c:v>1.415138562658145</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Land Use Policies</c:v>
                </c:pt>
              </c:strCache>
            </c:strRef>
          </c:tx>
          <c:spPr>
            <a:solidFill>
              <a:schemeClr val="accent5">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9.2293842553597916</c:v>
                </c:pt>
                <c:pt idx="22" formatCode="0.00">
                  <c:v>9.2293842553597916</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pt idx="0">
                  <c:v>CES and Supporting Policies</c:v>
                </c:pt>
              </c:strCache>
            </c:strRef>
          </c:tx>
          <c:spPr>
            <a:solidFill>
              <a:schemeClr val="accent6">
                <a:lumMod val="6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14.194984585866626</c:v>
                </c:pt>
                <c:pt idx="24" formatCode="0.00">
                  <c:v>14.194984585866626</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pt idx="0">
                  <c:v>Building Component Electrification</c:v>
                </c:pt>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19.425095862875121</c:v>
                </c:pt>
                <c:pt idx="26" formatCode="0.00">
                  <c:v>19.425095862875121</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pt idx="0">
                  <c:v>Carbon Tax</c:v>
                </c:pt>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29.738738695098263</c:v>
                </c:pt>
                <c:pt idx="28" formatCode="0.00">
                  <c:v>29.738738695098263</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pt idx="0">
                  <c:v>Methane Capture and Destruction</c:v>
                </c:pt>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36.388705142510496</c:v>
                </c:pt>
                <c:pt idx="30" formatCode="0.00">
                  <c:v>36.388705142510496</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pt idx="0">
                  <c:v>ZEV Sales Mandate</c:v>
                </c:pt>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59.995978646027609</c:v>
                </c:pt>
                <c:pt idx="32" formatCode="0.00">
                  <c:v>59.995978646027609</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pt idx="0">
                  <c:v>Increased Retrofitting</c:v>
                </c:pt>
              </c:strCache>
              <c:extLst xmlns:c15="http://schemas.microsoft.com/office/drawing/2012/chart"/>
            </c:strRef>
          </c:tx>
          <c:spPr>
            <a:solidFill>
              <a:schemeClr val="accent5">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Curve'!$R$42:$R$93</c:f>
              <c:numCache>
                <c:formatCode>General</c:formatCode>
                <c:ptCount val="52"/>
                <c:pt idx="33">
                  <c:v>1075.8791913302953</c:v>
                </c:pt>
                <c:pt idx="34">
                  <c:v>1075.8791913302953</c:v>
                </c:pt>
              </c:numCache>
              <c:extLst xmlns:c15="http://schemas.microsoft.com/office/drawing/2012/chart"/>
            </c:numRef>
          </c:val>
          <c:extLst xmlns:c15="http://schemas.microsoft.com/office/drawing/2012/chart">
            <c:ext xmlns:c16="http://schemas.microsoft.com/office/drawing/2014/chart" uri="{C3380CC4-5D6E-409C-BE32-E72D297353CC}">
              <c16:uniqueId val="{00000010-492B-49FD-90E0-AB2E19DD36BE}"/>
            </c:ext>
          </c:extLst>
        </c:ser>
        <c:ser>
          <c:idx val="17"/>
          <c:order val="17"/>
          <c:tx>
            <c:strRef>
              <c:f>'Cost Curve'!$S$41</c:f>
              <c:strCache>
                <c:ptCount val="1"/>
                <c:pt idx="0">
                  <c:v>Hydrogen Electrolysis</c:v>
                </c:pt>
              </c:strCache>
              <c:extLst xmlns:c15="http://schemas.microsoft.com/office/drawing/2012/chart"/>
            </c:strRef>
          </c:tx>
          <c:spPr>
            <a:solidFill>
              <a:schemeClr val="accent6">
                <a:lumMod val="80000"/>
                <a:lumOff val="2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Curve'!$S$42:$S$93</c:f>
              <c:numCache>
                <c:formatCode>General</c:formatCode>
                <c:ptCount val="52"/>
                <c:pt idx="35">
                  <c:v>1097.0641722854475</c:v>
                </c:pt>
                <c:pt idx="36">
                  <c:v>1097.0641722854475</c:v>
                </c:pt>
              </c:numCache>
              <c:extLst xmlns:c15="http://schemas.microsoft.com/office/drawing/2012/chart"/>
            </c:numRef>
          </c:val>
          <c:extLst xmlns:c15="http://schemas.microsoft.com/office/drawing/2012/chart">
            <c:ext xmlns:c16="http://schemas.microsoft.com/office/drawing/2014/chart" uri="{C3380CC4-5D6E-409C-BE32-E72D297353CC}">
              <c16:uniqueId val="{00000011-492B-49FD-90E0-AB2E19DD36BE}"/>
            </c:ext>
          </c:extLst>
        </c:ser>
        <c:ser>
          <c:idx val="18"/>
          <c:order val="18"/>
          <c:tx>
            <c:strRef>
              <c:f>'Cost Curve'!$T$41</c:f>
              <c:strCache>
                <c:ptCount val="1"/>
                <c:pt idx="0">
                  <c:v>Industrial Electrification</c:v>
                </c:pt>
              </c:strCache>
              <c:extLst xmlns:c15="http://schemas.microsoft.com/office/drawing/2012/chart"/>
            </c:strRef>
          </c:tx>
          <c:spPr>
            <a:solidFill>
              <a:schemeClr val="accent1">
                <a:lumMod val="80000"/>
              </a:schemeClr>
            </a:solidFill>
            <a:ln>
              <a:noFill/>
            </a:ln>
            <a:effectLst/>
          </c:spPr>
          <c:cat>
            <c:numRef>
              <c:f>'Cost Curve'!$A$42:$A$93</c:f>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extLst xmlns:c15="http://schemas.microsoft.com/office/drawing/2012/chart"/>
            </c:numRef>
          </c:cat>
          <c:val>
            <c:numRef>
              <c:f>'Cost Curve'!$T$42:$T$93</c:f>
              <c:numCache>
                <c:formatCode>General</c:formatCode>
                <c:ptCount val="52"/>
                <c:pt idx="37">
                  <c:v>1420.6981352685989</c:v>
                </c:pt>
                <c:pt idx="38">
                  <c:v>1420.6981352685989</c:v>
                </c:pt>
              </c:numCache>
              <c:extLst xmlns:c15="http://schemas.microsoft.com/office/drawing/2012/chart"/>
            </c:numRef>
          </c:val>
          <c:extLst xmlns:c15="http://schemas.microsoft.com/office/drawing/2012/chart">
            <c:ext xmlns:c16="http://schemas.microsoft.com/office/drawing/2014/chart" uri="{C3380CC4-5D6E-409C-BE32-E72D297353CC}">
              <c16:uniqueId val="{00000012-492B-49FD-90E0-AB2E19DD36BE}"/>
            </c:ext>
          </c:extLst>
        </c:ser>
        <c:dLbls>
          <c:showLegendKey val="0"/>
          <c:showVal val="0"/>
          <c:showCatName val="0"/>
          <c:showSerName val="0"/>
          <c:showPercent val="0"/>
          <c:showBubbleSize val="0"/>
        </c:dLbls>
        <c:axId val="68441600"/>
        <c:axId val="68443136"/>
        <c:extLst>
          <c:ext xmlns:c15="http://schemas.microsoft.com/office/drawing/2012/chart" uri="{02D57815-91ED-43cb-92C2-25804820EDAC}">
            <c15:filteredAreaSeries>
              <c15:ser>
                <c:idx val="19"/>
                <c:order val="19"/>
                <c:tx>
                  <c:strRef>
                    <c:extLst>
                      <c:ext uri="{02D57815-91ED-43cb-92C2-25804820EDAC}">
                        <c15:formulaRef>
                          <c15:sqref>'Cost Curve'!$U$41</c15:sqref>
                        </c15:formulaRef>
                      </c:ext>
                    </c:extLst>
                    <c:strCache>
                      <c:ptCount val="1"/>
                    </c:strCache>
                  </c:strRef>
                </c:tx>
                <c:spPr>
                  <a:solidFill>
                    <a:schemeClr val="accent2">
                      <a:lumMod val="80000"/>
                    </a:schemeClr>
                  </a:solidFill>
                  <a:ln>
                    <a:noFill/>
                  </a:ln>
                  <a:effectLst/>
                </c:spPr>
                <c:cat>
                  <c:numRef>
                    <c:extLst>
                      <c:ex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c:ext uri="{02D57815-91ED-43cb-92C2-25804820EDAC}">
                        <c15:formulaRef>
                          <c15:sqref>'Cost Curve'!$U$42:$U$93</c15:sqref>
                        </c15:formulaRef>
                      </c:ext>
                    </c:extLst>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15:ser>
            </c15:filteredAreaSeries>
            <c15:filteredAreaSeries>
              <c15:ser>
                <c:idx val="20"/>
                <c:order val="20"/>
                <c:tx>
                  <c:strRef>
                    <c:extLst xmlns:c15="http://schemas.microsoft.com/office/drawing/2012/chart">
                      <c:ext xmlns:c15="http://schemas.microsoft.com/office/drawing/2012/chart" uri="{02D57815-91ED-43cb-92C2-25804820EDAC}">
                        <c15:formulaRef>
                          <c15:sqref>'Cost Curve'!$V$41</c15:sqref>
                        </c15:formulaRef>
                      </c:ext>
                    </c:extLst>
                    <c:strCache>
                      <c:ptCount val="1"/>
                    </c:strCache>
                  </c:strRef>
                </c:tx>
                <c:spPr>
                  <a:solidFill>
                    <a:schemeClr val="accent3">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Curve'!$V$42:$V$93</c15:sqref>
                        </c15:formulaRef>
                      </c:ext>
                    </c:extLst>
                    <c:numCache>
                      <c:formatCode>General</c:formatCode>
                      <c:ptCount val="52"/>
                      <c:pt idx="41" formatCode="0.00">
                        <c:v>#N/A</c:v>
                      </c:pt>
                      <c:pt idx="42" formatCode="0.00">
                        <c:v>#N/A</c:v>
                      </c:pt>
                    </c:numCache>
                  </c:numRef>
                </c:val>
                <c:extLst xmlns:c15="http://schemas.microsoft.com/office/drawing/2012/chart">
                  <c:ext xmlns:c16="http://schemas.microsoft.com/office/drawing/2014/chart" uri="{C3380CC4-5D6E-409C-BE32-E72D297353CC}">
                    <c16:uniqueId val="{00000014-492B-49FD-90E0-AB2E19DD36BE}"/>
                  </c:ext>
                </c:extLst>
              </c15:ser>
            </c15:filteredAreaSeries>
            <c15:filteredAreaSeries>
              <c15:ser>
                <c:idx val="21"/>
                <c:order val="21"/>
                <c:tx>
                  <c:strRef>
                    <c:extLst xmlns:c15="http://schemas.microsoft.com/office/drawing/2012/chart">
                      <c:ext xmlns:c15="http://schemas.microsoft.com/office/drawing/2012/chart" uri="{02D57815-91ED-43cb-92C2-25804820EDAC}">
                        <c15:formulaRef>
                          <c15:sqref>'Cost Curve'!$W$41</c15:sqref>
                        </c15:formulaRef>
                      </c:ext>
                    </c:extLst>
                    <c:strCache>
                      <c:ptCount val="1"/>
                    </c:strCache>
                  </c:strRef>
                </c:tx>
                <c:spPr>
                  <a:solidFill>
                    <a:schemeClr val="accent4">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Curve'!$W$42:$W$93</c15:sqref>
                        </c15:formulaRef>
                      </c:ext>
                    </c:extLst>
                    <c:numCache>
                      <c:formatCode>General</c:formatCode>
                      <c:ptCount val="52"/>
                      <c:pt idx="43" formatCode="0.00">
                        <c:v>#N/A</c:v>
                      </c:pt>
                      <c:pt idx="44" formatCode="0.00">
                        <c:v>#N/A</c:v>
                      </c:pt>
                    </c:numCache>
                  </c:numRef>
                </c:val>
                <c:extLst xmlns:c15="http://schemas.microsoft.com/office/drawing/2012/chart">
                  <c:ext xmlns:c16="http://schemas.microsoft.com/office/drawing/2014/chart" uri="{C3380CC4-5D6E-409C-BE32-E72D297353CC}">
                    <c16:uniqueId val="{00000015-492B-49FD-90E0-AB2E19DD36BE}"/>
                  </c:ext>
                </c:extLst>
              </c15:ser>
            </c15:filteredAreaSeries>
            <c15:filteredAreaSeries>
              <c15:ser>
                <c:idx val="22"/>
                <c:order val="22"/>
                <c:tx>
                  <c:strRef>
                    <c:extLst xmlns:c15="http://schemas.microsoft.com/office/drawing/2012/chart">
                      <c:ext xmlns:c15="http://schemas.microsoft.com/office/drawing/2012/chart" uri="{02D57815-91ED-43cb-92C2-25804820EDAC}">
                        <c15:formulaRef>
                          <c15:sqref>'Cost Curve'!$X$41</c15:sqref>
                        </c15:formulaRef>
                      </c:ext>
                    </c:extLst>
                    <c:strCache>
                      <c:ptCount val="1"/>
                    </c:strCache>
                  </c:strRef>
                </c:tx>
                <c:spPr>
                  <a:solidFill>
                    <a:schemeClr val="accent5">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Curve'!$X$42:$X$93</c15:sqref>
                        </c15:formulaRef>
                      </c:ext>
                    </c:extLst>
                    <c:numCache>
                      <c:formatCode>General</c:formatCode>
                      <c:ptCount val="52"/>
                      <c:pt idx="45" formatCode="0.00">
                        <c:v>#N/A</c:v>
                      </c:pt>
                      <c:pt idx="46" formatCode="0.00">
                        <c:v>#N/A</c:v>
                      </c:pt>
                    </c:numCache>
                  </c:numRef>
                </c:val>
                <c:extLst xmlns:c15="http://schemas.microsoft.com/office/drawing/2012/chart">
                  <c:ext xmlns:c16="http://schemas.microsoft.com/office/drawing/2014/chart" uri="{C3380CC4-5D6E-409C-BE32-E72D297353CC}">
                    <c16:uniqueId val="{00000016-492B-49FD-90E0-AB2E19DD36BE}"/>
                  </c:ext>
                </c:extLst>
              </c15:ser>
            </c15:filteredAreaSeries>
            <c15:filteredAreaSeries>
              <c15:ser>
                <c:idx val="23"/>
                <c:order val="23"/>
                <c:tx>
                  <c:strRef>
                    <c:extLst xmlns:c15="http://schemas.microsoft.com/office/drawing/2012/chart">
                      <c:ext xmlns:c15="http://schemas.microsoft.com/office/drawing/2012/chart" uri="{02D57815-91ED-43cb-92C2-25804820EDAC}">
                        <c15:formulaRef>
                          <c15:sqref>'Cost Curve'!$Y$41</c15:sqref>
                        </c15:formulaRef>
                      </c:ext>
                    </c:extLst>
                    <c:strCache>
                      <c:ptCount val="1"/>
                    </c:strCache>
                  </c:strRef>
                </c:tx>
                <c:spPr>
                  <a:solidFill>
                    <a:schemeClr val="accent6">
                      <a:lumMod val="8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Curve'!$Y$42:$Y$93</c15:sqref>
                        </c15:formulaRef>
                      </c:ext>
                    </c:extLst>
                    <c:numCache>
                      <c:formatCode>General</c:formatCode>
                      <c:ptCount val="52"/>
                      <c:pt idx="47" formatCode="0.00">
                        <c:v>#N/A</c:v>
                      </c:pt>
                      <c:pt idx="48" formatCode="0.00">
                        <c:v>#N/A</c:v>
                      </c:pt>
                    </c:numCache>
                  </c:numRef>
                </c:val>
                <c:extLst xmlns:c15="http://schemas.microsoft.com/office/drawing/2012/chart">
                  <c:ext xmlns:c16="http://schemas.microsoft.com/office/drawing/2014/chart" uri="{C3380CC4-5D6E-409C-BE32-E72D297353CC}">
                    <c16:uniqueId val="{00000017-492B-49FD-90E0-AB2E19DD36BE}"/>
                  </c:ext>
                </c:extLst>
              </c15:ser>
            </c15:filteredAreaSeries>
            <c15:filteredAreaSeries>
              <c15:ser>
                <c:idx val="24"/>
                <c:order val="24"/>
                <c:tx>
                  <c:strRef>
                    <c:extLst xmlns:c15="http://schemas.microsoft.com/office/drawing/2012/chart">
                      <c:ext xmlns:c15="http://schemas.microsoft.com/office/drawing/2012/chart" uri="{02D57815-91ED-43cb-92C2-25804820EDAC}">
                        <c15:formulaRef>
                          <c15:sqref>'Cost Curve'!$Z$41</c15:sqref>
                        </c15:formulaRef>
                      </c:ext>
                    </c:extLst>
                    <c:strCache>
                      <c:ptCount val="1"/>
                    </c:strCache>
                  </c:strRef>
                </c:tx>
                <c:spPr>
                  <a:solidFill>
                    <a:schemeClr val="accent1">
                      <a:lumMod val="60000"/>
                      <a:lumOff val="40000"/>
                    </a:schemeClr>
                  </a:solidFill>
                  <a:ln>
                    <a:noFill/>
                  </a:ln>
                  <a:effectLst/>
                </c:spPr>
                <c:cat>
                  <c:numRef>
                    <c:extLst xmlns:c15="http://schemas.microsoft.com/office/drawing/2012/chart">
                      <c:ext xmlns:c15="http://schemas.microsoft.com/office/drawing/2012/chart" uri="{02D57815-91ED-43cb-92C2-25804820EDAC}">
                        <c15:formulaRef>
                          <c15:sqref>'Cost Curve'!$A$42:$A$93</c15:sqref>
                        </c15:formulaRef>
                      </c:ext>
                    </c:extLst>
                    <c:numCache>
                      <c:formatCode>0</c:formatCode>
                      <c:ptCount val="52"/>
                      <c:pt idx="0">
                        <c:v>0</c:v>
                      </c:pt>
                      <c:pt idx="1">
                        <c:v>0</c:v>
                      </c:pt>
                      <c:pt idx="2">
                        <c:v>9556.1960363370836</c:v>
                      </c:pt>
                      <c:pt idx="3">
                        <c:v>9556.1960363370836</c:v>
                      </c:pt>
                      <c:pt idx="4">
                        <c:v>25255.164888182997</c:v>
                      </c:pt>
                      <c:pt idx="5">
                        <c:v>25255.164888182997</c:v>
                      </c:pt>
                      <c:pt idx="6">
                        <c:v>58628.929461306441</c:v>
                      </c:pt>
                      <c:pt idx="7">
                        <c:v>58628.929461306441</c:v>
                      </c:pt>
                      <c:pt idx="8">
                        <c:v>65695.375294862388</c:v>
                      </c:pt>
                      <c:pt idx="9">
                        <c:v>65695.375294862388</c:v>
                      </c:pt>
                      <c:pt idx="10">
                        <c:v>67591.335700327516</c:v>
                      </c:pt>
                      <c:pt idx="11">
                        <c:v>67591.335700327516</c:v>
                      </c:pt>
                      <c:pt idx="12">
                        <c:v>86755.814597327655</c:v>
                      </c:pt>
                      <c:pt idx="13">
                        <c:v>86755.814597327655</c:v>
                      </c:pt>
                      <c:pt idx="14">
                        <c:v>97655.850701274641</c:v>
                      </c:pt>
                      <c:pt idx="15">
                        <c:v>97655.850701274641</c:v>
                      </c:pt>
                      <c:pt idx="16">
                        <c:v>100781.06016083255</c:v>
                      </c:pt>
                      <c:pt idx="17">
                        <c:v>100781.06016083255</c:v>
                      </c:pt>
                      <c:pt idx="18">
                        <c:v>101777.65473293602</c:v>
                      </c:pt>
                      <c:pt idx="19">
                        <c:v>101777.65473293602</c:v>
                      </c:pt>
                      <c:pt idx="20">
                        <c:v>102805.50139963506</c:v>
                      </c:pt>
                      <c:pt idx="21">
                        <c:v>102805.50139963506</c:v>
                      </c:pt>
                      <c:pt idx="22">
                        <c:v>112691.58065670326</c:v>
                      </c:pt>
                      <c:pt idx="23">
                        <c:v>112691.58065670326</c:v>
                      </c:pt>
                      <c:pt idx="24">
                        <c:v>156159.77178419876</c:v>
                      </c:pt>
                      <c:pt idx="25">
                        <c:v>156159.77178419876</c:v>
                      </c:pt>
                      <c:pt idx="26">
                        <c:v>176907.69014070823</c:v>
                      </c:pt>
                      <c:pt idx="27">
                        <c:v>176907.69014070823</c:v>
                      </c:pt>
                      <c:pt idx="28">
                        <c:v>191613.53687540576</c:v>
                      </c:pt>
                      <c:pt idx="29">
                        <c:v>191613.53687540576</c:v>
                      </c:pt>
                      <c:pt idx="30">
                        <c:v>200610.66766397748</c:v>
                      </c:pt>
                      <c:pt idx="31">
                        <c:v>200610.66766397748</c:v>
                      </c:pt>
                      <c:pt idx="32">
                        <c:v>233668.43883619006</c:v>
                      </c:pt>
                      <c:pt idx="33">
                        <c:v>233668.43883619006</c:v>
                      </c:pt>
                      <c:pt idx="34">
                        <c:v>237661.76203451407</c:v>
                      </c:pt>
                      <c:pt idx="35">
                        <c:v>237661.76203451407</c:v>
                      </c:pt>
                      <c:pt idx="36">
                        <c:v>243544.10072839307</c:v>
                      </c:pt>
                      <c:pt idx="37">
                        <c:v>243544.10072839307</c:v>
                      </c:pt>
                      <c:pt idx="38">
                        <c:v>259975.75757575757</c:v>
                      </c:pt>
                      <c:pt idx="39">
                        <c:v>259975.75757575757</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extLst xmlns:c15="http://schemas.microsoft.com/office/drawing/2012/chart">
                      <c:ext xmlns:c15="http://schemas.microsoft.com/office/drawing/2012/chart" uri="{02D57815-91ED-43cb-92C2-25804820EDAC}">
                        <c15:formulaRef>
                          <c15:sqref>'Cost Curve'!$Z$42:$Z$93</c15:sqref>
                        </c15:formulaRef>
                      </c:ext>
                    </c:extLst>
                    <c:numCache>
                      <c:formatCode>General</c:formatCode>
                      <c:ptCount val="52"/>
                      <c:pt idx="49" formatCode="0.00">
                        <c:v>#N/A</c:v>
                      </c:pt>
                      <c:pt idx="50" formatCode="0.00">
                        <c:v>#N/A</c:v>
                      </c:pt>
                    </c:numCache>
                  </c:numRef>
                </c:val>
                <c:extLst xmlns:c15="http://schemas.microsoft.com/office/drawing/2012/chart">
                  <c:ext xmlns:c16="http://schemas.microsoft.com/office/drawing/2014/chart" uri="{C3380CC4-5D6E-409C-BE32-E72D297353CC}">
                    <c16:uniqueId val="{00000018-492B-49FD-90E0-AB2E19DD36BE}"/>
                  </c:ext>
                </c:extLst>
              </c15:ser>
            </c15:filteredAreaSeries>
          </c:ext>
        </c:extLst>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$/ton CO2e abated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50"/>
  <sheetViews>
    <sheetView tabSelected="1" topLeftCell="A43" workbookViewId="0">
      <selection activeCell="A34" sqref="A34"/>
    </sheetView>
  </sheetViews>
  <sheetFormatPr defaultRowHeight="15" x14ac:dyDescent="0.25"/>
  <cols>
    <col min="1" max="1" width="102.85546875" customWidth="1"/>
  </cols>
  <sheetData>
    <row r="1" spans="1:1" x14ac:dyDescent="0.25">
      <c r="A1" s="14" t="s">
        <v>38</v>
      </c>
    </row>
    <row r="3" spans="1:1" x14ac:dyDescent="0.25">
      <c r="A3" t="s">
        <v>39</v>
      </c>
    </row>
    <row r="4" spans="1:1" x14ac:dyDescent="0.25">
      <c r="A4" t="s">
        <v>40</v>
      </c>
    </row>
    <row r="5" spans="1:1" x14ac:dyDescent="0.25">
      <c r="A5" t="s">
        <v>41</v>
      </c>
    </row>
    <row r="7" spans="1:1" x14ac:dyDescent="0.25">
      <c r="A7" t="s">
        <v>51</v>
      </c>
    </row>
    <row r="8" spans="1:1" x14ac:dyDescent="0.25">
      <c r="A8" t="s">
        <v>52</v>
      </c>
    </row>
    <row r="9" spans="1:1" x14ac:dyDescent="0.25">
      <c r="A9" t="s">
        <v>53</v>
      </c>
    </row>
    <row r="12" spans="1:1" x14ac:dyDescent="0.25">
      <c r="A12" s="14" t="s">
        <v>55</v>
      </c>
    </row>
    <row r="14" spans="1:1" x14ac:dyDescent="0.25">
      <c r="A14" t="s">
        <v>54</v>
      </c>
    </row>
    <row r="15" spans="1:1" x14ac:dyDescent="0.25">
      <c r="A15" t="s">
        <v>42</v>
      </c>
    </row>
    <row r="16" spans="1:1" x14ac:dyDescent="0.25">
      <c r="A16" t="s">
        <v>43</v>
      </c>
    </row>
    <row r="18" spans="1:1" x14ac:dyDescent="0.25">
      <c r="A18" t="s">
        <v>44</v>
      </c>
    </row>
    <row r="19" spans="1:1" x14ac:dyDescent="0.25">
      <c r="A19" t="s">
        <v>45</v>
      </c>
    </row>
    <row r="21" spans="1:1" x14ac:dyDescent="0.25">
      <c r="A21" t="s">
        <v>46</v>
      </c>
    </row>
    <row r="22" spans="1:1" x14ac:dyDescent="0.25">
      <c r="A22" t="s">
        <v>47</v>
      </c>
    </row>
    <row r="23" spans="1:1" x14ac:dyDescent="0.25">
      <c r="A23" t="s">
        <v>48</v>
      </c>
    </row>
    <row r="25" spans="1:1" x14ac:dyDescent="0.25">
      <c r="A25" t="s">
        <v>49</v>
      </c>
    </row>
    <row r="26" spans="1:1" x14ac:dyDescent="0.25">
      <c r="A26" t="s">
        <v>50</v>
      </c>
    </row>
    <row r="29" spans="1:1" x14ac:dyDescent="0.25">
      <c r="A29" s="14" t="s">
        <v>56</v>
      </c>
    </row>
    <row r="31" spans="1:1" x14ac:dyDescent="0.25">
      <c r="A31" t="s">
        <v>57</v>
      </c>
    </row>
    <row r="32" spans="1:1" x14ac:dyDescent="0.25">
      <c r="A32" t="s">
        <v>58</v>
      </c>
    </row>
    <row r="34" spans="1:1" x14ac:dyDescent="0.25">
      <c r="A34" t="s">
        <v>59</v>
      </c>
    </row>
    <row r="35" spans="1:1" x14ac:dyDescent="0.25">
      <c r="A35" s="54" t="s">
        <v>3</v>
      </c>
    </row>
    <row r="36" spans="1:1" x14ac:dyDescent="0.25">
      <c r="A36" t="s">
        <v>60</v>
      </c>
    </row>
    <row r="37" spans="1:1" x14ac:dyDescent="0.25">
      <c r="A37" s="54" t="s">
        <v>74</v>
      </c>
    </row>
    <row r="38" spans="1:1" x14ac:dyDescent="0.25">
      <c r="A38" s="54" t="s">
        <v>73</v>
      </c>
    </row>
    <row r="40" spans="1:1" x14ac:dyDescent="0.25">
      <c r="A40" t="s">
        <v>61</v>
      </c>
    </row>
    <row r="41" spans="1:1" x14ac:dyDescent="0.25">
      <c r="A41" t="s">
        <v>68</v>
      </c>
    </row>
    <row r="42" spans="1:1" x14ac:dyDescent="0.25">
      <c r="A42" t="s">
        <v>62</v>
      </c>
    </row>
    <row r="44" spans="1:1" x14ac:dyDescent="0.25">
      <c r="A44" t="s">
        <v>63</v>
      </c>
    </row>
    <row r="46" spans="1:1" x14ac:dyDescent="0.25">
      <c r="A46" t="s">
        <v>64</v>
      </c>
    </row>
    <row r="47" spans="1:1" x14ac:dyDescent="0.25">
      <c r="A47" t="s">
        <v>65</v>
      </c>
    </row>
    <row r="49" spans="1:1" x14ac:dyDescent="0.25">
      <c r="A49" t="s">
        <v>66</v>
      </c>
    </row>
    <row r="50" spans="1:1" x14ac:dyDescent="0.25">
      <c r="A50"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N53"/>
  <sheetViews>
    <sheetView zoomScaleNormal="100" workbookViewId="0">
      <selection activeCell="A5" sqref="A5"/>
    </sheetView>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3" t="s">
        <v>10</v>
      </c>
      <c r="M1" s="53" t="s">
        <v>13</v>
      </c>
    </row>
    <row r="2" spans="1:14" s="5" customFormat="1" ht="45" x14ac:dyDescent="0.25">
      <c r="A2" s="17" t="s">
        <v>18</v>
      </c>
      <c r="B2" s="7"/>
      <c r="C2" s="3" t="s">
        <v>9</v>
      </c>
      <c r="D2" s="4" t="s">
        <v>25</v>
      </c>
      <c r="E2" s="4" t="s">
        <v>22</v>
      </c>
      <c r="F2" s="4" t="s">
        <v>30</v>
      </c>
      <c r="G2" s="4" t="s">
        <v>23</v>
      </c>
      <c r="H2" s="4" t="s">
        <v>24</v>
      </c>
      <c r="I2" s="7"/>
      <c r="J2" s="4" t="s">
        <v>26</v>
      </c>
      <c r="K2" s="4" t="s">
        <v>27</v>
      </c>
      <c r="L2" s="4" t="s">
        <v>11</v>
      </c>
      <c r="M2" s="4" t="s">
        <v>12</v>
      </c>
      <c r="N2" s="12"/>
    </row>
    <row r="3" spans="1:14" x14ac:dyDescent="0.25">
      <c r="B3" s="8"/>
      <c r="C3" s="2" t="str">
        <f ca="1">IF(ISBLANK(INDIRECT("'" &amp; $A$5 &amp; "'!B2")),"",RIGHT(INDIRECT("'" &amp; $A$5 &amp; "'!B2"),LEN(INDIRECT("'" &amp; $A$5 &amp; "'!B2"))-20))</f>
        <v>None</v>
      </c>
      <c r="D3" s="15">
        <f ca="1">IF($C3="","",HLOOKUP($A$11,INDIRECT("'" &amp; $A$5 &amp; "'!$A:$AN"),2,FALSE))</f>
        <v>108261</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5170080000000</v>
      </c>
      <c r="K3" s="27" t="str">
        <f ca="1">IF(OR(C3="All",C3="None",C3=""),"",J3-J$3)</f>
        <v/>
      </c>
      <c r="L3" s="27" t="str">
        <f ca="1">IF(K3="","",-K3)</f>
        <v/>
      </c>
      <c r="M3" s="16" t="str">
        <f t="shared" ref="M3:M18" ca="1" si="3">IF(G3="","",IF(G3="exclude","exclude",L3/(G3*10^6)))</f>
        <v/>
      </c>
    </row>
    <row r="4" spans="1:14" ht="15.75" thickBot="1" x14ac:dyDescent="0.3">
      <c r="A4" s="18" t="s">
        <v>21</v>
      </c>
      <c r="B4" s="8"/>
      <c r="C4" s="2" t="str">
        <f ca="1">IF(ISBLANK(INDIRECT("'" &amp; $A$5 &amp; "'!B4")),"",RIGHT(INDIRECT("'" &amp; $A$5 &amp; "'!B4"),LEN(INDIRECT("'" &amp; $A$5 &amp; "'!B4"))-20))</f>
        <v>ZEV Sales Mandate</v>
      </c>
      <c r="D4" s="15">
        <f ca="1">IF($C4="","",HLOOKUP($A$11,INDIRECT("'" &amp; $A$5 &amp; "'!$A:$AN"),4,FALSE))</f>
        <v>117781</v>
      </c>
      <c r="E4" s="15">
        <f t="shared" ref="E4:E27" ca="1" si="4">IF(OR(C4="All",C4="None",C4=""),"",D4-D$3)</f>
        <v>9520</v>
      </c>
      <c r="F4" s="15">
        <f t="shared" ca="1" si="0"/>
        <v>9520</v>
      </c>
      <c r="G4" s="25">
        <f t="shared" ca="1" si="1"/>
        <v>10909.064486830153</v>
      </c>
      <c r="H4" s="25">
        <f t="shared" ca="1" si="2"/>
        <v>330.57771172212585</v>
      </c>
      <c r="I4" s="26"/>
      <c r="J4" s="27">
        <f ca="1">IF(OR($C4="",$C4="All"),"",HLOOKUP($A$11,INDIRECT("'" &amp; $A$5 &amp; "'!$A:$AN"),5,FALSE))</f>
        <v>4515580000000</v>
      </c>
      <c r="K4" s="27">
        <f ca="1">IF(OR(C4="All",C4="None",C4=""),"",J4-J$3)</f>
        <v>-654500000000</v>
      </c>
      <c r="L4" s="27">
        <f ca="1">IF(K4="","",-K4)</f>
        <v>654500000000</v>
      </c>
      <c r="M4" s="16">
        <f t="shared" ca="1" si="3"/>
        <v>59.995978646027609</v>
      </c>
    </row>
    <row r="5" spans="1:14" ht="15.75" thickBot="1" x14ac:dyDescent="0.3">
      <c r="A5" s="19" t="s">
        <v>103</v>
      </c>
      <c r="B5" s="8"/>
      <c r="C5" s="2" t="str">
        <f ca="1">IF(ISBLANK(INDIRECT("'" &amp; $A$5 &amp; "'!B6")),"",RIGHT(INDIRECT("'" &amp; $A$5 &amp; "'!B6"),LEN(INDIRECT("'" &amp; $A$5 &amp; "'!B6"))-20))</f>
        <v>Vehicle Fuel Economy Standards</v>
      </c>
      <c r="D5" s="15">
        <f ca="1">IF($C5="","",HLOOKUP($A$11,INDIRECT("'" &amp; $A$5 &amp; "'!$A:$AN"),6,FALSE))</f>
        <v>108807</v>
      </c>
      <c r="E5" s="15">
        <f t="shared" ca="1" si="4"/>
        <v>546</v>
      </c>
      <c r="F5" s="15">
        <f t="shared" ca="1" si="0"/>
        <v>546</v>
      </c>
      <c r="G5" s="25">
        <f t="shared" ca="1" si="1"/>
        <v>625.6669338034942</v>
      </c>
      <c r="H5" s="25">
        <f t="shared" ca="1" si="2"/>
        <v>18.95960405465134</v>
      </c>
      <c r="I5" s="26"/>
      <c r="J5" s="27">
        <f ca="1">IF(OR($C5="",$C5="All"),"",HLOOKUP($A$11,INDIRECT("'" &amp; $A$5 &amp; "'!$A:$AN"),7,FALSE))</f>
        <v>5251720000000</v>
      </c>
      <c r="K5" s="27">
        <f t="shared" ref="K5:K27" ca="1" si="5">IF(OR(C5="All",C5="None",C5=""),"",J5-J$3)</f>
        <v>81640000000</v>
      </c>
      <c r="L5" s="27">
        <f t="shared" ref="L5:L27" ca="1" si="6">IF(K5="","",-K5)</f>
        <v>-81640000000</v>
      </c>
      <c r="M5" s="16">
        <f t="shared" ca="1" si="3"/>
        <v>-130.48476048382798</v>
      </c>
    </row>
    <row r="6" spans="1:14" x14ac:dyDescent="0.25">
      <c r="B6" s="8"/>
      <c r="C6" s="2" t="str">
        <f ca="1">IF(ISBLANK(INDIRECT("'" &amp; $A$5 &amp; "'!B8")),"",RIGHT(INDIRECT("'" &amp; $A$5 &amp; "'!B8"),LEN(INDIRECT("'" &amp; $A$5 &amp; "'!B8"))-20))</f>
        <v>Transportation Demand Management</v>
      </c>
      <c r="D6" s="15">
        <f ca="1">IF($C6="","",HLOOKUP($A$11,INDIRECT("'" &amp; $A$5 &amp; "'!$A:$AN"),8,FALSE))</f>
        <v>111013</v>
      </c>
      <c r="E6" s="15">
        <f t="shared" ca="1" si="4"/>
        <v>2752</v>
      </c>
      <c r="F6" s="15">
        <f ca="1">IF(E6&lt;$A$14*SUM(E:E),"exclude",E6)</f>
        <v>2752</v>
      </c>
      <c r="G6" s="25">
        <f t="shared" ca="1" si="1"/>
        <v>3153.5446919912379</v>
      </c>
      <c r="H6" s="25">
        <f t="shared" ca="1" si="2"/>
        <v>95.561960363370844</v>
      </c>
      <c r="I6" s="26"/>
      <c r="J6" s="27">
        <f ca="1">IF(OR($C6="",$C6="All"),"",HLOOKUP($A$11,INDIRECT("'" &amp; $A$5 &amp; "'!$A:$AN"),9,FALSE))</f>
        <v>8295840000000</v>
      </c>
      <c r="K6" s="27">
        <f t="shared" ca="1" si="5"/>
        <v>3125760000000</v>
      </c>
      <c r="L6" s="27">
        <f t="shared" ca="1" si="6"/>
        <v>-3125760000000</v>
      </c>
      <c r="M6" s="16">
        <f t="shared" ca="1" si="3"/>
        <v>-991.18937744507002</v>
      </c>
    </row>
    <row r="7" spans="1:14" ht="15.75" thickBot="1" x14ac:dyDescent="0.3">
      <c r="A7" s="18" t="s">
        <v>19</v>
      </c>
      <c r="B7" s="8"/>
      <c r="C7" s="2" t="str">
        <f ca="1">IF(ISBLANK(INDIRECT("'" &amp; $A$5 &amp; "'!B10")),"",RIGHT(INDIRECT("'" &amp; $A$5 &amp; "'!B10"),LEN(INDIRECT("'" &amp; $A$5 &amp; "'!B10"))-20))</f>
        <v>Building Component Electrification</v>
      </c>
      <c r="D7" s="15">
        <f ca="1">IF($C7="","",HLOOKUP($A$11,INDIRECT("'" &amp; $A$5 &amp; "'!$A:$AN"),10,FALSE))</f>
        <v>114236</v>
      </c>
      <c r="E7" s="15">
        <f t="shared" ca="1" si="4"/>
        <v>5975</v>
      </c>
      <c r="F7" s="15">
        <f t="shared" ref="F7:F27" ca="1" si="7">IF(E7&lt;$A$14*SUM(E:E),"exclude",E7)</f>
        <v>5975</v>
      </c>
      <c r="G7" s="25">
        <f t="shared" ca="1" si="1"/>
        <v>6846.8130576481271</v>
      </c>
      <c r="H7" s="25">
        <f t="shared" ca="1" si="2"/>
        <v>207.47918356509476</v>
      </c>
      <c r="I7" s="26"/>
      <c r="J7" s="27">
        <f ca="1">IF(OR($C7="",$C7="All"),"",HLOOKUP($A$11,INDIRECT("'" &amp; $A$5 &amp; "'!$A:$AN"),11,FALSE))</f>
        <v>5037080000000</v>
      </c>
      <c r="K7" s="27">
        <f t="shared" ca="1" si="5"/>
        <v>-133000000000</v>
      </c>
      <c r="L7" s="27">
        <f t="shared" ca="1" si="6"/>
        <v>133000000000</v>
      </c>
      <c r="M7" s="16">
        <f t="shared" ca="1" si="3"/>
        <v>19.425095862875121</v>
      </c>
    </row>
    <row r="8" spans="1:14" ht="15.75" thickBot="1" x14ac:dyDescent="0.3">
      <c r="A8" s="19">
        <v>2018</v>
      </c>
      <c r="B8" s="8"/>
      <c r="C8" s="2" t="str">
        <f ca="1">IF(ISBLANK(INDIRECT("'" &amp; $A$5 &amp; "'!B12")),"",RIGHT(INDIRECT("'" &amp; $A$5 &amp; "'!B12"),LEN(INDIRECT("'" &amp; $A$5 &amp; "'!B12"))-20))</f>
        <v>Building Energy Efficiency Standards</v>
      </c>
      <c r="D8" s="15">
        <f ca="1">IF($C8="","",HLOOKUP($A$11,INDIRECT("'" &amp; $A$5 &amp; "'!$A:$AN"),12,FALSE))</f>
        <v>110296</v>
      </c>
      <c r="E8" s="15">
        <f t="shared" ca="1" si="4"/>
        <v>2035</v>
      </c>
      <c r="F8" s="15">
        <f t="shared" ca="1" si="7"/>
        <v>2035</v>
      </c>
      <c r="G8" s="25">
        <f t="shared" ca="1" si="1"/>
        <v>2331.9271250734623</v>
      </c>
      <c r="H8" s="25">
        <f t="shared" ca="1" si="2"/>
        <v>70.664458335559459</v>
      </c>
      <c r="I8" s="26"/>
      <c r="J8" s="27">
        <f ca="1">IF(OR($C8="",$C8="All"),"",HLOOKUP($A$11,INDIRECT("'" &amp; $A$5 &amp; "'!$A:$AN"),13,FALSE))</f>
        <v>5698130000000</v>
      </c>
      <c r="K8" s="27">
        <f t="shared" ca="1" si="5"/>
        <v>528050000000</v>
      </c>
      <c r="L8" s="27">
        <f t="shared" ca="1" si="6"/>
        <v>-528050000000</v>
      </c>
      <c r="M8" s="16">
        <f t="shared" ca="1" si="3"/>
        <v>-226.44361151867682</v>
      </c>
    </row>
    <row r="9" spans="1:14" x14ac:dyDescent="0.25">
      <c r="B9" s="8"/>
      <c r="C9" s="2" t="str">
        <f ca="1">IF(ISBLANK(INDIRECT("'" &amp; $A$5 &amp; "'!B14")),"",RIGHT(INDIRECT("'" &amp; $A$5 &amp; "'!B14"),LEN(INDIRECT("'" &amp; $A$5 &amp; "'!B14"))-20))</f>
        <v>Increased Retrofitting</v>
      </c>
      <c r="D9" s="15">
        <f ca="1">IF($C9="","",HLOOKUP($A$11,INDIRECT("'" &amp; $A$5 &amp; "'!$A:$AN"),14,FALSE))</f>
        <v>109411</v>
      </c>
      <c r="E9" s="15">
        <f t="shared" ca="1" si="4"/>
        <v>1150</v>
      </c>
      <c r="F9" s="15">
        <f t="shared" ca="1" si="7"/>
        <v>1150</v>
      </c>
      <c r="G9" s="25">
        <f t="shared" ca="1" si="1"/>
        <v>1317.7966554469199</v>
      </c>
      <c r="H9" s="25">
        <f t="shared" ca="1" si="2"/>
        <v>39.933231983239999</v>
      </c>
      <c r="I9" s="26"/>
      <c r="J9" s="27">
        <f ca="1">IF(OR($C9="",$C9="All"),"",HLOOKUP($A$11,INDIRECT("'" &amp; $A$5 &amp; "'!$A:$AN"),15,FALSE))</f>
        <v>3752290000000</v>
      </c>
      <c r="K9" s="27">
        <f t="shared" ca="1" si="5"/>
        <v>-1417790000000</v>
      </c>
      <c r="L9" s="27">
        <f t="shared" ca="1" si="6"/>
        <v>1417790000000</v>
      </c>
      <c r="M9" s="16">
        <f t="shared" ca="1" si="3"/>
        <v>1075.8791913302953</v>
      </c>
    </row>
    <row r="10" spans="1:14" ht="15.75" thickBot="1" x14ac:dyDescent="0.3">
      <c r="A10" s="18" t="s">
        <v>20</v>
      </c>
      <c r="B10" s="8"/>
      <c r="C10" s="2" t="str">
        <f ca="1">IF(ISBLANK(INDIRECT("'" &amp; $A$5 &amp; "'!B16")),"",RIGHT(INDIRECT("'" &amp; $A$5 &amp; "'!B16"),LEN(INDIRECT("'" &amp; $A$5 &amp; "'!B16"))-20))</f>
        <v>CES and Supporting Policies</v>
      </c>
      <c r="D10" s="15">
        <f ca="1">IF($C10="","",HLOOKUP($A$11,INDIRECT("'" &amp; $A$5 &amp; "'!$A:$AN"),16,FALSE))</f>
        <v>120779</v>
      </c>
      <c r="E10" s="15">
        <f t="shared" ca="1" si="4"/>
        <v>12518</v>
      </c>
      <c r="F10" s="15">
        <f t="shared" ca="1" si="7"/>
        <v>12518</v>
      </c>
      <c r="G10" s="25">
        <f t="shared" ca="1" si="1"/>
        <v>14344.503072073516</v>
      </c>
      <c r="H10" s="25">
        <f t="shared" ca="1" si="2"/>
        <v>434.68191127495504</v>
      </c>
      <c r="I10" s="26"/>
      <c r="J10" s="27">
        <f ca="1">IF(OR($C10="",$C10="All"),"",HLOOKUP($A$11,INDIRECT("'" &amp; $A$5 &amp; "'!$A:$AN"),17,FALSE))</f>
        <v>4966460000000</v>
      </c>
      <c r="K10" s="27">
        <f t="shared" ca="1" si="5"/>
        <v>-203620000000</v>
      </c>
      <c r="L10" s="27">
        <f t="shared" ca="1" si="6"/>
        <v>203620000000</v>
      </c>
      <c r="M10" s="16">
        <f t="shared" ca="1" si="3"/>
        <v>14.194984585866626</v>
      </c>
    </row>
    <row r="11" spans="1:14" ht="15.75" thickBot="1" x14ac:dyDescent="0.3">
      <c r="A11" s="19">
        <v>2050</v>
      </c>
      <c r="B11" s="8"/>
      <c r="C11" s="2" t="str">
        <f ca="1">IF(ISBLANK(INDIRECT("'" &amp; $A$5 &amp; "'!B18")),"",RIGHT(INDIRECT("'" &amp; $A$5 &amp; "'!B18"),LEN(INDIRECT("'" &amp; $A$5 &amp; "'!B18"))-20))</f>
        <v>Cement Clinker Substitution</v>
      </c>
      <c r="D11" s="15">
        <f ca="1">IF($C11="","",HLOOKUP($A$11,INDIRECT("'" &amp; $A$5 &amp; "'!$A:$AN"),18,FALSE))</f>
        <v>108557</v>
      </c>
      <c r="E11" s="15">
        <f t="shared" ca="1" si="4"/>
        <v>296</v>
      </c>
      <c r="F11" s="15">
        <f t="shared" ca="1" si="7"/>
        <v>296</v>
      </c>
      <c r="G11" s="25">
        <f t="shared" ca="1" si="1"/>
        <v>339.18940001068546</v>
      </c>
      <c r="H11" s="25">
        <f t="shared" ca="1" si="2"/>
        <v>10.278466666990468</v>
      </c>
      <c r="I11" s="26"/>
      <c r="J11" s="27">
        <f ca="1">IF(OR($C11="",$C11="All"),"",HLOOKUP($A$11,INDIRECT("'" &amp; $A$5 &amp; "'!$A:$AN"),19,FALSE))</f>
        <v>5169600000000</v>
      </c>
      <c r="K11" s="27">
        <f t="shared" ca="1" si="5"/>
        <v>-480000000</v>
      </c>
      <c r="L11" s="27">
        <f t="shared" ca="1" si="6"/>
        <v>480000000</v>
      </c>
      <c r="M11" s="16">
        <f t="shared" ca="1" si="3"/>
        <v>1.415138562658145</v>
      </c>
    </row>
    <row r="12" spans="1:14" x14ac:dyDescent="0.25">
      <c r="B12" s="8"/>
      <c r="C12" s="2" t="str">
        <f ca="1">IF(ISBLANK(INDIRECT("'" &amp; $A$5 &amp; "'!B20")),"",RIGHT(INDIRECT("'" &amp; $A$5 &amp; "'!B20"),LEN(INDIRECT("'" &amp; $A$5 &amp; "'!B20"))-20))</f>
        <v>Industry Energy Efficiency</v>
      </c>
      <c r="D12" s="15">
        <f ca="1">IF($C12="","",HLOOKUP($A$11,INDIRECT("'" &amp; $A$5 &amp; "'!$A:$AN"),20,FALSE))</f>
        <v>112782</v>
      </c>
      <c r="E12" s="15">
        <f t="shared" ca="1" si="4"/>
        <v>4521</v>
      </c>
      <c r="F12" s="15">
        <f t="shared" ca="1" si="7"/>
        <v>4521</v>
      </c>
      <c r="G12" s="25">
        <f t="shared" ca="1" si="1"/>
        <v>5180.6597211091521</v>
      </c>
      <c r="H12" s="25">
        <f t="shared" ca="1" si="2"/>
        <v>156.98968851845916</v>
      </c>
      <c r="I12" s="26"/>
      <c r="J12" s="27">
        <f ca="1">IF(OR($C12="",$C12="All"),"",HLOOKUP($A$11,INDIRECT("'" &amp; $A$5 &amp; "'!$A:$AN"),21,FALSE))</f>
        <v>7206230000000</v>
      </c>
      <c r="K12" s="27">
        <f t="shared" ca="1" si="5"/>
        <v>2036150000000</v>
      </c>
      <c r="L12" s="27">
        <f t="shared" ca="1" si="6"/>
        <v>-2036150000000</v>
      </c>
      <c r="M12" s="16">
        <f t="shared" ca="1" si="3"/>
        <v>-393.02909467369363</v>
      </c>
    </row>
    <row r="13" spans="1:14" ht="15.75" thickBot="1" x14ac:dyDescent="0.3">
      <c r="A13" s="18" t="s">
        <v>29</v>
      </c>
      <c r="B13" s="8"/>
      <c r="C13" s="2" t="str">
        <f ca="1">IF(ISBLANK(INDIRECT("'" &amp; $A$5 &amp; "'!B22")),"",RIGHT(INDIRECT("'" &amp; $A$5 &amp; "'!B22"),LEN(INDIRECT("'" &amp; $A$5 &amp; "'!B22"))-20))</f>
        <v>Industrial Electrification</v>
      </c>
      <c r="D13" s="15">
        <f ca="1">IF($C13="","",HLOOKUP($A$11,INDIRECT("'" &amp; $A$5 &amp; "'!$A:$AN"),22,FALSE))</f>
        <v>112993</v>
      </c>
      <c r="E13" s="15">
        <f t="shared" ca="1" si="4"/>
        <v>4732</v>
      </c>
      <c r="F13" s="15">
        <f t="shared" ca="1" si="7"/>
        <v>4732</v>
      </c>
      <c r="G13" s="25">
        <f t="shared" ca="1" si="1"/>
        <v>5422.4467596302829</v>
      </c>
      <c r="H13" s="25">
        <f t="shared" ca="1" si="2"/>
        <v>164.31656847364494</v>
      </c>
      <c r="I13" s="26"/>
      <c r="J13" s="27">
        <f ca="1">IF(OR($C13="",$C13="All"),"",HLOOKUP($A$11,INDIRECT("'" &amp; $A$5 &amp; "'!$A:$AN"),23,FALSE))</f>
        <v>-2533580000000</v>
      </c>
      <c r="K13" s="27">
        <f t="shared" ca="1" si="5"/>
        <v>-7703660000000</v>
      </c>
      <c r="L13" s="27">
        <f t="shared" ca="1" si="6"/>
        <v>7703660000000</v>
      </c>
      <c r="M13" s="16">
        <f t="shared" ca="1" si="3"/>
        <v>1420.6981352685989</v>
      </c>
    </row>
    <row r="14" spans="1:14" ht="15.75" thickBot="1" x14ac:dyDescent="0.3">
      <c r="A14" s="42">
        <v>3.0000000000000001E-3</v>
      </c>
      <c r="B14" s="8"/>
      <c r="C14" s="2" t="str">
        <f ca="1">IF(ISBLANK(INDIRECT("'" &amp; $A$5 &amp; "'!B24")),"",RIGHT(INDIRECT("'" &amp; $A$5 &amp; "'!B24"),LEN(INDIRECT("'" &amp; $A$5 &amp; "'!B24"))-20))</f>
        <v>Material Efficiency, Longevity, n Re-Use</v>
      </c>
      <c r="D14" s="15">
        <f ca="1">IF($C14="","",HLOOKUP($A$11,INDIRECT("'" &amp; $A$5 &amp; "'!$A:$AN"),24,FALSE))</f>
        <v>117872</v>
      </c>
      <c r="E14" s="15">
        <f t="shared" ca="1" si="4"/>
        <v>9611</v>
      </c>
      <c r="F14" s="15">
        <f t="shared" ca="1" si="7"/>
        <v>9611</v>
      </c>
      <c r="G14" s="25">
        <f t="shared" ca="1" si="1"/>
        <v>11013.342309130738</v>
      </c>
      <c r="H14" s="25">
        <f t="shared" ca="1" si="2"/>
        <v>333.73764573123447</v>
      </c>
      <c r="I14" s="26"/>
      <c r="J14" s="27">
        <f ca="1">IF(OR($C14="",$C14="All"),"",HLOOKUP($A$11,INDIRECT("'" &amp; $A$5 &amp; "'!$A:$AN"),25,FALSE))</f>
        <v>7744850000000</v>
      </c>
      <c r="K14" s="27">
        <f t="shared" ca="1" si="5"/>
        <v>2574770000000</v>
      </c>
      <c r="L14" s="27">
        <f t="shared" ca="1" si="6"/>
        <v>-2574770000000</v>
      </c>
      <c r="M14" s="16">
        <f t="shared" ca="1" si="3"/>
        <v>-233.78643174155746</v>
      </c>
    </row>
    <row r="15" spans="1:14" x14ac:dyDescent="0.25">
      <c r="B15" s="8"/>
      <c r="C15" s="2" t="str">
        <f ca="1">IF(ISBLANK(INDIRECT("'" &amp; $A$5 &amp; "'!B26")),"",RIGHT(INDIRECT("'" &amp; $A$5 &amp; "'!B26"),LEN(INDIRECT("'" &amp; $A$5 &amp; "'!B26"))-20))</f>
        <v>Methane Capture and Destruction</v>
      </c>
      <c r="D15" s="15">
        <f ca="1">IF($C15="","",HLOOKUP($A$11,INDIRECT("'" &amp; $A$5 &amp; "'!$A:$AN"),26,FALSE))</f>
        <v>110852</v>
      </c>
      <c r="E15" s="15">
        <f t="shared" ca="1" si="4"/>
        <v>2591</v>
      </c>
      <c r="F15" s="15">
        <f t="shared" ca="1" si="7"/>
        <v>2591</v>
      </c>
      <c r="G15" s="25">
        <f t="shared" ca="1" si="1"/>
        <v>2969.0531602286687</v>
      </c>
      <c r="H15" s="25">
        <f t="shared" ca="1" si="2"/>
        <v>89.971307885717238</v>
      </c>
      <c r="I15" s="26"/>
      <c r="J15" s="27">
        <f ca="1">IF(OR($C15="",$C15="All"),"",HLOOKUP($A$11,INDIRECT("'" &amp; $A$5 &amp; "'!$A:$AN"),27,FALSE))</f>
        <v>5062040000000</v>
      </c>
      <c r="K15" s="27">
        <f t="shared" ca="1" si="5"/>
        <v>-108040000000</v>
      </c>
      <c r="L15" s="27">
        <f t="shared" ca="1" si="6"/>
        <v>108040000000</v>
      </c>
      <c r="M15" s="16">
        <f t="shared" ca="1" si="3"/>
        <v>36.388705142510496</v>
      </c>
    </row>
    <row r="16" spans="1:14" x14ac:dyDescent="0.25">
      <c r="A16" s="18" t="s">
        <v>16</v>
      </c>
      <c r="B16" s="8"/>
      <c r="C16" s="2" t="str">
        <f ca="1">IF(ISBLANK(INDIRECT("'" &amp; $A$5 &amp; "'!B28")),"",RIGHT(INDIRECT("'" &amp; $A$5 &amp; "'!B28"),LEN(INDIRECT("'" &amp; $A$5 &amp; "'!B28"))-20))</f>
        <v>Reduce F-gases</v>
      </c>
      <c r="D16" s="15">
        <f ca="1">IF($C16="","",HLOOKUP($A$11,INDIRECT("'" &amp; $A$5 &amp; "'!$A:$AN"),28,FALSE))</f>
        <v>111400</v>
      </c>
      <c r="E16" s="15">
        <f t="shared" ca="1" si="4"/>
        <v>3139</v>
      </c>
      <c r="F16" s="15">
        <f t="shared" ca="1" si="7"/>
        <v>3139</v>
      </c>
      <c r="G16" s="25">
        <f t="shared" ca="1" si="1"/>
        <v>3597.0119143025058</v>
      </c>
      <c r="H16" s="25">
        <f t="shared" ca="1" si="2"/>
        <v>109.00036103946988</v>
      </c>
      <c r="I16" s="26"/>
      <c r="J16" s="27">
        <f ca="1">IF(OR($C16="",$C16="All"),"",HLOOKUP($A$11,INDIRECT("'" &amp; $A$5 &amp; "'!$A:$AN"),29,FALSE))</f>
        <v>5174380000000</v>
      </c>
      <c r="K16" s="27">
        <f t="shared" ca="1" si="5"/>
        <v>4300000000</v>
      </c>
      <c r="L16" s="27">
        <f t="shared" ca="1" si="6"/>
        <v>-4300000000</v>
      </c>
      <c r="M16" s="16">
        <f t="shared" ca="1" si="3"/>
        <v>-1.1954366853504876</v>
      </c>
    </row>
    <row r="17" spans="1:13" x14ac:dyDescent="0.25">
      <c r="A17" s="13">
        <f>A11-A8+1</f>
        <v>33</v>
      </c>
      <c r="B17" s="8"/>
      <c r="C17" s="2" t="str">
        <f ca="1">IF(ISBLANK(INDIRECT("'" &amp; $A$5 &amp; "'!B30")),"",RIGHT(INDIRECT("'" &amp; $A$5 &amp; "'!B30"),LEN(INDIRECT("'" &amp; $A$5 &amp; "'!B30"))-20))</f>
        <v>Worker Training</v>
      </c>
      <c r="D17" s="15">
        <f ca="1">IF($C17="","",HLOOKUP($A$11,INDIRECT("'" &amp; $A$5 &amp; "'!$A:$AN"),30,FALSE))</f>
        <v>108548</v>
      </c>
      <c r="E17" s="15">
        <f t="shared" ca="1" si="4"/>
        <v>287</v>
      </c>
      <c r="F17" s="15">
        <f t="shared" ca="1" si="7"/>
        <v>287</v>
      </c>
      <c r="G17" s="25">
        <f t="shared" ca="1" si="1"/>
        <v>328.87620879414436</v>
      </c>
      <c r="H17" s="25">
        <f t="shared" ca="1" si="2"/>
        <v>9.9659457210346769</v>
      </c>
      <c r="I17" s="26"/>
      <c r="J17" s="27">
        <f ca="1">IF(OR($C17="",$C17="All"),"",HLOOKUP($A$11,INDIRECT("'" &amp; $A$5 &amp; "'!$A:$AN"),31,FALSE))</f>
        <v>5170150000000</v>
      </c>
      <c r="K17" s="27">
        <f t="shared" ca="1" si="5"/>
        <v>70000000</v>
      </c>
      <c r="L17" s="27">
        <f t="shared" ca="1" si="6"/>
        <v>-70000000</v>
      </c>
      <c r="M17" s="16">
        <f t="shared" ca="1" si="3"/>
        <v>-0.21284604397703807</v>
      </c>
    </row>
    <row r="18" spans="1:13" x14ac:dyDescent="0.25">
      <c r="C18" s="2" t="str">
        <f ca="1">IF(ISBLANK(INDIRECT("'" &amp; $A$5 &amp; "'!B32")),"",RIGHT(INDIRECT("'" &amp; $A$5 &amp; "'!B32"),LEN(INDIRECT("'" &amp; $A$5 &amp; "'!B32"))-20))</f>
        <v>Land Use Policies</v>
      </c>
      <c r="D18" s="15">
        <f ca="1">IF($C18="","",HLOOKUP($A$11,INDIRECT("'" &amp; $A$5 &amp; "'!$A:$AN"),32,FALSE))</f>
        <v>111108</v>
      </c>
      <c r="E18" s="15">
        <f t="shared" ca="1" si="4"/>
        <v>2847</v>
      </c>
      <c r="F18" s="15">
        <f t="shared" ca="1" si="7"/>
        <v>2847</v>
      </c>
      <c r="G18" s="25">
        <f t="shared" ca="1" si="1"/>
        <v>3262.4061548325049</v>
      </c>
      <c r="H18" s="25">
        <f t="shared" ca="1" si="2"/>
        <v>98.860792570681966</v>
      </c>
      <c r="I18" s="22"/>
      <c r="J18" s="27">
        <f ca="1">IF(OR($C18="",$C18="All"),"",HLOOKUP($A$11,INDIRECT("'" &amp; $A$5 &amp; "'!$A:$AN"),33,FALSE))</f>
        <v>5139970000000</v>
      </c>
      <c r="K18" s="27">
        <f t="shared" ca="1" si="5"/>
        <v>-30110000000</v>
      </c>
      <c r="L18" s="27">
        <f t="shared" ca="1" si="6"/>
        <v>30110000000</v>
      </c>
      <c r="M18" s="16">
        <f t="shared" ca="1" si="3"/>
        <v>9.2293842553597916</v>
      </c>
    </row>
    <row r="19" spans="1:13" x14ac:dyDescent="0.25">
      <c r="C19" s="2" t="str">
        <f ca="1">IF(ISBLANK(INDIRECT("'" &amp; $A$5 &amp; "'!B34")),"",RIGHT(INDIRECT("'" &amp; $A$5 &amp; "'!B34"),LEN(INDIRECT("'" &amp; $A$5 &amp; "'!B34"))-20))</f>
        <v>Reduce Agriculture Process Emissions</v>
      </c>
      <c r="D19" s="15">
        <f ca="1">IF($C19="","",HLOOKUP($A$11,INDIRECT("'" &amp; $A$5 &amp; "'!$A:$AN"),34,FALSE))</f>
        <v>109161</v>
      </c>
      <c r="E19" s="15">
        <f t="shared" ca="1" si="4"/>
        <v>900</v>
      </c>
      <c r="F19" s="15">
        <f t="shared" ca="1" si="7"/>
        <v>900</v>
      </c>
      <c r="G19" s="25">
        <f t="shared" ca="1" si="1"/>
        <v>1031.3191216541111</v>
      </c>
      <c r="H19" s="25">
        <f t="shared" ca="1" si="2"/>
        <v>31.252094595579123</v>
      </c>
      <c r="I19" s="22"/>
      <c r="J19" s="27">
        <f ca="1">IF(OR($C19="",$C19="All"),"",HLOOKUP($A$11,INDIRECT("'" &amp; $A$5 &amp; "'!$A:$AN"),35,FALSE))</f>
        <v>5170800000000</v>
      </c>
      <c r="K19" s="27">
        <f t="shared" ca="1" si="5"/>
        <v>720000000</v>
      </c>
      <c r="L19" s="27">
        <f t="shared" ca="1" si="6"/>
        <v>-720000000</v>
      </c>
      <c r="M19" s="16">
        <f ca="1">IF(G19="","",IF(G19="exclude","exclude",L19/(G19*10^6)))</f>
        <v>-0.69813502424468499</v>
      </c>
    </row>
    <row r="20" spans="1:13" x14ac:dyDescent="0.25">
      <c r="C20" s="2" t="str">
        <f ca="1">IF(ISBLANK(INDIRECT("'" &amp; $A$5 &amp; "'!B36")),"",RIGHT(INDIRECT("'" &amp; $A$5 &amp; "'!B36"),LEN(INDIRECT("'" &amp; $A$5 &amp; "'!B36"))-20))</f>
        <v>Shift to Non-Animal Products</v>
      </c>
      <c r="D20" s="15">
        <f ca="1">IF($C20="","",HLOOKUP($A$11,INDIRECT("'" &amp; $A$5 &amp; "'!$A:$AN"),36,FALSE))</f>
        <v>113780</v>
      </c>
      <c r="E20" s="15">
        <f t="shared" ca="1" si="4"/>
        <v>5519</v>
      </c>
      <c r="F20" s="15">
        <f t="shared" ca="1" si="7"/>
        <v>5519</v>
      </c>
      <c r="G20" s="25">
        <f t="shared" ca="1" si="1"/>
        <v>6324.2780360100451</v>
      </c>
      <c r="H20" s="25">
        <f t="shared" ca="1" si="2"/>
        <v>191.64478897000137</v>
      </c>
      <c r="I20" s="22"/>
      <c r="J20" s="27">
        <f ca="1">IF(OR($C20="",$C20="All"),"",HLOOKUP($A$11,INDIRECT("'" &amp; $A$5 &amp; "'!$A:$AN"),37,FALSE))</f>
        <v>5245400000000</v>
      </c>
      <c r="K20" s="27">
        <f t="shared" ca="1" si="5"/>
        <v>75320000000</v>
      </c>
      <c r="L20" s="27">
        <f t="shared" ca="1" si="6"/>
        <v>-75320000000</v>
      </c>
      <c r="M20" s="16">
        <f t="shared" ref="M20:M27" ca="1" si="8">IF(G20="","",IF(G20="exclude","exclude",L20/(G20*10^6)))</f>
        <v>-11.909659817473649</v>
      </c>
    </row>
    <row r="21" spans="1:13" x14ac:dyDescent="0.25">
      <c r="C21" s="2" t="str">
        <f ca="1">IF(ISBLANK(INDIRECT("'" &amp; $A$5 &amp; "'!B38")),"",RIGHT(INDIRECT("'" &amp; $A$5 &amp; "'!B38"),LEN(INDIRECT("'" &amp; $A$5 &amp; "'!B38"))-20))</f>
        <v>Hydrogen Electrolysis</v>
      </c>
      <c r="D21" s="15">
        <f ca="1">IF($C21="","",HLOOKUP($A$11,INDIRECT("'" &amp; $A$5 &amp; "'!$A:$AN"),38,FALSE))</f>
        <v>109955</v>
      </c>
      <c r="E21" s="15">
        <f t="shared" ca="1" si="4"/>
        <v>1694</v>
      </c>
      <c r="F21" s="15">
        <f t="shared" ca="1" si="7"/>
        <v>1694</v>
      </c>
      <c r="G21" s="25">
        <f t="shared" ca="1" si="1"/>
        <v>1941.1717689800716</v>
      </c>
      <c r="H21" s="25">
        <f t="shared" ca="1" si="2"/>
        <v>58.823386938790051</v>
      </c>
      <c r="I21" s="22"/>
      <c r="J21" s="27">
        <f ca="1">IF(OR($C21="",$C21="All"),"",HLOOKUP($A$11,INDIRECT("'" &amp; $A$5 &amp; "'!$A:$AN"),39,FALSE))</f>
        <v>3040490000000</v>
      </c>
      <c r="K21" s="27">
        <f t="shared" ca="1" si="5"/>
        <v>-2129590000000</v>
      </c>
      <c r="L21" s="27">
        <f t="shared" ca="1" si="6"/>
        <v>2129590000000</v>
      </c>
      <c r="M21" s="16">
        <f t="shared" ca="1" si="8"/>
        <v>1097.0641722854475</v>
      </c>
    </row>
    <row r="22" spans="1:13" x14ac:dyDescent="0.25">
      <c r="C22" s="2" t="str">
        <f ca="1">IF(ISBLANK(INDIRECT("'" &amp; $A$5 &amp; "'!B40")),"",RIGHT(INDIRECT("'" &amp; $A$5 &amp; "'!B40"),LEN(INDIRECT("'" &amp; $A$5 &amp; "'!B40"))-20))</f>
        <v>Carbon Tax</v>
      </c>
      <c r="D22" s="15">
        <f ca="1">IF($C22="","",HLOOKUP($A$11,INDIRECT("'" &amp; $A$5 &amp; "'!$A:$AN"),40,FALSE))</f>
        <v>112496</v>
      </c>
      <c r="E22" s="15">
        <f t="shared" ca="1" si="4"/>
        <v>4235</v>
      </c>
      <c r="F22" s="15">
        <f t="shared" ca="1" si="7"/>
        <v>4235</v>
      </c>
      <c r="G22" s="25">
        <f t="shared" ca="1" si="1"/>
        <v>4852.9294224501791</v>
      </c>
      <c r="H22" s="25">
        <f t="shared" ca="1" si="2"/>
        <v>147.05846734697514</v>
      </c>
      <c r="I22" s="22"/>
      <c r="J22" s="27">
        <f ca="1">IF(OR($C22="",$C22="All"),"",HLOOKUP($A$11,INDIRECT("'" &amp; $A$5 &amp; "'!$A:$AN"),41,FALSE))</f>
        <v>5025760000000</v>
      </c>
      <c r="K22" s="27">
        <f t="shared" ca="1" si="5"/>
        <v>-144320000000</v>
      </c>
      <c r="L22" s="27">
        <f t="shared" ca="1" si="6"/>
        <v>144320000000</v>
      </c>
      <c r="M22" s="16">
        <f t="shared" ca="1" si="8"/>
        <v>29.738738695098263</v>
      </c>
    </row>
    <row r="23" spans="1:13" x14ac:dyDescent="0.25">
      <c r="C23" s="2" t="str">
        <f ca="1">IF(ISBLANK(INDIRECT("'" &amp; $A$5 &amp; "'!B42")),"",RIGHT(INDIRECT("'" &amp; $A$5 &amp; "'!B42"),LEN(INDIRECT("'" &amp; $A$5 &amp; "'!B42"))-20))</f>
        <v>All</v>
      </c>
      <c r="D23" s="15">
        <f ca="1">IF($C23="","",HLOOKUP($A$11,INDIRECT("'" &amp; $A$5 &amp; "'!$A:$AN"),42,FALSE))</f>
        <v>194053</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All</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AA114"/>
  <sheetViews>
    <sheetView workbookViewId="0">
      <selection activeCell="B9" sqref="B9"/>
    </sheetView>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28</v>
      </c>
      <c r="B1" s="49" t="s">
        <v>32</v>
      </c>
      <c r="C1" s="50" t="s">
        <v>31</v>
      </c>
      <c r="D1" s="32" t="s">
        <v>35</v>
      </c>
      <c r="E1" s="37"/>
      <c r="F1" s="37"/>
      <c r="G1" s="37"/>
      <c r="H1" s="37"/>
      <c r="I1" s="37"/>
      <c r="J1" s="37"/>
    </row>
    <row r="2" spans="1:10" x14ac:dyDescent="0.25">
      <c r="A2" s="28" t="str">
        <f ca="1">Calculations!C6</f>
        <v>Transportation Demand Management</v>
      </c>
      <c r="B2" s="44">
        <f ca="1">Calculations!H6</f>
        <v>95.561960363370844</v>
      </c>
      <c r="C2" s="34">
        <f ca="1">Calculations!M6</f>
        <v>-991.18937744507002</v>
      </c>
    </row>
    <row r="3" spans="1:10" x14ac:dyDescent="0.25">
      <c r="A3" s="28" t="str">
        <f ca="1">Calculations!C12</f>
        <v>Industry Energy Efficiency</v>
      </c>
      <c r="B3" s="33">
        <f ca="1">Calculations!H12</f>
        <v>156.98968851845916</v>
      </c>
      <c r="C3" s="34">
        <f ca="1">Calculations!M12</f>
        <v>-393.02909467369363</v>
      </c>
    </row>
    <row r="4" spans="1:10" x14ac:dyDescent="0.25">
      <c r="A4" s="28" t="str">
        <f ca="1">Calculations!C14</f>
        <v>Material Efficiency, Longevity, n Re-Use</v>
      </c>
      <c r="B4" s="33">
        <f ca="1">Calculations!H14</f>
        <v>333.73764573123447</v>
      </c>
      <c r="C4" s="34">
        <f ca="1">Calculations!M14</f>
        <v>-233.78643174155746</v>
      </c>
    </row>
    <row r="5" spans="1:10" x14ac:dyDescent="0.25">
      <c r="A5" s="28" t="str">
        <f ca="1">Calculations!C8</f>
        <v>Building Energy Efficiency Standards</v>
      </c>
      <c r="B5" s="44">
        <f ca="1">Calculations!H8</f>
        <v>70.664458335559459</v>
      </c>
      <c r="C5" s="34">
        <f ca="1">Calculations!M8</f>
        <v>-226.44361151867682</v>
      </c>
    </row>
    <row r="6" spans="1:10" x14ac:dyDescent="0.25">
      <c r="A6" s="28" t="str">
        <f ca="1">Calculations!C5</f>
        <v>Vehicle Fuel Economy Standards</v>
      </c>
      <c r="B6" s="44">
        <f ca="1">Calculations!H5</f>
        <v>18.95960405465134</v>
      </c>
      <c r="C6" s="34">
        <f ca="1">Calculations!M5</f>
        <v>-130.48476048382798</v>
      </c>
    </row>
    <row r="7" spans="1:10" x14ac:dyDescent="0.25">
      <c r="A7" s="28" t="str">
        <f ca="1">Calculations!C20</f>
        <v>Shift to Non-Animal Products</v>
      </c>
      <c r="B7" s="44">
        <f ca="1">Calculations!H20</f>
        <v>191.64478897000137</v>
      </c>
      <c r="C7" s="34">
        <f ca="1">Calculations!M20</f>
        <v>-11.909659817473649</v>
      </c>
    </row>
    <row r="8" spans="1:10" x14ac:dyDescent="0.25">
      <c r="A8" s="28" t="str">
        <f ca="1">Calculations!C16</f>
        <v>Reduce F-gases</v>
      </c>
      <c r="B8" s="44">
        <f ca="1">Calculations!H16</f>
        <v>109.00036103946988</v>
      </c>
      <c r="C8" s="34">
        <f ca="1">Calculations!M16</f>
        <v>-1.1954366853504876</v>
      </c>
    </row>
    <row r="9" spans="1:10" x14ac:dyDescent="0.25">
      <c r="A9" s="28" t="str">
        <f ca="1">Calculations!C19</f>
        <v>Reduce Agriculture Process Emissions</v>
      </c>
      <c r="B9" s="44">
        <f ca="1">Calculations!H19</f>
        <v>31.252094595579123</v>
      </c>
      <c r="C9" s="34">
        <f ca="1">Calculations!M19</f>
        <v>-0.69813502424468499</v>
      </c>
    </row>
    <row r="10" spans="1:10" x14ac:dyDescent="0.25">
      <c r="A10" s="28" t="str">
        <f ca="1">Calculations!C17</f>
        <v>Worker Training</v>
      </c>
      <c r="B10" s="44">
        <f ca="1">Calculations!H17</f>
        <v>9.9659457210346769</v>
      </c>
      <c r="C10" s="34">
        <f ca="1">Calculations!M17</f>
        <v>-0.21284604397703807</v>
      </c>
    </row>
    <row r="11" spans="1:10" x14ac:dyDescent="0.25">
      <c r="A11" s="28" t="str">
        <f ca="1">Calculations!C11</f>
        <v>Cement Clinker Substitution</v>
      </c>
      <c r="B11" s="44">
        <f ca="1">Calculations!H11</f>
        <v>10.278466666990468</v>
      </c>
      <c r="C11" s="34">
        <f ca="1">Calculations!M11</f>
        <v>1.415138562658145</v>
      </c>
    </row>
    <row r="12" spans="1:10" x14ac:dyDescent="0.25">
      <c r="A12" s="28" t="str">
        <f ca="1">Calculations!C18</f>
        <v>Land Use Policies</v>
      </c>
      <c r="B12" s="44">
        <f ca="1">Calculations!H18</f>
        <v>98.860792570681966</v>
      </c>
      <c r="C12" s="34">
        <f ca="1">Calculations!M18</f>
        <v>9.2293842553597916</v>
      </c>
    </row>
    <row r="13" spans="1:10" x14ac:dyDescent="0.25">
      <c r="A13" s="28" t="str">
        <f ca="1">Calculations!C10</f>
        <v>CES and Supporting Policies</v>
      </c>
      <c r="B13" s="44">
        <f ca="1">Calculations!H10</f>
        <v>434.68191127495504</v>
      </c>
      <c r="C13" s="34">
        <f ca="1">Calculations!M10</f>
        <v>14.194984585866626</v>
      </c>
    </row>
    <row r="14" spans="1:10" x14ac:dyDescent="0.25">
      <c r="A14" s="28" t="str">
        <f ca="1">Calculations!C7</f>
        <v>Building Component Electrification</v>
      </c>
      <c r="B14" s="44">
        <f ca="1">Calculations!H7</f>
        <v>207.47918356509476</v>
      </c>
      <c r="C14" s="34">
        <f ca="1">Calculations!M7</f>
        <v>19.425095862875121</v>
      </c>
    </row>
    <row r="15" spans="1:10" x14ac:dyDescent="0.25">
      <c r="A15" s="28" t="str">
        <f ca="1">Calculations!C22</f>
        <v>Carbon Tax</v>
      </c>
      <c r="B15" s="44">
        <f ca="1">Calculations!H22</f>
        <v>147.05846734697514</v>
      </c>
      <c r="C15" s="34">
        <f ca="1">Calculations!M22</f>
        <v>29.738738695098263</v>
      </c>
    </row>
    <row r="16" spans="1:10" x14ac:dyDescent="0.25">
      <c r="A16" s="28" t="str">
        <f ca="1">Calculations!C15</f>
        <v>Methane Capture and Destruction</v>
      </c>
      <c r="B16" s="44">
        <f ca="1">Calculations!H15</f>
        <v>89.971307885717238</v>
      </c>
      <c r="C16" s="34">
        <f ca="1">Calculations!M15</f>
        <v>36.388705142510496</v>
      </c>
    </row>
    <row r="17" spans="1:3" x14ac:dyDescent="0.25">
      <c r="A17" s="28" t="str">
        <f ca="1">Calculations!C4</f>
        <v>ZEV Sales Mandate</v>
      </c>
      <c r="B17" s="44">
        <f ca="1">Calculations!H4</f>
        <v>330.57771172212585</v>
      </c>
      <c r="C17" s="34">
        <f ca="1">Calculations!M4</f>
        <v>59.995978646027609</v>
      </c>
    </row>
    <row r="18" spans="1:3" x14ac:dyDescent="0.25">
      <c r="A18" s="28" t="str">
        <f ca="1">Calculations!C9</f>
        <v>Increased Retrofitting</v>
      </c>
      <c r="B18" s="44">
        <f ca="1">Calculations!H9</f>
        <v>39.933231983239999</v>
      </c>
      <c r="C18" s="34">
        <f ca="1">Calculations!M9</f>
        <v>1075.8791913302953</v>
      </c>
    </row>
    <row r="19" spans="1:3" x14ac:dyDescent="0.25">
      <c r="A19" s="28" t="str">
        <f ca="1">Calculations!C21</f>
        <v>Hydrogen Electrolysis</v>
      </c>
      <c r="B19" s="44">
        <f ca="1">Calculations!H21</f>
        <v>58.823386938790051</v>
      </c>
      <c r="C19" s="34">
        <f ca="1">Calculations!M21</f>
        <v>1097.0641722854475</v>
      </c>
    </row>
    <row r="20" spans="1:3" x14ac:dyDescent="0.25">
      <c r="A20" s="28" t="str">
        <f ca="1">Calculations!C13</f>
        <v>Industrial Electrification</v>
      </c>
      <c r="B20" s="33">
        <f ca="1">Calculations!H13</f>
        <v>164.31656847364494</v>
      </c>
      <c r="C20" s="34">
        <f ca="1">Calculations!M13</f>
        <v>1420.6981352685989</v>
      </c>
    </row>
    <row r="21" spans="1:3" x14ac:dyDescent="0.25">
      <c r="A21" s="28" t="str">
        <f ca="1">Calculations!C24</f>
        <v/>
      </c>
      <c r="B21" s="44" t="str">
        <f ca="1">Calculations!H24</f>
        <v/>
      </c>
      <c r="C21" s="34" t="str">
        <f ca="1">Calculations!M24</f>
        <v/>
      </c>
    </row>
    <row r="22" spans="1:3" x14ac:dyDescent="0.25">
      <c r="A22" s="28" t="str">
        <f ca="1">Calculations!C23</f>
        <v>All</v>
      </c>
      <c r="B22" s="44" t="str">
        <f ca="1">Calculations!H23</f>
        <v/>
      </c>
      <c r="C22" s="34" t="str">
        <f ca="1">Calculations!M23</f>
        <v/>
      </c>
    </row>
    <row r="23" spans="1:3" x14ac:dyDescent="0.25">
      <c r="A23" s="28" t="str">
        <f ca="1">Calculations!C3</f>
        <v>None</v>
      </c>
      <c r="B23" s="33" t="str">
        <f ca="1">Calculations!H3</f>
        <v/>
      </c>
      <c r="C23" s="35" t="str">
        <f ca="1">Calculations!M3</f>
        <v/>
      </c>
    </row>
    <row r="24" spans="1:3" x14ac:dyDescent="0.25">
      <c r="A24" s="28" t="str">
        <f ca="1">Calculations!C25</f>
        <v/>
      </c>
      <c r="B24" s="33" t="str">
        <f ca="1">Calculations!H25</f>
        <v/>
      </c>
      <c r="C24" s="35" t="str">
        <f ca="1">Calculations!M25</f>
        <v/>
      </c>
    </row>
    <row r="25" spans="1:3" x14ac:dyDescent="0.25">
      <c r="A25" s="28" t="str">
        <f ca="1">Calculations!C26</f>
        <v/>
      </c>
      <c r="B25" s="33" t="str">
        <f ca="1">Calculations!H26</f>
        <v/>
      </c>
      <c r="C25" s="35" t="str">
        <f ca="1">Calculations!M26</f>
        <v/>
      </c>
    </row>
    <row r="26" spans="1:3" ht="15.75" thickBot="1" x14ac:dyDescent="0.3">
      <c r="A26" s="29" t="str">
        <f ca="1">Calculations!C27</f>
        <v/>
      </c>
      <c r="B26" s="36" t="str">
        <f ca="1">Calculations!H27</f>
        <v/>
      </c>
      <c r="C26" s="48" t="str">
        <f ca="1">Calculations!M27</f>
        <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6" t="s">
        <v>33</v>
      </c>
      <c r="B38" s="51" t="s">
        <v>36</v>
      </c>
    </row>
    <row r="39" spans="1:27" ht="15.75" thickBot="1" x14ac:dyDescent="0.3">
      <c r="A39" s="47">
        <v>100</v>
      </c>
      <c r="B39" s="52" t="s">
        <v>37</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5" t="s">
        <v>34</v>
      </c>
      <c r="B41" s="38" t="str">
        <f ca="1">IF(ISNUMBER($B2),$A2,"")</f>
        <v>Transportation Demand Management</v>
      </c>
      <c r="C41" s="38" t="str">
        <f ca="1">IF(ISNUMBER($B3),$A3,"")</f>
        <v>Industry Energy Efficiency</v>
      </c>
      <c r="D41" s="38" t="str">
        <f ca="1">IF(ISNUMBER($B4),$A4,"")</f>
        <v>Material Efficiency, Longevity, n Re-Use</v>
      </c>
      <c r="E41" s="38" t="str">
        <f ca="1">IF(ISNUMBER($B5),$A5,"")</f>
        <v>Building Energy Efficiency Standards</v>
      </c>
      <c r="F41" s="38" t="str">
        <f ca="1">IF(ISNUMBER($B6),$A6,"")</f>
        <v>Vehicle Fuel Economy Standards</v>
      </c>
      <c r="G41" s="38" t="str">
        <f ca="1">IF(ISNUMBER($B7),$A7,"")</f>
        <v>Shift to Non-Animal Products</v>
      </c>
      <c r="H41" s="38" t="str">
        <f ca="1">IF(ISNUMBER($B8),$A8,"")</f>
        <v>Reduce F-gases</v>
      </c>
      <c r="I41" s="38" t="str">
        <f ca="1">IF(ISNUMBER($B9),$A9,"")</f>
        <v>Reduce Agriculture Process Emissions</v>
      </c>
      <c r="J41" s="38" t="str">
        <f ca="1">IF(ISNUMBER($B10),$A10,"")</f>
        <v>Worker Training</v>
      </c>
      <c r="K41" s="38" t="str">
        <f ca="1">IF(ISNUMBER($B11),$A11,"")</f>
        <v>Cement Clinker Substitution</v>
      </c>
      <c r="L41" s="38" t="str">
        <f ca="1">IF(ISNUMBER($B12),$A12,"")</f>
        <v>Land Use Policies</v>
      </c>
      <c r="M41" s="38" t="str">
        <f ca="1">IF(ISNUMBER($B13),$A13,"")</f>
        <v>CES and Supporting Policies</v>
      </c>
      <c r="N41" s="38" t="str">
        <f ca="1">IF(ISNUMBER($B14),$A14,"")</f>
        <v>Building Component Electrification</v>
      </c>
      <c r="O41" s="38" t="str">
        <f ca="1">IF(ISNUMBER($B15),$A15,"")</f>
        <v>Carbon Tax</v>
      </c>
      <c r="P41" s="38" t="str">
        <f ca="1">IF(ISNUMBER($B16),$A16,"")</f>
        <v>Methane Capture and Destruction</v>
      </c>
      <c r="Q41" s="38" t="str">
        <f ca="1">IF(ISNUMBER($B17),$A17,"")</f>
        <v>ZEV Sales Mandate</v>
      </c>
      <c r="R41" s="38" t="str">
        <f ca="1">IF(ISNUMBER($B18),$A18,"")</f>
        <v>Increased Retrofitting</v>
      </c>
      <c r="S41" s="38" t="str">
        <f ca="1">IF(ISNUMBER($B19),$A19,"")</f>
        <v>Hydrogen Electrolysis</v>
      </c>
      <c r="T41" s="38" t="str">
        <f ca="1">IF(ISNUMBER($B20),$A20,"")</f>
        <v>Industrial Electrification</v>
      </c>
      <c r="U41" s="38" t="str">
        <f ca="1">IF(ISNUMBER($B21),$A21,"")</f>
        <v/>
      </c>
      <c r="V41" s="38" t="str">
        <f ca="1">IF(ISNUMBER($B22),$A22,"")</f>
        <v/>
      </c>
      <c r="W41" s="38" t="str">
        <f ca="1">IF(ISNUMBER($B23),$A23,"")</f>
        <v/>
      </c>
      <c r="X41" s="38" t="str">
        <f ca="1">IF(ISNUMBER($B24),$A24,"")</f>
        <v/>
      </c>
      <c r="Y41" s="38" t="str">
        <f ca="1">IF(ISNUMBER($B25),$A25,"")</f>
        <v/>
      </c>
      <c r="Z41" s="38" t="str">
        <f ca="1">IF(ISNUMBER($B26),$A26,"")</f>
        <v/>
      </c>
      <c r="AA41" s="14"/>
    </row>
    <row r="42" spans="1:27" s="2" customFormat="1" x14ac:dyDescent="0.25">
      <c r="A42" s="43">
        <v>0</v>
      </c>
      <c r="B42" s="41"/>
      <c r="C42" s="38"/>
      <c r="D42" s="38"/>
      <c r="E42" s="38"/>
      <c r="F42" s="38"/>
      <c r="G42" s="38"/>
      <c r="H42" s="38"/>
      <c r="I42" s="38"/>
      <c r="J42" s="38"/>
      <c r="K42" s="38"/>
      <c r="L42" s="38"/>
      <c r="M42" s="38"/>
      <c r="N42" s="38"/>
      <c r="O42" s="38"/>
      <c r="P42" s="38"/>
      <c r="Q42" s="38"/>
      <c r="R42" s="38"/>
      <c r="S42" s="38"/>
      <c r="T42" s="38"/>
      <c r="U42" s="38"/>
      <c r="V42" s="38"/>
      <c r="W42" s="38"/>
      <c r="X42" s="38"/>
      <c r="Y42" s="38"/>
      <c r="Z42" s="38"/>
      <c r="AA42" s="14"/>
    </row>
    <row r="43" spans="1:27" s="2" customFormat="1" x14ac:dyDescent="0.25">
      <c r="A43" s="20">
        <f>A42</f>
        <v>0</v>
      </c>
      <c r="B43" s="39">
        <f ca="1">IF(ISNUMBER($C2),$C2,NA())</f>
        <v>-991.18937744507002</v>
      </c>
      <c r="C43"/>
      <c r="D43"/>
      <c r="E43"/>
      <c r="F43"/>
      <c r="G43"/>
      <c r="H43"/>
      <c r="I43"/>
      <c r="J43"/>
      <c r="K43"/>
      <c r="L43"/>
      <c r="M43"/>
      <c r="N43"/>
      <c r="O43"/>
      <c r="P43"/>
      <c r="Q43"/>
      <c r="R43"/>
      <c r="S43"/>
      <c r="T43"/>
      <c r="U43"/>
      <c r="V43"/>
      <c r="W43"/>
      <c r="X43"/>
      <c r="Y43"/>
      <c r="Z43"/>
      <c r="AA43" s="14"/>
    </row>
    <row r="44" spans="1:27" x14ac:dyDescent="0.25">
      <c r="A44" s="6">
        <f ca="1">IF(ISNUMBER(B2),B2*$A$39+A43,NA())</f>
        <v>9556.1960363370836</v>
      </c>
      <c r="B44" s="39">
        <f ca="1">IF(ISNUMBER($C2),$C2,NA())</f>
        <v>-991.18937744507002</v>
      </c>
    </row>
    <row r="45" spans="1:27" x14ac:dyDescent="0.25">
      <c r="A45" s="20">
        <f ca="1">A44</f>
        <v>9556.1960363370836</v>
      </c>
      <c r="C45" s="39">
        <f ca="1">IF(ISNUMBER($C3),$C3,NA())</f>
        <v>-393.02909467369363</v>
      </c>
    </row>
    <row r="46" spans="1:27" x14ac:dyDescent="0.25">
      <c r="A46" s="6">
        <f ca="1">IF(ISNUMBER(B3),B3*$A$39+A45,NA())</f>
        <v>25255.164888182997</v>
      </c>
      <c r="C46" s="39">
        <f ca="1">IF(ISNUMBER($C3),$C3,NA())</f>
        <v>-393.02909467369363</v>
      </c>
    </row>
    <row r="47" spans="1:27" x14ac:dyDescent="0.25">
      <c r="A47" s="20">
        <f ca="1">A46</f>
        <v>25255.164888182997</v>
      </c>
      <c r="D47" s="39">
        <f ca="1">IF(ISNUMBER($C4),$C4,NA())</f>
        <v>-233.78643174155746</v>
      </c>
    </row>
    <row r="48" spans="1:27" x14ac:dyDescent="0.25">
      <c r="A48" s="6">
        <f ca="1">IF(ISNUMBER(B4),B4*$A$39+A47,NA())</f>
        <v>58628.929461306441</v>
      </c>
      <c r="D48" s="39">
        <f ca="1">IF(ISNUMBER($C4),$C4,NA())</f>
        <v>-233.78643174155746</v>
      </c>
    </row>
    <row r="49" spans="1:12" x14ac:dyDescent="0.25">
      <c r="A49" s="20">
        <f ca="1">A48</f>
        <v>58628.929461306441</v>
      </c>
      <c r="E49" s="39">
        <f ca="1">IF(ISNUMBER($C5),$C5,NA())</f>
        <v>-226.44361151867682</v>
      </c>
    </row>
    <row r="50" spans="1:12" x14ac:dyDescent="0.25">
      <c r="A50" s="6">
        <f ca="1">IF(ISNUMBER(B5),B5*$A$39+A49,NA())</f>
        <v>65695.375294862388</v>
      </c>
      <c r="E50" s="39">
        <f ca="1">IF(ISNUMBER($C5),$C5,NA())</f>
        <v>-226.44361151867682</v>
      </c>
    </row>
    <row r="51" spans="1:12" x14ac:dyDescent="0.25">
      <c r="A51" s="20">
        <f ca="1">A50</f>
        <v>65695.375294862388</v>
      </c>
      <c r="F51" s="39">
        <f ca="1">IF(ISNUMBER($C6),$C6,NA())</f>
        <v>-130.48476048382798</v>
      </c>
    </row>
    <row r="52" spans="1:12" x14ac:dyDescent="0.25">
      <c r="A52" s="6">
        <f ca="1">IF(ISNUMBER(B6),B6*$A$39+A51,NA())</f>
        <v>67591.335700327516</v>
      </c>
      <c r="F52" s="39">
        <f ca="1">IF(ISNUMBER($C6),$C6,NA())</f>
        <v>-130.48476048382798</v>
      </c>
    </row>
    <row r="53" spans="1:12" x14ac:dyDescent="0.25">
      <c r="A53" s="20">
        <f t="shared" ref="A53" ca="1" si="0">A52</f>
        <v>67591.335700327516</v>
      </c>
      <c r="G53" s="39">
        <f ca="1">IF(ISNUMBER($C7),$C7,NA())</f>
        <v>-11.909659817473649</v>
      </c>
    </row>
    <row r="54" spans="1:12" x14ac:dyDescent="0.25">
      <c r="A54" s="6">
        <f ca="1">IF(ISNUMBER(B7),B7*$A$39+A53,NA())</f>
        <v>86755.814597327655</v>
      </c>
      <c r="G54" s="39">
        <f ca="1">IF(ISNUMBER($C7),$C7,NA())</f>
        <v>-11.909659817473649</v>
      </c>
    </row>
    <row r="55" spans="1:12" x14ac:dyDescent="0.25">
      <c r="A55" s="20">
        <f t="shared" ref="A55:A93" ca="1" si="1">A54</f>
        <v>86755.814597327655</v>
      </c>
      <c r="H55" s="39">
        <f ca="1">IF(ISNUMBER($C8),$C8,NA())</f>
        <v>-1.1954366853504876</v>
      </c>
    </row>
    <row r="56" spans="1:12" x14ac:dyDescent="0.25">
      <c r="A56" s="6">
        <f ca="1">IF(ISNUMBER(B8),B8*$A$39+A55,NA())</f>
        <v>97655.850701274641</v>
      </c>
      <c r="H56" s="39">
        <f ca="1">IF(ISNUMBER($C8),$C8,NA())</f>
        <v>-1.1954366853504876</v>
      </c>
    </row>
    <row r="57" spans="1:12" x14ac:dyDescent="0.25">
      <c r="A57" s="20">
        <f t="shared" ca="1" si="1"/>
        <v>97655.850701274641</v>
      </c>
      <c r="I57" s="39">
        <f ca="1">IF(ISNUMBER($C9),$C9,NA())</f>
        <v>-0.69813502424468499</v>
      </c>
    </row>
    <row r="58" spans="1:12" x14ac:dyDescent="0.25">
      <c r="A58" s="6">
        <f ca="1">IF(ISNUMBER(B9),B9*$A$39+A57,NA())</f>
        <v>100781.06016083255</v>
      </c>
      <c r="I58" s="39">
        <f ca="1">IF(ISNUMBER($C9),$C9,NA())</f>
        <v>-0.69813502424468499</v>
      </c>
    </row>
    <row r="59" spans="1:12" x14ac:dyDescent="0.25">
      <c r="A59" s="20">
        <f t="shared" ca="1" si="1"/>
        <v>100781.06016083255</v>
      </c>
      <c r="J59" s="39">
        <f ca="1">IF(ISNUMBER($C10),$C10,NA())</f>
        <v>-0.21284604397703807</v>
      </c>
    </row>
    <row r="60" spans="1:12" x14ac:dyDescent="0.25">
      <c r="A60" s="6">
        <f ca="1">IF(ISNUMBER(B10),B10*$A$39+A59,NA())</f>
        <v>101777.65473293602</v>
      </c>
      <c r="J60" s="39">
        <f ca="1">IF(ISNUMBER($C10),$C10,NA())</f>
        <v>-0.21284604397703807</v>
      </c>
    </row>
    <row r="61" spans="1:12" x14ac:dyDescent="0.25">
      <c r="A61" s="20">
        <f t="shared" ca="1" si="1"/>
        <v>101777.65473293602</v>
      </c>
      <c r="K61" s="39">
        <f ca="1">IF(ISNUMBER($C11),$C11,NA())</f>
        <v>1.415138562658145</v>
      </c>
    </row>
    <row r="62" spans="1:12" x14ac:dyDescent="0.25">
      <c r="A62" s="6">
        <f ca="1">IF(ISNUMBER(B11),B11*$A$39+A61,NA())</f>
        <v>102805.50139963506</v>
      </c>
      <c r="K62" s="39">
        <f ca="1">IF(ISNUMBER($C11),$C11,NA())</f>
        <v>1.415138562658145</v>
      </c>
    </row>
    <row r="63" spans="1:12" x14ac:dyDescent="0.25">
      <c r="A63" s="20">
        <f t="shared" ca="1" si="1"/>
        <v>102805.50139963506</v>
      </c>
      <c r="L63" s="39">
        <f ca="1">IF(ISNUMBER($C12),$C12,NA())</f>
        <v>9.2293842553597916</v>
      </c>
    </row>
    <row r="64" spans="1:12" x14ac:dyDescent="0.25">
      <c r="A64" s="6">
        <f ca="1">IF(ISNUMBER(B12),B12*$A$39+A63,NA())</f>
        <v>112691.58065670326</v>
      </c>
      <c r="L64" s="39">
        <f ca="1">IF(ISNUMBER($C12),$C12,NA())</f>
        <v>9.2293842553597916</v>
      </c>
    </row>
    <row r="65" spans="1:20" x14ac:dyDescent="0.25">
      <c r="A65" s="20">
        <f t="shared" ca="1" si="1"/>
        <v>112691.58065670326</v>
      </c>
      <c r="M65" s="39">
        <f ca="1">IF(ISNUMBER($C13),$C13,NA())</f>
        <v>14.194984585866626</v>
      </c>
    </row>
    <row r="66" spans="1:20" x14ac:dyDescent="0.25">
      <c r="A66" s="6">
        <f ca="1">IF(ISNUMBER(B13),B13*$A$39+A65,NA())</f>
        <v>156159.77178419876</v>
      </c>
      <c r="M66" s="39">
        <f ca="1">IF(ISNUMBER($C13),$C13,NA())</f>
        <v>14.194984585866626</v>
      </c>
    </row>
    <row r="67" spans="1:20" x14ac:dyDescent="0.25">
      <c r="A67" s="20">
        <f t="shared" ca="1" si="1"/>
        <v>156159.77178419876</v>
      </c>
      <c r="N67" s="39">
        <f ca="1">IF(ISNUMBER($C14),$C14,NA())</f>
        <v>19.425095862875121</v>
      </c>
    </row>
    <row r="68" spans="1:20" x14ac:dyDescent="0.25">
      <c r="A68" s="6">
        <f ca="1">IF(ISNUMBER(B14),B14*$A$39+A67,NA())</f>
        <v>176907.69014070823</v>
      </c>
      <c r="N68" s="39">
        <f ca="1">IF(ISNUMBER($C14),$C14,NA())</f>
        <v>19.425095862875121</v>
      </c>
    </row>
    <row r="69" spans="1:20" x14ac:dyDescent="0.25">
      <c r="A69" s="20">
        <f t="shared" ca="1" si="1"/>
        <v>176907.69014070823</v>
      </c>
      <c r="O69" s="39">
        <f ca="1">IF(ISNUMBER($C15),$C15,NA())</f>
        <v>29.738738695098263</v>
      </c>
    </row>
    <row r="70" spans="1:20" x14ac:dyDescent="0.25">
      <c r="A70" s="6">
        <f ca="1">IF(ISNUMBER(B15),B15*$A$39+A69,NA())</f>
        <v>191613.53687540576</v>
      </c>
      <c r="O70" s="39">
        <f ca="1">IF(ISNUMBER($C15),$C15,NA())</f>
        <v>29.738738695098263</v>
      </c>
    </row>
    <row r="71" spans="1:20" x14ac:dyDescent="0.25">
      <c r="A71" s="20">
        <f t="shared" ca="1" si="1"/>
        <v>191613.53687540576</v>
      </c>
      <c r="P71" s="39">
        <f ca="1">IF(ISNUMBER($C16),$C16,NA())</f>
        <v>36.388705142510496</v>
      </c>
    </row>
    <row r="72" spans="1:20" x14ac:dyDescent="0.25">
      <c r="A72" s="6">
        <f ca="1">IF(ISNUMBER(B16),B16*$A$39+A71,NA())</f>
        <v>200610.66766397748</v>
      </c>
      <c r="P72" s="39">
        <f ca="1">IF(ISNUMBER($C16),$C16,NA())</f>
        <v>36.388705142510496</v>
      </c>
    </row>
    <row r="73" spans="1:20" x14ac:dyDescent="0.25">
      <c r="A73" s="20">
        <f t="shared" ca="1" si="1"/>
        <v>200610.66766397748</v>
      </c>
      <c r="Q73" s="39">
        <f ca="1">IF(ISNUMBER($C17),$C17,NA())</f>
        <v>59.995978646027609</v>
      </c>
    </row>
    <row r="74" spans="1:20" x14ac:dyDescent="0.25">
      <c r="A74" s="6">
        <f ca="1">IF(ISNUMBER(B17),B17*$A$39+A73,NA())</f>
        <v>233668.43883619006</v>
      </c>
      <c r="Q74" s="39">
        <f ca="1">IF(ISNUMBER($C17),$C17,NA())</f>
        <v>59.995978646027609</v>
      </c>
    </row>
    <row r="75" spans="1:20" x14ac:dyDescent="0.25">
      <c r="A75" s="20">
        <f t="shared" ca="1" si="1"/>
        <v>233668.43883619006</v>
      </c>
      <c r="R75" s="40">
        <f ca="1">IF(ISNUMBER($C18),$C18,NA())</f>
        <v>1075.8791913302953</v>
      </c>
    </row>
    <row r="76" spans="1:20" x14ac:dyDescent="0.25">
      <c r="A76" s="6">
        <f ca="1">IF(ISNUMBER(B18),B18*$A$39+A75,NA())</f>
        <v>237661.76203451407</v>
      </c>
      <c r="R76" s="40">
        <f ca="1">IF(ISNUMBER($C18),$C18,NA())</f>
        <v>1075.8791913302953</v>
      </c>
    </row>
    <row r="77" spans="1:20" x14ac:dyDescent="0.25">
      <c r="A77" s="20">
        <f t="shared" ca="1" si="1"/>
        <v>237661.76203451407</v>
      </c>
      <c r="S77" s="40">
        <f ca="1">IF(ISNUMBER($C19),$C19,NA())</f>
        <v>1097.0641722854475</v>
      </c>
    </row>
    <row r="78" spans="1:20" x14ac:dyDescent="0.25">
      <c r="A78" s="6">
        <f ca="1">IF(ISNUMBER(B19),B19*$A$39+A77,NA())</f>
        <v>243544.10072839307</v>
      </c>
      <c r="S78" s="40">
        <f ca="1">IF(ISNUMBER($C19),$C19,NA())</f>
        <v>1097.0641722854475</v>
      </c>
    </row>
    <row r="79" spans="1:20" x14ac:dyDescent="0.25">
      <c r="A79" s="20">
        <f t="shared" ca="1" si="1"/>
        <v>243544.10072839307</v>
      </c>
      <c r="T79" s="40">
        <f ca="1">IF(ISNUMBER($C20),$C20,NA())</f>
        <v>1420.6981352685989</v>
      </c>
    </row>
    <row r="80" spans="1:20" x14ac:dyDescent="0.25">
      <c r="A80" s="6">
        <f ca="1">IF(ISNUMBER(B20),B20*$A$39+A79,NA())</f>
        <v>259975.75757575757</v>
      </c>
      <c r="T80" s="40">
        <f ca="1">IF(ISNUMBER($C20),$C20,NA())</f>
        <v>1420.6981352685989</v>
      </c>
    </row>
    <row r="81" spans="1:26" x14ac:dyDescent="0.25">
      <c r="A81" s="20">
        <f t="shared" ca="1" si="1"/>
        <v>259975.75757575757</v>
      </c>
      <c r="U81" s="40" t="e">
        <f ca="1">IF(ISNUMBER($C21),$C21,NA())</f>
        <v>#N/A</v>
      </c>
    </row>
    <row r="82" spans="1:26" x14ac:dyDescent="0.25">
      <c r="A82" s="6" t="e">
        <f ca="1">IF(ISNUMBER(B21),B21*$A$39+A81,NA())</f>
        <v>#N/A</v>
      </c>
      <c r="U82" s="40" t="e">
        <f ca="1">IF(ISNUMBER($C21),$C21,NA())</f>
        <v>#N/A</v>
      </c>
    </row>
    <row r="83" spans="1:26" x14ac:dyDescent="0.25">
      <c r="A83" s="20" t="e">
        <f t="shared" ca="1" si="1"/>
        <v>#N/A</v>
      </c>
      <c r="V83" s="39" t="e">
        <f ca="1">IF(ISNUMBER($C22),$C22,NA())</f>
        <v>#N/A</v>
      </c>
    </row>
    <row r="84" spans="1:26" x14ac:dyDescent="0.25">
      <c r="A84" s="6" t="e">
        <f ca="1">IF(ISNUMBER(B22),B22*$A$39+A83,NA())</f>
        <v>#N/A</v>
      </c>
      <c r="V84" s="39" t="e">
        <f ca="1">IF(ISNUMBER($C22),$C22,NA())</f>
        <v>#N/A</v>
      </c>
    </row>
    <row r="85" spans="1:26" x14ac:dyDescent="0.25">
      <c r="A85" s="20" t="e">
        <f t="shared" ca="1" si="1"/>
        <v>#N/A</v>
      </c>
      <c r="W85" s="39" t="e">
        <f ca="1">IF(ISNUMBER($C23),$C23,NA())</f>
        <v>#N/A</v>
      </c>
    </row>
    <row r="86" spans="1:26" x14ac:dyDescent="0.25">
      <c r="A86" s="6" t="e">
        <f ca="1">IF(ISNUMBER(B23),B23*$A$39+A85,NA())</f>
        <v>#N/A</v>
      </c>
      <c r="W86" s="39" t="e">
        <f ca="1">IF(ISNUMBER($C23),$C23,NA())</f>
        <v>#N/A</v>
      </c>
    </row>
    <row r="87" spans="1:26" x14ac:dyDescent="0.25">
      <c r="A87" s="20" t="e">
        <f t="shared" ca="1" si="1"/>
        <v>#N/A</v>
      </c>
      <c r="X87" s="39" t="e">
        <f ca="1">IF(ISNUMBER($C24),$C24,NA())</f>
        <v>#N/A</v>
      </c>
    </row>
    <row r="88" spans="1:26" x14ac:dyDescent="0.25">
      <c r="A88" s="6" t="e">
        <f ca="1">IF(ISNUMBER(B24),B24*$A$39+A87,NA())</f>
        <v>#N/A</v>
      </c>
      <c r="X88" s="39" t="e">
        <f ca="1">IF(ISNUMBER($C24),$C24,NA())</f>
        <v>#N/A</v>
      </c>
    </row>
    <row r="89" spans="1:26" x14ac:dyDescent="0.25">
      <c r="A89" s="20" t="e">
        <f t="shared" ca="1" si="1"/>
        <v>#N/A</v>
      </c>
      <c r="Y89" s="39" t="e">
        <f ca="1">IF(ISNUMBER($C25),$C25,NA())</f>
        <v>#N/A</v>
      </c>
    </row>
    <row r="90" spans="1:26" x14ac:dyDescent="0.25">
      <c r="A90" s="6" t="e">
        <f ca="1">IF(ISNUMBER(B25),B25*$A$39+A89,NA())</f>
        <v>#N/A</v>
      </c>
      <c r="Y90" s="39" t="e">
        <f ca="1">IF(ISNUMBER($C25),$C25,NA())</f>
        <v>#N/A</v>
      </c>
    </row>
    <row r="91" spans="1:26" x14ac:dyDescent="0.25">
      <c r="A91" s="20" t="e">
        <f t="shared" ca="1" si="1"/>
        <v>#N/A</v>
      </c>
      <c r="Z91" s="39" t="e">
        <f ca="1">IF(ISNUMBER($C26),$C26,NA())</f>
        <v>#N/A</v>
      </c>
    </row>
    <row r="92" spans="1:26" x14ac:dyDescent="0.25">
      <c r="A92" s="6" t="e">
        <f ca="1">IF(ISNUMBER(B26),B26*$A$39+A91,NA())</f>
        <v>#N/A</v>
      </c>
      <c r="Z92" s="39" t="e">
        <f ca="1">IF(ISNUMBER($C26),$C26,NA())</f>
        <v>#N/A</v>
      </c>
    </row>
    <row r="93" spans="1:26" x14ac:dyDescent="0.25">
      <c r="A93" s="20" t="e">
        <f t="shared" ca="1" si="1"/>
        <v>#N/A</v>
      </c>
    </row>
    <row r="94" spans="1:26" s="9" customFormat="1" x14ac:dyDescent="0.25"/>
    <row r="96" spans="1:26" x14ac:dyDescent="0.25">
      <c r="C96" s="38" t="str">
        <f ca="1">IF(ISNUMBER($B23),$A23,"")</f>
        <v/>
      </c>
    </row>
    <row r="97" spans="3:3" x14ac:dyDescent="0.25">
      <c r="C97" s="38" t="str">
        <f ca="1">IF(ISNUMBER($B24),$A24,"")</f>
        <v/>
      </c>
    </row>
    <row r="98" spans="3:3" x14ac:dyDescent="0.25">
      <c r="C98" s="38" t="str">
        <f ca="1">IF(ISNUMBER($B25),$A25,"")</f>
        <v/>
      </c>
    </row>
    <row r="99" spans="3:3" x14ac:dyDescent="0.25">
      <c r="C99" s="38" t="str">
        <f ca="1">IF(ISNUMBER($B26),$A26,"")</f>
        <v/>
      </c>
    </row>
    <row r="100" spans="3:3" x14ac:dyDescent="0.25">
      <c r="C100" s="38"/>
    </row>
    <row r="101" spans="3:3" x14ac:dyDescent="0.25">
      <c r="C101" s="38"/>
    </row>
    <row r="102" spans="3:3" x14ac:dyDescent="0.25">
      <c r="C102" s="38"/>
    </row>
    <row r="103" spans="3:3" x14ac:dyDescent="0.25">
      <c r="C103" s="38"/>
    </row>
    <row r="104" spans="3:3" x14ac:dyDescent="0.25">
      <c r="C104" s="38"/>
    </row>
    <row r="105" spans="3:3" x14ac:dyDescent="0.25">
      <c r="C105" s="38"/>
    </row>
    <row r="106" spans="3:3" x14ac:dyDescent="0.25">
      <c r="C106" s="38"/>
    </row>
    <row r="107" spans="3:3" x14ac:dyDescent="0.25">
      <c r="C107" s="38"/>
    </row>
    <row r="108" spans="3:3" x14ac:dyDescent="0.25">
      <c r="C108" s="38"/>
    </row>
    <row r="109" spans="3:3" x14ac:dyDescent="0.25">
      <c r="C109" s="38"/>
    </row>
    <row r="110" spans="3:3" x14ac:dyDescent="0.25">
      <c r="C110" s="38"/>
    </row>
    <row r="111" spans="3:3" x14ac:dyDescent="0.25">
      <c r="C111" s="38"/>
    </row>
    <row r="112" spans="3:3" x14ac:dyDescent="0.25">
      <c r="C112" s="38"/>
    </row>
    <row r="113" spans="3:3" x14ac:dyDescent="0.25">
      <c r="C113" s="38"/>
    </row>
    <row r="114" spans="3:3" x14ac:dyDescent="0.25">
      <c r="C114" s="38"/>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43"/>
  <sheetViews>
    <sheetView topLeftCell="A25" workbookViewId="0">
      <selection activeCell="H60" sqref="H60"/>
    </sheetView>
  </sheetViews>
  <sheetFormatPr defaultRowHeight="15" x14ac:dyDescent="0.25"/>
  <sheetData>
    <row r="1" spans="1:36" x14ac:dyDescent="0.25">
      <c r="A1" s="55" t="s">
        <v>0</v>
      </c>
      <c r="B1" s="55" t="s">
        <v>1</v>
      </c>
      <c r="C1" s="55" t="s">
        <v>2</v>
      </c>
      <c r="D1" s="55">
        <v>2018</v>
      </c>
      <c r="E1" s="55">
        <v>2019</v>
      </c>
      <c r="F1" s="55">
        <v>2020</v>
      </c>
      <c r="G1" s="55">
        <v>2021</v>
      </c>
      <c r="H1" s="55">
        <v>2022</v>
      </c>
      <c r="I1" s="55">
        <v>2023</v>
      </c>
      <c r="J1" s="55">
        <v>2024</v>
      </c>
      <c r="K1" s="55">
        <v>2025</v>
      </c>
      <c r="L1" s="55">
        <v>2026</v>
      </c>
      <c r="M1" s="55">
        <v>2027</v>
      </c>
      <c r="N1" s="55">
        <v>2028</v>
      </c>
      <c r="O1" s="55">
        <v>2029</v>
      </c>
      <c r="P1" s="55">
        <v>2030</v>
      </c>
      <c r="Q1" s="55">
        <v>2031</v>
      </c>
      <c r="R1" s="55">
        <v>2032</v>
      </c>
      <c r="S1" s="55">
        <v>2033</v>
      </c>
      <c r="T1" s="55">
        <v>2034</v>
      </c>
      <c r="U1" s="55">
        <v>2035</v>
      </c>
      <c r="V1" s="55">
        <v>2036</v>
      </c>
      <c r="W1" s="55">
        <v>2037</v>
      </c>
      <c r="X1" s="55">
        <v>2038</v>
      </c>
      <c r="Y1" s="55">
        <v>2039</v>
      </c>
      <c r="Z1" s="55">
        <v>2040</v>
      </c>
      <c r="AA1" s="55">
        <v>2041</v>
      </c>
      <c r="AB1" s="55">
        <v>2042</v>
      </c>
      <c r="AC1" s="55">
        <v>2043</v>
      </c>
      <c r="AD1" s="55">
        <v>2044</v>
      </c>
      <c r="AE1" s="55">
        <v>2045</v>
      </c>
      <c r="AF1" s="55">
        <v>2046</v>
      </c>
      <c r="AG1" s="55">
        <v>2047</v>
      </c>
      <c r="AH1" s="55">
        <v>2048</v>
      </c>
      <c r="AI1" s="55">
        <v>2049</v>
      </c>
      <c r="AJ1" s="55">
        <v>2050</v>
      </c>
    </row>
    <row r="2" spans="1:36" x14ac:dyDescent="0.25">
      <c r="A2" s="55" t="s">
        <v>3</v>
      </c>
      <c r="B2" s="55" t="s">
        <v>1</v>
      </c>
      <c r="C2" s="55" t="s">
        <v>2</v>
      </c>
      <c r="D2" s="55">
        <v>6023.51</v>
      </c>
      <c r="E2" s="55">
        <v>11836.2</v>
      </c>
      <c r="F2" s="55">
        <v>17573.5</v>
      </c>
      <c r="G2" s="55">
        <v>23121.8</v>
      </c>
      <c r="H2" s="55">
        <v>28544.1</v>
      </c>
      <c r="I2" s="55">
        <v>33822.300000000003</v>
      </c>
      <c r="J2" s="55">
        <v>38971.1</v>
      </c>
      <c r="K2" s="55">
        <v>43978.5</v>
      </c>
      <c r="L2" s="55">
        <v>48831.4</v>
      </c>
      <c r="M2" s="55">
        <v>53506</v>
      </c>
      <c r="N2" s="55">
        <v>58021.9</v>
      </c>
      <c r="O2" s="55">
        <v>62351.5</v>
      </c>
      <c r="P2" s="55">
        <v>66489</v>
      </c>
      <c r="Q2" s="55">
        <v>70410.7</v>
      </c>
      <c r="R2" s="55">
        <v>74148.5</v>
      </c>
      <c r="S2" s="55">
        <v>77694.2</v>
      </c>
      <c r="T2" s="55">
        <v>81043.399999999994</v>
      </c>
      <c r="U2" s="55">
        <v>84210.3</v>
      </c>
      <c r="V2" s="55">
        <v>87211.199999999997</v>
      </c>
      <c r="W2" s="55">
        <v>90035.7</v>
      </c>
      <c r="X2" s="55">
        <v>92693.7</v>
      </c>
      <c r="Y2" s="55">
        <v>95179.6</v>
      </c>
      <c r="Z2" s="55">
        <v>97493</v>
      </c>
      <c r="AA2" s="55">
        <v>99604.2</v>
      </c>
      <c r="AB2" s="55">
        <v>101502</v>
      </c>
      <c r="AC2" s="55">
        <v>103185</v>
      </c>
      <c r="AD2" s="55">
        <v>104638</v>
      </c>
      <c r="AE2" s="55">
        <v>105861</v>
      </c>
      <c r="AF2" s="55">
        <v>106832</v>
      </c>
      <c r="AG2" s="55">
        <v>107552</v>
      </c>
      <c r="AH2" s="55">
        <v>108029</v>
      </c>
      <c r="AI2" s="55">
        <v>108255</v>
      </c>
      <c r="AJ2" s="55">
        <v>108261</v>
      </c>
    </row>
    <row r="3" spans="1:36" x14ac:dyDescent="0.25">
      <c r="A3" s="55" t="s">
        <v>73</v>
      </c>
      <c r="B3" s="55" t="s">
        <v>1</v>
      </c>
      <c r="C3" s="55" t="s">
        <v>2</v>
      </c>
      <c r="D3" s="55">
        <v>0</v>
      </c>
      <c r="E3" s="55">
        <v>0</v>
      </c>
      <c r="F3" s="56">
        <v>160639000000</v>
      </c>
      <c r="G3" s="56">
        <v>384194000000</v>
      </c>
      <c r="H3" s="56">
        <v>627389000000</v>
      </c>
      <c r="I3" s="56">
        <v>889738000000</v>
      </c>
      <c r="J3" s="56">
        <v>1166840000000</v>
      </c>
      <c r="K3" s="56">
        <v>1451470000000</v>
      </c>
      <c r="L3" s="56">
        <v>1743950000000</v>
      </c>
      <c r="M3" s="56">
        <v>2036930000000</v>
      </c>
      <c r="N3" s="56">
        <v>2326830000000</v>
      </c>
      <c r="O3" s="56">
        <v>2606620000000</v>
      </c>
      <c r="P3" s="56">
        <v>2876120000000</v>
      </c>
      <c r="Q3" s="56">
        <v>3128930000000</v>
      </c>
      <c r="R3" s="56">
        <v>3365360000000</v>
      </c>
      <c r="S3" s="56">
        <v>3583620000000</v>
      </c>
      <c r="T3" s="56">
        <v>3786560000000</v>
      </c>
      <c r="U3" s="56">
        <v>3973610000000</v>
      </c>
      <c r="V3" s="56">
        <v>4142650000000</v>
      </c>
      <c r="W3" s="56">
        <v>4297330000000</v>
      </c>
      <c r="X3" s="56">
        <v>4435650000000</v>
      </c>
      <c r="Y3" s="56">
        <v>4558210000000</v>
      </c>
      <c r="Z3" s="56">
        <v>4666320000000</v>
      </c>
      <c r="AA3" s="56">
        <v>4765240000000</v>
      </c>
      <c r="AB3" s="56">
        <v>4853690000000</v>
      </c>
      <c r="AC3" s="56">
        <v>4935620000000</v>
      </c>
      <c r="AD3" s="56">
        <v>5012880000000</v>
      </c>
      <c r="AE3" s="56">
        <v>5084480000000</v>
      </c>
      <c r="AF3" s="56">
        <v>5149550000000</v>
      </c>
      <c r="AG3" s="56">
        <v>5168700000000</v>
      </c>
      <c r="AH3" s="56">
        <v>5179400000000</v>
      </c>
      <c r="AI3" s="56">
        <v>5180790000000</v>
      </c>
      <c r="AJ3" s="56">
        <v>5170080000000</v>
      </c>
    </row>
    <row r="4" spans="1:36" x14ac:dyDescent="0.25">
      <c r="A4" s="55" t="s">
        <v>3</v>
      </c>
      <c r="B4" s="55" t="s">
        <v>75</v>
      </c>
      <c r="C4" s="55" t="s">
        <v>76</v>
      </c>
      <c r="D4" s="55">
        <v>6023.51</v>
      </c>
      <c r="E4" s="55">
        <v>11836.2</v>
      </c>
      <c r="F4" s="55">
        <v>17572.099999999999</v>
      </c>
      <c r="G4" s="55">
        <v>23116.3</v>
      </c>
      <c r="H4" s="55">
        <v>28532.2</v>
      </c>
      <c r="I4" s="55">
        <v>33829.699999999997</v>
      </c>
      <c r="J4" s="55">
        <v>39028.1</v>
      </c>
      <c r="K4" s="55">
        <v>44115.6</v>
      </c>
      <c r="L4" s="55">
        <v>49092</v>
      </c>
      <c r="M4" s="55">
        <v>53934.7</v>
      </c>
      <c r="N4" s="55">
        <v>58662.7</v>
      </c>
      <c r="O4" s="55">
        <v>63241.1</v>
      </c>
      <c r="P4" s="55">
        <v>67664.100000000006</v>
      </c>
      <c r="Q4" s="55">
        <v>71898.8</v>
      </c>
      <c r="R4" s="55">
        <v>75968.600000000006</v>
      </c>
      <c r="S4" s="55">
        <v>79873.8</v>
      </c>
      <c r="T4" s="55">
        <v>83594</v>
      </c>
      <c r="U4" s="55">
        <v>87146.5</v>
      </c>
      <c r="V4" s="55">
        <v>90544.6</v>
      </c>
      <c r="W4" s="55">
        <v>93776.4</v>
      </c>
      <c r="X4" s="55">
        <v>96850.3</v>
      </c>
      <c r="Y4" s="55">
        <v>99756.1</v>
      </c>
      <c r="Z4" s="55">
        <v>102497</v>
      </c>
      <c r="AA4" s="55">
        <v>105047</v>
      </c>
      <c r="AB4" s="55">
        <v>107382</v>
      </c>
      <c r="AC4" s="55">
        <v>109502</v>
      </c>
      <c r="AD4" s="55">
        <v>111403</v>
      </c>
      <c r="AE4" s="55">
        <v>113087</v>
      </c>
      <c r="AF4" s="55">
        <v>114519</v>
      </c>
      <c r="AG4" s="55">
        <v>115703</v>
      </c>
      <c r="AH4" s="55">
        <v>116624</v>
      </c>
      <c r="AI4" s="55">
        <v>117281</v>
      </c>
      <c r="AJ4" s="55">
        <v>117781</v>
      </c>
    </row>
    <row r="5" spans="1:36" x14ac:dyDescent="0.25">
      <c r="A5" s="55" t="s">
        <v>73</v>
      </c>
      <c r="B5" s="55" t="s">
        <v>75</v>
      </c>
      <c r="C5" s="55" t="s">
        <v>76</v>
      </c>
      <c r="D5" s="55">
        <v>0</v>
      </c>
      <c r="E5" s="55">
        <v>0</v>
      </c>
      <c r="F5" s="56">
        <v>136301000000</v>
      </c>
      <c r="G5" s="56">
        <v>317673000000</v>
      </c>
      <c r="H5" s="56">
        <v>506488000000</v>
      </c>
      <c r="I5" s="56">
        <v>704183000000</v>
      </c>
      <c r="J5" s="56">
        <v>910236000000</v>
      </c>
      <c r="K5" s="56">
        <v>1122080000000</v>
      </c>
      <c r="L5" s="56">
        <v>1343910000000</v>
      </c>
      <c r="M5" s="56">
        <v>1569290000000</v>
      </c>
      <c r="N5" s="56">
        <v>1795500000000</v>
      </c>
      <c r="O5" s="56">
        <v>2017160000000</v>
      </c>
      <c r="P5" s="56">
        <v>2234160000000</v>
      </c>
      <c r="Q5" s="56">
        <v>2444640000000</v>
      </c>
      <c r="R5" s="56">
        <v>2647720000000</v>
      </c>
      <c r="S5" s="56">
        <v>2841680000000</v>
      </c>
      <c r="T5" s="56">
        <v>3026680000000</v>
      </c>
      <c r="U5" s="56">
        <v>3201970000000</v>
      </c>
      <c r="V5" s="56">
        <v>3365870000000</v>
      </c>
      <c r="W5" s="56">
        <v>3519790000000</v>
      </c>
      <c r="X5" s="56">
        <v>3661850000000</v>
      </c>
      <c r="Y5" s="56">
        <v>3791650000000</v>
      </c>
      <c r="Z5" s="56">
        <v>3910100000000</v>
      </c>
      <c r="AA5" s="56">
        <v>4019200000000</v>
      </c>
      <c r="AB5" s="56">
        <v>4117290000000</v>
      </c>
      <c r="AC5" s="56">
        <v>4208560000000</v>
      </c>
      <c r="AD5" s="56">
        <v>4295250000000</v>
      </c>
      <c r="AE5" s="56">
        <v>4376370000000</v>
      </c>
      <c r="AF5" s="56">
        <v>4450460000000</v>
      </c>
      <c r="AG5" s="56">
        <v>4478950000000</v>
      </c>
      <c r="AH5" s="56">
        <v>4499810000000</v>
      </c>
      <c r="AI5" s="56">
        <v>4512300000000</v>
      </c>
      <c r="AJ5" s="56">
        <v>4515580000000</v>
      </c>
    </row>
    <row r="6" spans="1:36" x14ac:dyDescent="0.25">
      <c r="A6" s="55" t="s">
        <v>3</v>
      </c>
      <c r="B6" s="55" t="s">
        <v>4</v>
      </c>
      <c r="C6" s="55" t="s">
        <v>77</v>
      </c>
      <c r="D6" s="55">
        <v>6023.51</v>
      </c>
      <c r="E6" s="55">
        <v>11836.2</v>
      </c>
      <c r="F6" s="55">
        <v>17573.5</v>
      </c>
      <c r="G6" s="55">
        <v>23121.8</v>
      </c>
      <c r="H6" s="55">
        <v>28544.1</v>
      </c>
      <c r="I6" s="55">
        <v>33822.300000000003</v>
      </c>
      <c r="J6" s="55">
        <v>38971.1</v>
      </c>
      <c r="K6" s="55">
        <v>43978.5</v>
      </c>
      <c r="L6" s="55">
        <v>48834.1</v>
      </c>
      <c r="M6" s="55">
        <v>53515.199999999997</v>
      </c>
      <c r="N6" s="55">
        <v>58041.7</v>
      </c>
      <c r="O6" s="55">
        <v>62384.800000000003</v>
      </c>
      <c r="P6" s="55">
        <v>66536.899999999994</v>
      </c>
      <c r="Q6" s="55">
        <v>70474.600000000006</v>
      </c>
      <c r="R6" s="55">
        <v>74229.8</v>
      </c>
      <c r="S6" s="55">
        <v>77794.5</v>
      </c>
      <c r="T6" s="55">
        <v>81162.600000000006</v>
      </c>
      <c r="U6" s="55">
        <v>84348.7</v>
      </c>
      <c r="V6" s="55">
        <v>87369.2</v>
      </c>
      <c r="W6" s="55">
        <v>90214</v>
      </c>
      <c r="X6" s="55">
        <v>92893.2</v>
      </c>
      <c r="Y6" s="55">
        <v>95401.3</v>
      </c>
      <c r="Z6" s="55">
        <v>97738</v>
      </c>
      <c r="AA6" s="55">
        <v>99873.600000000006</v>
      </c>
      <c r="AB6" s="55">
        <v>101797</v>
      </c>
      <c r="AC6" s="55">
        <v>103507</v>
      </c>
      <c r="AD6" s="55">
        <v>104989</v>
      </c>
      <c r="AE6" s="55">
        <v>106242</v>
      </c>
      <c r="AF6" s="55">
        <v>107244</v>
      </c>
      <c r="AG6" s="55">
        <v>107996</v>
      </c>
      <c r="AH6" s="55">
        <v>108507</v>
      </c>
      <c r="AI6" s="55">
        <v>108768</v>
      </c>
      <c r="AJ6" s="55">
        <v>108807</v>
      </c>
    </row>
    <row r="7" spans="1:36" x14ac:dyDescent="0.25">
      <c r="A7" s="55" t="s">
        <v>73</v>
      </c>
      <c r="B7" s="55" t="s">
        <v>4</v>
      </c>
      <c r="C7" s="55" t="s">
        <v>77</v>
      </c>
      <c r="D7" s="55">
        <v>0</v>
      </c>
      <c r="E7" s="55">
        <v>0</v>
      </c>
      <c r="F7" s="56">
        <v>160639000000</v>
      </c>
      <c r="G7" s="56">
        <v>384194000000</v>
      </c>
      <c r="H7" s="56">
        <v>627389000000</v>
      </c>
      <c r="I7" s="56">
        <v>889738000000</v>
      </c>
      <c r="J7" s="56">
        <v>1166840000000</v>
      </c>
      <c r="K7" s="56">
        <v>1451470000000</v>
      </c>
      <c r="L7" s="56">
        <v>1742520000000</v>
      </c>
      <c r="M7" s="56">
        <v>2034080000000</v>
      </c>
      <c r="N7" s="56">
        <v>2323550000000</v>
      </c>
      <c r="O7" s="56">
        <v>2604590000000</v>
      </c>
      <c r="P7" s="56">
        <v>2877240000000</v>
      </c>
      <c r="Q7" s="56">
        <v>3133410000000</v>
      </c>
      <c r="R7" s="56">
        <v>3373370000000</v>
      </c>
      <c r="S7" s="56">
        <v>3595380000000</v>
      </c>
      <c r="T7" s="56">
        <v>3801950000000</v>
      </c>
      <c r="U7" s="56">
        <v>3992570000000</v>
      </c>
      <c r="V7" s="56">
        <v>4165200000000</v>
      </c>
      <c r="W7" s="56">
        <v>4323450000000</v>
      </c>
      <c r="X7" s="56">
        <v>4465420000000</v>
      </c>
      <c r="Y7" s="56">
        <v>4591720000000</v>
      </c>
      <c r="Z7" s="56">
        <v>4703670000000</v>
      </c>
      <c r="AA7" s="56">
        <v>4806520000000</v>
      </c>
      <c r="AB7" s="56">
        <v>4899050000000</v>
      </c>
      <c r="AC7" s="56">
        <v>4985210000000</v>
      </c>
      <c r="AD7" s="56">
        <v>5066790000000</v>
      </c>
      <c r="AE7" s="56">
        <v>5142850000000</v>
      </c>
      <c r="AF7" s="56">
        <v>5212470000000</v>
      </c>
      <c r="AG7" s="56">
        <v>5236240000000</v>
      </c>
      <c r="AH7" s="56">
        <v>5251620000000</v>
      </c>
      <c r="AI7" s="56">
        <v>5257720000000</v>
      </c>
      <c r="AJ7" s="56">
        <v>5251720000000</v>
      </c>
    </row>
    <row r="8" spans="1:36" x14ac:dyDescent="0.25">
      <c r="A8" s="55" t="s">
        <v>3</v>
      </c>
      <c r="B8" s="55" t="s">
        <v>5</v>
      </c>
      <c r="C8" s="55" t="s">
        <v>69</v>
      </c>
      <c r="D8" s="55">
        <v>6023.51</v>
      </c>
      <c r="E8" s="55">
        <v>11836.2</v>
      </c>
      <c r="F8" s="55">
        <v>17585.8</v>
      </c>
      <c r="G8" s="55">
        <v>23159.5</v>
      </c>
      <c r="H8" s="55">
        <v>28619.1</v>
      </c>
      <c r="I8" s="55">
        <v>33945.599999999999</v>
      </c>
      <c r="J8" s="55">
        <v>39151.9</v>
      </c>
      <c r="K8" s="55">
        <v>44225.2</v>
      </c>
      <c r="L8" s="55">
        <v>49151.199999999997</v>
      </c>
      <c r="M8" s="55">
        <v>53904.3</v>
      </c>
      <c r="N8" s="55">
        <v>58504.2</v>
      </c>
      <c r="O8" s="55">
        <v>62922</v>
      </c>
      <c r="P8" s="55">
        <v>67151.7</v>
      </c>
      <c r="Q8" s="55">
        <v>71169.3</v>
      </c>
      <c r="R8" s="55">
        <v>75001.899999999994</v>
      </c>
      <c r="S8" s="55">
        <v>78647.199999999997</v>
      </c>
      <c r="T8" s="55">
        <v>82094.5</v>
      </c>
      <c r="U8" s="55">
        <v>85365.1</v>
      </c>
      <c r="V8" s="55">
        <v>88467.9</v>
      </c>
      <c r="W8" s="55">
        <v>91399</v>
      </c>
      <c r="X8" s="55">
        <v>94161.2</v>
      </c>
      <c r="Y8" s="55">
        <v>96751.3</v>
      </c>
      <c r="Z8" s="55">
        <v>99168.9</v>
      </c>
      <c r="AA8" s="55">
        <v>101369</v>
      </c>
      <c r="AB8" s="55">
        <v>103355</v>
      </c>
      <c r="AC8" s="55">
        <v>105116</v>
      </c>
      <c r="AD8" s="55">
        <v>106656</v>
      </c>
      <c r="AE8" s="55">
        <v>107969</v>
      </c>
      <c r="AF8" s="55">
        <v>109040</v>
      </c>
      <c r="AG8" s="55">
        <v>109879</v>
      </c>
      <c r="AH8" s="55">
        <v>110494</v>
      </c>
      <c r="AI8" s="55">
        <v>110872</v>
      </c>
      <c r="AJ8" s="55">
        <v>111013</v>
      </c>
    </row>
    <row r="9" spans="1:36" x14ac:dyDescent="0.25">
      <c r="A9" s="55" t="s">
        <v>73</v>
      </c>
      <c r="B9" s="55" t="s">
        <v>5</v>
      </c>
      <c r="C9" s="55" t="s">
        <v>69</v>
      </c>
      <c r="D9" s="55">
        <v>0</v>
      </c>
      <c r="E9" s="55">
        <v>0</v>
      </c>
      <c r="F9" s="56">
        <v>169739000000</v>
      </c>
      <c r="G9" s="56">
        <v>412078000000</v>
      </c>
      <c r="H9" s="56">
        <v>683389000000</v>
      </c>
      <c r="I9" s="56">
        <v>982996000000</v>
      </c>
      <c r="J9" s="56">
        <v>1306050000000</v>
      </c>
      <c r="K9" s="56">
        <v>1644850000000</v>
      </c>
      <c r="L9" s="56">
        <v>1999380000000</v>
      </c>
      <c r="M9" s="56">
        <v>2361980000000</v>
      </c>
      <c r="N9" s="56">
        <v>2728440000000</v>
      </c>
      <c r="O9" s="56">
        <v>3091540000000</v>
      </c>
      <c r="P9" s="56">
        <v>3450250000000</v>
      </c>
      <c r="Q9" s="56">
        <v>3797470000000</v>
      </c>
      <c r="R9" s="56">
        <v>4133090000000</v>
      </c>
      <c r="S9" s="56">
        <v>4455660000000</v>
      </c>
      <c r="T9" s="56">
        <v>4767260000000</v>
      </c>
      <c r="U9" s="56">
        <v>5067110000000</v>
      </c>
      <c r="V9" s="56">
        <v>5352830000000</v>
      </c>
      <c r="W9" s="56">
        <v>5627690000000</v>
      </c>
      <c r="X9" s="56">
        <v>5889430000000</v>
      </c>
      <c r="Y9" s="56">
        <v>6138480000000</v>
      </c>
      <c r="Z9" s="56">
        <v>6376250000000</v>
      </c>
      <c r="AA9" s="56">
        <v>6607590000000</v>
      </c>
      <c r="AB9" s="56">
        <v>6832440000000</v>
      </c>
      <c r="AC9" s="56">
        <v>7053890000000</v>
      </c>
      <c r="AD9" s="56">
        <v>7272690000000</v>
      </c>
      <c r="AE9" s="56">
        <v>7487230000000</v>
      </c>
      <c r="AF9" s="56">
        <v>7696210000000</v>
      </c>
      <c r="AG9" s="56">
        <v>7859990000000</v>
      </c>
      <c r="AH9" s="56">
        <v>8015600000000</v>
      </c>
      <c r="AI9" s="56">
        <v>8161740000000</v>
      </c>
      <c r="AJ9" s="56">
        <v>8295840000000</v>
      </c>
    </row>
    <row r="10" spans="1:36" x14ac:dyDescent="0.25">
      <c r="A10" s="55" t="s">
        <v>3</v>
      </c>
      <c r="B10" s="55" t="s">
        <v>78</v>
      </c>
      <c r="C10" s="55" t="s">
        <v>79</v>
      </c>
      <c r="D10" s="55">
        <v>6023.51</v>
      </c>
      <c r="E10" s="55">
        <v>11836.2</v>
      </c>
      <c r="F10" s="55">
        <v>17575.099999999999</v>
      </c>
      <c r="G10" s="55">
        <v>23129</v>
      </c>
      <c r="H10" s="55">
        <v>28561.8</v>
      </c>
      <c r="I10" s="55">
        <v>33858.699999999997</v>
      </c>
      <c r="J10" s="55">
        <v>39039.300000000003</v>
      </c>
      <c r="K10" s="55">
        <v>44082.6</v>
      </c>
      <c r="L10" s="55">
        <v>48981.2</v>
      </c>
      <c r="M10" s="55">
        <v>53712.4</v>
      </c>
      <c r="N10" s="55">
        <v>58297.2</v>
      </c>
      <c r="O10" s="55">
        <v>62709.9</v>
      </c>
      <c r="P10" s="55">
        <v>66949.5</v>
      </c>
      <c r="Q10" s="55">
        <v>70990.600000000006</v>
      </c>
      <c r="R10" s="55">
        <v>74857.399999999994</v>
      </c>
      <c r="S10" s="55">
        <v>78554.2</v>
      </c>
      <c r="T10" s="55">
        <v>82074</v>
      </c>
      <c r="U10" s="55">
        <v>85435</v>
      </c>
      <c r="V10" s="55">
        <v>88653.3</v>
      </c>
      <c r="W10" s="55">
        <v>91717.8</v>
      </c>
      <c r="X10" s="55">
        <v>94633</v>
      </c>
      <c r="Y10" s="55">
        <v>97389.1</v>
      </c>
      <c r="Z10" s="55">
        <v>99984.5</v>
      </c>
      <c r="AA10" s="55">
        <v>102397</v>
      </c>
      <c r="AB10" s="55">
        <v>104625</v>
      </c>
      <c r="AC10" s="55">
        <v>106646</v>
      </c>
      <c r="AD10" s="55">
        <v>108455</v>
      </c>
      <c r="AE10" s="55">
        <v>110041</v>
      </c>
      <c r="AF10" s="55">
        <v>111371</v>
      </c>
      <c r="AG10" s="55">
        <v>112454</v>
      </c>
      <c r="AH10" s="55">
        <v>113276</v>
      </c>
      <c r="AI10" s="55">
        <v>113837</v>
      </c>
      <c r="AJ10" s="55">
        <v>114236</v>
      </c>
    </row>
    <row r="11" spans="1:36" x14ac:dyDescent="0.25">
      <c r="A11" s="55" t="s">
        <v>73</v>
      </c>
      <c r="B11" s="55" t="s">
        <v>78</v>
      </c>
      <c r="C11" s="55" t="s">
        <v>79</v>
      </c>
      <c r="D11" s="55">
        <v>0</v>
      </c>
      <c r="E11" s="55">
        <v>0</v>
      </c>
      <c r="F11" s="56">
        <v>160580000000</v>
      </c>
      <c r="G11" s="56">
        <v>383828000000</v>
      </c>
      <c r="H11" s="56">
        <v>626217000000</v>
      </c>
      <c r="I11" s="56">
        <v>887045000000</v>
      </c>
      <c r="J11" s="56">
        <v>1161890000000</v>
      </c>
      <c r="K11" s="56">
        <v>1442690000000</v>
      </c>
      <c r="L11" s="56">
        <v>1730330000000</v>
      </c>
      <c r="M11" s="56">
        <v>2018530000000</v>
      </c>
      <c r="N11" s="56">
        <v>2303250000000</v>
      </c>
      <c r="O11" s="56">
        <v>2577620000000</v>
      </c>
      <c r="P11" s="56">
        <v>2841390000000</v>
      </c>
      <c r="Q11" s="56">
        <v>3087660000000</v>
      </c>
      <c r="R11" s="56">
        <v>3316460000000</v>
      </c>
      <c r="S11" s="56">
        <v>3527090000000</v>
      </c>
      <c r="T11" s="56">
        <v>3722520000000</v>
      </c>
      <c r="U11" s="56">
        <v>3901470000000</v>
      </c>
      <c r="V11" s="56">
        <v>4062390000000</v>
      </c>
      <c r="W11" s="56">
        <v>4209240000000</v>
      </c>
      <c r="X11" s="56">
        <v>4340420000000</v>
      </c>
      <c r="Y11" s="56">
        <v>4456960000000</v>
      </c>
      <c r="Z11" s="56">
        <v>4560510000000</v>
      </c>
      <c r="AA11" s="56">
        <v>4656000000000</v>
      </c>
      <c r="AB11" s="56">
        <v>4741680000000</v>
      </c>
      <c r="AC11" s="56">
        <v>4819610000000</v>
      </c>
      <c r="AD11" s="56">
        <v>4892370000000</v>
      </c>
      <c r="AE11" s="56">
        <v>4959670000000</v>
      </c>
      <c r="AF11" s="56">
        <v>5020350000000</v>
      </c>
      <c r="AG11" s="56">
        <v>5036120000000</v>
      </c>
      <c r="AH11" s="56">
        <v>5044750000000</v>
      </c>
      <c r="AI11" s="56">
        <v>5045470000000</v>
      </c>
      <c r="AJ11" s="56">
        <v>5037080000000</v>
      </c>
    </row>
    <row r="12" spans="1:36" x14ac:dyDescent="0.25">
      <c r="A12" s="55" t="s">
        <v>3</v>
      </c>
      <c r="B12" s="55" t="s">
        <v>6</v>
      </c>
      <c r="C12" s="55" t="s">
        <v>70</v>
      </c>
      <c r="D12" s="55">
        <v>6023.51</v>
      </c>
      <c r="E12" s="55">
        <v>11836.2</v>
      </c>
      <c r="F12" s="55">
        <v>17574</v>
      </c>
      <c r="G12" s="55">
        <v>23123.5</v>
      </c>
      <c r="H12" s="55">
        <v>28548.5</v>
      </c>
      <c r="I12" s="55">
        <v>33831.5</v>
      </c>
      <c r="J12" s="55">
        <v>38987.300000000003</v>
      </c>
      <c r="K12" s="55">
        <v>44004.800000000003</v>
      </c>
      <c r="L12" s="55">
        <v>48871.1</v>
      </c>
      <c r="M12" s="55">
        <v>53562.3</v>
      </c>
      <c r="N12" s="55">
        <v>58099.8</v>
      </c>
      <c r="O12" s="55">
        <v>62449.9</v>
      </c>
      <c r="P12" s="55">
        <v>66615.8</v>
      </c>
      <c r="Q12" s="55">
        <v>70574</v>
      </c>
      <c r="R12" s="55">
        <v>74351.199999999997</v>
      </c>
      <c r="S12" s="55">
        <v>77945.8</v>
      </c>
      <c r="T12" s="55">
        <v>81346.5</v>
      </c>
      <c r="U12" s="55">
        <v>84568.8</v>
      </c>
      <c r="V12" s="55">
        <v>87629.3</v>
      </c>
      <c r="W12" s="55">
        <v>90517.5</v>
      </c>
      <c r="X12" s="55">
        <v>93243.1</v>
      </c>
      <c r="Y12" s="55">
        <v>95804</v>
      </c>
      <c r="Z12" s="55">
        <v>98199.9</v>
      </c>
      <c r="AA12" s="55">
        <v>100386</v>
      </c>
      <c r="AB12" s="55">
        <v>102364</v>
      </c>
      <c r="AC12" s="55">
        <v>104124</v>
      </c>
      <c r="AD12" s="55">
        <v>105669</v>
      </c>
      <c r="AE12" s="55">
        <v>106994</v>
      </c>
      <c r="AF12" s="55">
        <v>108089</v>
      </c>
      <c r="AG12" s="55">
        <v>108962</v>
      </c>
      <c r="AH12" s="55">
        <v>109628</v>
      </c>
      <c r="AI12" s="55">
        <v>110075</v>
      </c>
      <c r="AJ12" s="55">
        <v>110296</v>
      </c>
    </row>
    <row r="13" spans="1:36" x14ac:dyDescent="0.25">
      <c r="A13" s="55" t="s">
        <v>73</v>
      </c>
      <c r="B13" s="55" t="s">
        <v>6</v>
      </c>
      <c r="C13" s="55" t="s">
        <v>70</v>
      </c>
      <c r="D13" s="55">
        <v>0</v>
      </c>
      <c r="E13" s="55">
        <v>0</v>
      </c>
      <c r="F13" s="56">
        <v>159977000000</v>
      </c>
      <c r="G13" s="56">
        <v>382593000000</v>
      </c>
      <c r="H13" s="56">
        <v>624909000000</v>
      </c>
      <c r="I13" s="56">
        <v>886688000000</v>
      </c>
      <c r="J13" s="56">
        <v>1163830000000</v>
      </c>
      <c r="K13" s="56">
        <v>1449380000000</v>
      </c>
      <c r="L13" s="56">
        <v>1743790000000</v>
      </c>
      <c r="M13" s="56">
        <v>2039860000000</v>
      </c>
      <c r="N13" s="56">
        <v>2334170000000</v>
      </c>
      <c r="O13" s="56">
        <v>2619740000000</v>
      </c>
      <c r="P13" s="56">
        <v>2897170000000</v>
      </c>
      <c r="Q13" s="56">
        <v>3159930000000</v>
      </c>
      <c r="R13" s="56">
        <v>3407600000000</v>
      </c>
      <c r="S13" s="56">
        <v>3639400000000</v>
      </c>
      <c r="T13" s="56">
        <v>3857970000000</v>
      </c>
      <c r="U13" s="56">
        <v>4062830000000</v>
      </c>
      <c r="V13" s="56">
        <v>4252250000000</v>
      </c>
      <c r="W13" s="56">
        <v>4429530000000</v>
      </c>
      <c r="X13" s="56">
        <v>4592380000000</v>
      </c>
      <c r="Y13" s="56">
        <v>4741230000000</v>
      </c>
      <c r="Z13" s="56">
        <v>4877030000000</v>
      </c>
      <c r="AA13" s="56">
        <v>5004810000000</v>
      </c>
      <c r="AB13" s="56">
        <v>5124220000000</v>
      </c>
      <c r="AC13" s="56">
        <v>5238630000000</v>
      </c>
      <c r="AD13" s="56">
        <v>5348830000000</v>
      </c>
      <c r="AE13" s="56">
        <v>5453140000000</v>
      </c>
      <c r="AF13" s="56">
        <v>5550790000000</v>
      </c>
      <c r="AG13" s="56">
        <v>5602330000000</v>
      </c>
      <c r="AH13" s="56">
        <v>5644970000000</v>
      </c>
      <c r="AI13" s="56">
        <v>5677700000000</v>
      </c>
      <c r="AJ13" s="56">
        <v>5698130000000</v>
      </c>
    </row>
    <row r="14" spans="1:36" x14ac:dyDescent="0.25">
      <c r="A14" s="55" t="s">
        <v>3</v>
      </c>
      <c r="B14" s="55" t="s">
        <v>80</v>
      </c>
      <c r="C14" s="55" t="s">
        <v>81</v>
      </c>
      <c r="D14" s="55">
        <v>6023.51</v>
      </c>
      <c r="E14" s="55">
        <v>11836.2</v>
      </c>
      <c r="F14" s="55">
        <v>17576.099999999999</v>
      </c>
      <c r="G14" s="55">
        <v>23129</v>
      </c>
      <c r="H14" s="55">
        <v>28559.5</v>
      </c>
      <c r="I14" s="55">
        <v>33849.5</v>
      </c>
      <c r="J14" s="55">
        <v>39013.300000000003</v>
      </c>
      <c r="K14" s="55">
        <v>44039.6</v>
      </c>
      <c r="L14" s="55">
        <v>48914.5</v>
      </c>
      <c r="M14" s="55">
        <v>53613.8</v>
      </c>
      <c r="N14" s="55">
        <v>58158.5</v>
      </c>
      <c r="O14" s="55">
        <v>62520.5</v>
      </c>
      <c r="P14" s="55">
        <v>66694.100000000006</v>
      </c>
      <c r="Q14" s="55">
        <v>70655.7</v>
      </c>
      <c r="R14" s="55">
        <v>74432.2</v>
      </c>
      <c r="S14" s="55">
        <v>78022.399999999994</v>
      </c>
      <c r="T14" s="55">
        <v>81420.3</v>
      </c>
      <c r="U14" s="55">
        <v>84640.5</v>
      </c>
      <c r="V14" s="55">
        <v>87699.1</v>
      </c>
      <c r="W14" s="55">
        <v>90585</v>
      </c>
      <c r="X14" s="55">
        <v>93302.6</v>
      </c>
      <c r="Y14" s="55">
        <v>95851.8</v>
      </c>
      <c r="Z14" s="55">
        <v>98233.1</v>
      </c>
      <c r="AA14" s="55">
        <v>100403</v>
      </c>
      <c r="AB14" s="55">
        <v>102362</v>
      </c>
      <c r="AC14" s="55">
        <v>104099</v>
      </c>
      <c r="AD14" s="55">
        <v>105606</v>
      </c>
      <c r="AE14" s="55">
        <v>106874</v>
      </c>
      <c r="AF14" s="55">
        <v>107885</v>
      </c>
      <c r="AG14" s="55">
        <v>108640</v>
      </c>
      <c r="AH14" s="55">
        <v>109150</v>
      </c>
      <c r="AI14" s="55">
        <v>109398</v>
      </c>
      <c r="AJ14" s="55">
        <v>109411</v>
      </c>
    </row>
    <row r="15" spans="1:36" x14ac:dyDescent="0.25">
      <c r="A15" s="55" t="s">
        <v>73</v>
      </c>
      <c r="B15" s="55" t="s">
        <v>80</v>
      </c>
      <c r="C15" s="55" t="s">
        <v>81</v>
      </c>
      <c r="D15" s="55">
        <v>0</v>
      </c>
      <c r="E15" s="55">
        <v>0</v>
      </c>
      <c r="F15" s="56">
        <v>67535700000</v>
      </c>
      <c r="G15" s="56">
        <v>201984000000</v>
      </c>
      <c r="H15" s="56">
        <v>360088000000</v>
      </c>
      <c r="I15" s="56">
        <v>541140000000</v>
      </c>
      <c r="J15" s="56">
        <v>740592000000</v>
      </c>
      <c r="K15" s="56">
        <v>951113000000</v>
      </c>
      <c r="L15" s="56">
        <v>1172870000000</v>
      </c>
      <c r="M15" s="56">
        <v>1398310000000</v>
      </c>
      <c r="N15" s="56">
        <v>1623800000000</v>
      </c>
      <c r="O15" s="56">
        <v>1842180000000</v>
      </c>
      <c r="P15" s="56">
        <v>2053070000000</v>
      </c>
      <c r="Q15" s="56">
        <v>2250050000000</v>
      </c>
      <c r="R15" s="56">
        <v>2433330000000</v>
      </c>
      <c r="S15" s="56">
        <v>2601670000000</v>
      </c>
      <c r="T15" s="56">
        <v>2757490000000</v>
      </c>
      <c r="U15" s="56">
        <v>2899470000000</v>
      </c>
      <c r="V15" s="56">
        <v>3025600000000</v>
      </c>
      <c r="W15" s="56">
        <v>3139510000000</v>
      </c>
      <c r="X15" s="56">
        <v>3239090000000</v>
      </c>
      <c r="Y15" s="56">
        <v>3325380000000</v>
      </c>
      <c r="Z15" s="56">
        <v>3399430000000</v>
      </c>
      <c r="AA15" s="56">
        <v>3465770000000</v>
      </c>
      <c r="AB15" s="56">
        <v>3523860000000</v>
      </c>
      <c r="AC15" s="56">
        <v>3577050000000</v>
      </c>
      <c r="AD15" s="56">
        <v>3626080000000</v>
      </c>
      <c r="AE15" s="56">
        <v>3669330000000</v>
      </c>
      <c r="AF15" s="56">
        <v>3705820000000</v>
      </c>
      <c r="AG15" s="56">
        <v>3733750000000</v>
      </c>
      <c r="AH15" s="56">
        <v>3751740000000</v>
      </c>
      <c r="AI15" s="56">
        <v>3758700000000</v>
      </c>
      <c r="AJ15" s="56">
        <v>3752290000000</v>
      </c>
    </row>
    <row r="16" spans="1:36" x14ac:dyDescent="0.25">
      <c r="A16" s="55" t="s">
        <v>3</v>
      </c>
      <c r="B16" s="55" t="s">
        <v>82</v>
      </c>
      <c r="C16" s="55" t="s">
        <v>83</v>
      </c>
      <c r="D16" s="55">
        <v>6023.51</v>
      </c>
      <c r="E16" s="55">
        <v>11836.2</v>
      </c>
      <c r="F16" s="55">
        <v>17576.8</v>
      </c>
      <c r="G16" s="55">
        <v>23138.5</v>
      </c>
      <c r="H16" s="55">
        <v>28568.799999999999</v>
      </c>
      <c r="I16" s="55">
        <v>33863</v>
      </c>
      <c r="J16" s="55">
        <v>39043.9</v>
      </c>
      <c r="K16" s="55">
        <v>44093.4</v>
      </c>
      <c r="L16" s="55">
        <v>49001.1</v>
      </c>
      <c r="M16" s="55">
        <v>53741.599999999999</v>
      </c>
      <c r="N16" s="55">
        <v>58336.1</v>
      </c>
      <c r="O16" s="55">
        <v>62756.1</v>
      </c>
      <c r="P16" s="55">
        <v>66996.7</v>
      </c>
      <c r="Q16" s="55">
        <v>71030.899999999994</v>
      </c>
      <c r="R16" s="55">
        <v>74894.399999999994</v>
      </c>
      <c r="S16" s="55">
        <v>78580.800000000003</v>
      </c>
      <c r="T16" s="55">
        <v>82083.8</v>
      </c>
      <c r="U16" s="55">
        <v>85418.1</v>
      </c>
      <c r="V16" s="55">
        <v>88601.8</v>
      </c>
      <c r="W16" s="55">
        <v>91624.7</v>
      </c>
      <c r="X16" s="55">
        <v>94494.5</v>
      </c>
      <c r="Y16" s="55">
        <v>97230.5</v>
      </c>
      <c r="Z16" s="55">
        <v>99844.3</v>
      </c>
      <c r="AA16" s="55">
        <v>102321</v>
      </c>
      <c r="AB16" s="55">
        <v>104691</v>
      </c>
      <c r="AC16" s="55">
        <v>106961</v>
      </c>
      <c r="AD16" s="55">
        <v>109149</v>
      </c>
      <c r="AE16" s="55">
        <v>111259</v>
      </c>
      <c r="AF16" s="55">
        <v>113289</v>
      </c>
      <c r="AG16" s="55">
        <v>115244</v>
      </c>
      <c r="AH16" s="55">
        <v>117149</v>
      </c>
      <c r="AI16" s="55">
        <v>118994</v>
      </c>
      <c r="AJ16" s="55">
        <v>120779</v>
      </c>
    </row>
    <row r="17" spans="1:36" x14ac:dyDescent="0.25">
      <c r="A17" s="55" t="s">
        <v>73</v>
      </c>
      <c r="B17" s="55" t="s">
        <v>82</v>
      </c>
      <c r="C17" s="55" t="s">
        <v>83</v>
      </c>
      <c r="D17" s="55">
        <v>0</v>
      </c>
      <c r="E17" s="55">
        <v>0</v>
      </c>
      <c r="F17" s="56">
        <v>147751000000</v>
      </c>
      <c r="G17" s="56">
        <v>349496000000</v>
      </c>
      <c r="H17" s="56">
        <v>572612000000</v>
      </c>
      <c r="I17" s="56">
        <v>817669000000</v>
      </c>
      <c r="J17" s="56">
        <v>1078660000000</v>
      </c>
      <c r="K17" s="56">
        <v>1346300000000</v>
      </c>
      <c r="L17" s="56">
        <v>1622020000000</v>
      </c>
      <c r="M17" s="56">
        <v>1899760000000</v>
      </c>
      <c r="N17" s="56">
        <v>2175720000000</v>
      </c>
      <c r="O17" s="56">
        <v>2442950000000</v>
      </c>
      <c r="P17" s="56">
        <v>2701470000000</v>
      </c>
      <c r="Q17" s="56">
        <v>2945370000000</v>
      </c>
      <c r="R17" s="56">
        <v>3175540000000</v>
      </c>
      <c r="S17" s="56">
        <v>3390250000000</v>
      </c>
      <c r="T17" s="56">
        <v>3591870000000</v>
      </c>
      <c r="U17" s="56">
        <v>3779470000000</v>
      </c>
      <c r="V17" s="56">
        <v>3950920000000</v>
      </c>
      <c r="W17" s="56">
        <v>4109600000000</v>
      </c>
      <c r="X17" s="56">
        <v>4253370000000</v>
      </c>
      <c r="Y17" s="56">
        <v>4382940000000</v>
      </c>
      <c r="Z17" s="56">
        <v>4498600000000</v>
      </c>
      <c r="AA17" s="56">
        <v>4603640000000</v>
      </c>
      <c r="AB17" s="56">
        <v>4696490000000</v>
      </c>
      <c r="AC17" s="56">
        <v>4779390000000</v>
      </c>
      <c r="AD17" s="56">
        <v>4853420000000</v>
      </c>
      <c r="AE17" s="56">
        <v>4918600000000</v>
      </c>
      <c r="AF17" s="56">
        <v>4975280000000</v>
      </c>
      <c r="AG17" s="56">
        <v>4985360000000</v>
      </c>
      <c r="AH17" s="56">
        <v>4987380000000</v>
      </c>
      <c r="AI17" s="56">
        <v>4981620000000</v>
      </c>
      <c r="AJ17" s="56">
        <v>4966460000000</v>
      </c>
    </row>
    <row r="18" spans="1:36" x14ac:dyDescent="0.25">
      <c r="A18" s="55" t="s">
        <v>3</v>
      </c>
      <c r="B18" s="55" t="s">
        <v>95</v>
      </c>
      <c r="C18" s="55" t="s">
        <v>96</v>
      </c>
      <c r="D18" s="55">
        <v>6023.51</v>
      </c>
      <c r="E18" s="55">
        <v>11836.2</v>
      </c>
      <c r="F18" s="55">
        <v>17574.2</v>
      </c>
      <c r="G18" s="55">
        <v>23123.7</v>
      </c>
      <c r="H18" s="55">
        <v>28547.9</v>
      </c>
      <c r="I18" s="55">
        <v>33828.6</v>
      </c>
      <c r="J18" s="55">
        <v>38980.400000000001</v>
      </c>
      <c r="K18" s="55">
        <v>43991.5</v>
      </c>
      <c r="L18" s="55">
        <v>48848.7</v>
      </c>
      <c r="M18" s="55">
        <v>53528.1</v>
      </c>
      <c r="N18" s="55">
        <v>58049.5</v>
      </c>
      <c r="O18" s="55">
        <v>62385</v>
      </c>
      <c r="P18" s="55">
        <v>66529.100000000006</v>
      </c>
      <c r="Q18" s="55">
        <v>70458</v>
      </c>
      <c r="R18" s="55">
        <v>74203.5</v>
      </c>
      <c r="S18" s="55">
        <v>77757.600000000006</v>
      </c>
      <c r="T18" s="55">
        <v>81115.7</v>
      </c>
      <c r="U18" s="55">
        <v>84292.2</v>
      </c>
      <c r="V18" s="55">
        <v>87303.3</v>
      </c>
      <c r="W18" s="55">
        <v>90138.5</v>
      </c>
      <c r="X18" s="55">
        <v>92808</v>
      </c>
      <c r="Y18" s="55">
        <v>95305.8</v>
      </c>
      <c r="Z18" s="55">
        <v>97631.8</v>
      </c>
      <c r="AA18" s="55">
        <v>99756.1</v>
      </c>
      <c r="AB18" s="55">
        <v>101668</v>
      </c>
      <c r="AC18" s="55">
        <v>103365</v>
      </c>
      <c r="AD18" s="55">
        <v>104833</v>
      </c>
      <c r="AE18" s="55">
        <v>106072</v>
      </c>
      <c r="AF18" s="55">
        <v>107058</v>
      </c>
      <c r="AG18" s="55">
        <v>107795</v>
      </c>
      <c r="AH18" s="55">
        <v>108289</v>
      </c>
      <c r="AI18" s="55">
        <v>108533</v>
      </c>
      <c r="AJ18" s="55">
        <v>108557</v>
      </c>
    </row>
    <row r="19" spans="1:36" x14ac:dyDescent="0.25">
      <c r="A19" s="55" t="s">
        <v>73</v>
      </c>
      <c r="B19" s="55" t="s">
        <v>95</v>
      </c>
      <c r="C19" s="55" t="s">
        <v>96</v>
      </c>
      <c r="D19" s="55">
        <v>0</v>
      </c>
      <c r="E19" s="55">
        <v>0</v>
      </c>
      <c r="F19" s="56">
        <v>160637000000</v>
      </c>
      <c r="G19" s="56">
        <v>384188000000</v>
      </c>
      <c r="H19" s="56">
        <v>627379000000</v>
      </c>
      <c r="I19" s="56">
        <v>889721000000</v>
      </c>
      <c r="J19" s="56">
        <v>1166810000000</v>
      </c>
      <c r="K19" s="56">
        <v>1451430000000</v>
      </c>
      <c r="L19" s="56">
        <v>1743910000000</v>
      </c>
      <c r="M19" s="56">
        <v>2036870000000</v>
      </c>
      <c r="N19" s="56">
        <v>2326760000000</v>
      </c>
      <c r="O19" s="56">
        <v>2606540000000</v>
      </c>
      <c r="P19" s="56">
        <v>2876020000000</v>
      </c>
      <c r="Q19" s="56">
        <v>3128820000000</v>
      </c>
      <c r="R19" s="56">
        <v>3365240000000</v>
      </c>
      <c r="S19" s="56">
        <v>3583480000000</v>
      </c>
      <c r="T19" s="56">
        <v>3786400000000</v>
      </c>
      <c r="U19" s="56">
        <v>3973430000000</v>
      </c>
      <c r="V19" s="56">
        <v>4142460000000</v>
      </c>
      <c r="W19" s="56">
        <v>4297110000000</v>
      </c>
      <c r="X19" s="56">
        <v>4435410000000</v>
      </c>
      <c r="Y19" s="56">
        <v>4557960000000</v>
      </c>
      <c r="Z19" s="56">
        <v>4666050000000</v>
      </c>
      <c r="AA19" s="56">
        <v>4764950000000</v>
      </c>
      <c r="AB19" s="56">
        <v>4853370000000</v>
      </c>
      <c r="AC19" s="56">
        <v>4935290000000</v>
      </c>
      <c r="AD19" s="56">
        <v>5012530000000</v>
      </c>
      <c r="AE19" s="56">
        <v>5084100000000</v>
      </c>
      <c r="AF19" s="56">
        <v>5149160000000</v>
      </c>
      <c r="AG19" s="56">
        <v>5168290000000</v>
      </c>
      <c r="AH19" s="56">
        <v>5178960000000</v>
      </c>
      <c r="AI19" s="56">
        <v>5180340000000</v>
      </c>
      <c r="AJ19" s="56">
        <v>5169600000000</v>
      </c>
    </row>
    <row r="20" spans="1:36" x14ac:dyDescent="0.25">
      <c r="A20" s="55" t="s">
        <v>3</v>
      </c>
      <c r="B20" s="55" t="s">
        <v>84</v>
      </c>
      <c r="C20" s="55" t="s">
        <v>97</v>
      </c>
      <c r="D20" s="55">
        <v>6023.51</v>
      </c>
      <c r="E20" s="55">
        <v>11836.2</v>
      </c>
      <c r="F20" s="55">
        <v>17581.900000000001</v>
      </c>
      <c r="G20" s="55">
        <v>23146.2</v>
      </c>
      <c r="H20" s="55">
        <v>28587.599999999999</v>
      </c>
      <c r="I20" s="55">
        <v>33899.699999999997</v>
      </c>
      <c r="J20" s="55">
        <v>39091.699999999997</v>
      </c>
      <c r="K20" s="55">
        <v>44153.3</v>
      </c>
      <c r="L20" s="55">
        <v>49069.8</v>
      </c>
      <c r="M20" s="55">
        <v>53816.800000000003</v>
      </c>
      <c r="N20" s="55">
        <v>58409.8</v>
      </c>
      <c r="O20" s="55">
        <v>62822.6</v>
      </c>
      <c r="P20" s="55">
        <v>67056.100000000006</v>
      </c>
      <c r="Q20" s="55">
        <v>71087.100000000006</v>
      </c>
      <c r="R20" s="55">
        <v>74937.2</v>
      </c>
      <c r="S20" s="55">
        <v>78610.100000000006</v>
      </c>
      <c r="T20" s="55">
        <v>82095.100000000006</v>
      </c>
      <c r="U20" s="55">
        <v>85405.6</v>
      </c>
      <c r="V20" s="55">
        <v>88551.6</v>
      </c>
      <c r="W20" s="55">
        <v>91524</v>
      </c>
      <c r="X20" s="55">
        <v>94332.6</v>
      </c>
      <c r="Y20" s="55">
        <v>96980.6</v>
      </c>
      <c r="Z20" s="55">
        <v>99457.2</v>
      </c>
      <c r="AA20" s="55">
        <v>101725</v>
      </c>
      <c r="AB20" s="55">
        <v>103780</v>
      </c>
      <c r="AC20" s="55">
        <v>105627</v>
      </c>
      <c r="AD20" s="55">
        <v>107265</v>
      </c>
      <c r="AE20" s="55">
        <v>108700</v>
      </c>
      <c r="AF20" s="55">
        <v>109921</v>
      </c>
      <c r="AG20" s="55">
        <v>110933</v>
      </c>
      <c r="AH20" s="55">
        <v>111753</v>
      </c>
      <c r="AI20" s="55">
        <v>112370</v>
      </c>
      <c r="AJ20" s="55">
        <v>112782</v>
      </c>
    </row>
    <row r="21" spans="1:36" x14ac:dyDescent="0.25">
      <c r="A21" s="55" t="s">
        <v>73</v>
      </c>
      <c r="B21" s="55" t="s">
        <v>84</v>
      </c>
      <c r="C21" s="55" t="s">
        <v>97</v>
      </c>
      <c r="D21" s="55">
        <v>0</v>
      </c>
      <c r="E21" s="55">
        <v>0</v>
      </c>
      <c r="F21" s="56">
        <v>161625000000</v>
      </c>
      <c r="G21" s="56">
        <v>389541000000</v>
      </c>
      <c r="H21" s="56">
        <v>640869000000</v>
      </c>
      <c r="I21" s="56">
        <v>916454000000</v>
      </c>
      <c r="J21" s="56">
        <v>1211520000000</v>
      </c>
      <c r="K21" s="56">
        <v>1518070000000</v>
      </c>
      <c r="L21" s="56">
        <v>1837080000000</v>
      </c>
      <c r="M21" s="56">
        <v>2161380000000</v>
      </c>
      <c r="N21" s="56">
        <v>2487430000000</v>
      </c>
      <c r="O21" s="56">
        <v>2808820000000</v>
      </c>
      <c r="P21" s="56">
        <v>3125610000000</v>
      </c>
      <c r="Q21" s="56">
        <v>3430340000000</v>
      </c>
      <c r="R21" s="56">
        <v>3722820000000</v>
      </c>
      <c r="S21" s="56">
        <v>4002680000000</v>
      </c>
      <c r="T21" s="56">
        <v>4271960000000</v>
      </c>
      <c r="U21" s="56">
        <v>4529730000000</v>
      </c>
      <c r="V21" s="56">
        <v>4774670000000</v>
      </c>
      <c r="W21" s="56">
        <v>5010630000000</v>
      </c>
      <c r="X21" s="56">
        <v>5235420000000</v>
      </c>
      <c r="Y21" s="56">
        <v>5449040000000</v>
      </c>
      <c r="Z21" s="56">
        <v>5651600000000</v>
      </c>
      <c r="AA21" s="56">
        <v>5848350000000</v>
      </c>
      <c r="AB21" s="56">
        <v>6038890000000</v>
      </c>
      <c r="AC21" s="56">
        <v>6226050000000</v>
      </c>
      <c r="AD21" s="56">
        <v>6410140000000</v>
      </c>
      <c r="AE21" s="56">
        <v>6589350000000</v>
      </c>
      <c r="AF21" s="56">
        <v>6762110000000</v>
      </c>
      <c r="AG21" s="56">
        <v>6888510000000</v>
      </c>
      <c r="AH21" s="56">
        <v>7005690000000</v>
      </c>
      <c r="AI21" s="56">
        <v>7112570000000</v>
      </c>
      <c r="AJ21" s="56">
        <v>7206230000000</v>
      </c>
    </row>
    <row r="22" spans="1:36" x14ac:dyDescent="0.25">
      <c r="A22" s="55" t="s">
        <v>3</v>
      </c>
      <c r="B22" s="55" t="s">
        <v>85</v>
      </c>
      <c r="C22" s="55" t="s">
        <v>86</v>
      </c>
      <c r="D22" s="55">
        <v>6023.51</v>
      </c>
      <c r="E22" s="55">
        <v>11836.2</v>
      </c>
      <c r="F22" s="55">
        <v>17557.400000000001</v>
      </c>
      <c r="G22" s="55">
        <v>23118.2</v>
      </c>
      <c r="H22" s="55">
        <v>28582.9</v>
      </c>
      <c r="I22" s="55">
        <v>33924.800000000003</v>
      </c>
      <c r="J22" s="55">
        <v>39142.800000000003</v>
      </c>
      <c r="K22" s="55">
        <v>44219.8</v>
      </c>
      <c r="L22" s="55">
        <v>49149.5</v>
      </c>
      <c r="M22" s="55">
        <v>53913.5</v>
      </c>
      <c r="N22" s="55">
        <v>58530.2</v>
      </c>
      <c r="O22" s="55">
        <v>62974</v>
      </c>
      <c r="P22" s="55">
        <v>67240.5</v>
      </c>
      <c r="Q22" s="55">
        <v>71301.899999999994</v>
      </c>
      <c r="R22" s="55">
        <v>75176.399999999994</v>
      </c>
      <c r="S22" s="55">
        <v>78867.199999999997</v>
      </c>
      <c r="T22" s="55">
        <v>82368</v>
      </c>
      <c r="U22" s="55">
        <v>85693.3</v>
      </c>
      <c r="V22" s="55">
        <v>88848.4</v>
      </c>
      <c r="W22" s="55">
        <v>91817.8</v>
      </c>
      <c r="X22" s="55">
        <v>94597.5</v>
      </c>
      <c r="Y22" s="55">
        <v>97186</v>
      </c>
      <c r="Z22" s="55">
        <v>99585.600000000006</v>
      </c>
      <c r="AA22" s="55">
        <v>101781</v>
      </c>
      <c r="AB22" s="55">
        <v>103792</v>
      </c>
      <c r="AC22" s="55">
        <v>105620</v>
      </c>
      <c r="AD22" s="55">
        <v>107269</v>
      </c>
      <c r="AE22" s="55">
        <v>108731</v>
      </c>
      <c r="AF22" s="55">
        <v>109982</v>
      </c>
      <c r="AG22" s="55">
        <v>111018</v>
      </c>
      <c r="AH22" s="55">
        <v>111849</v>
      </c>
      <c r="AI22" s="55">
        <v>112467</v>
      </c>
      <c r="AJ22" s="55">
        <v>112993</v>
      </c>
    </row>
    <row r="23" spans="1:36" x14ac:dyDescent="0.25">
      <c r="A23" s="55" t="s">
        <v>73</v>
      </c>
      <c r="B23" s="55" t="s">
        <v>85</v>
      </c>
      <c r="C23" s="55" t="s">
        <v>86</v>
      </c>
      <c r="D23" s="55">
        <v>0</v>
      </c>
      <c r="E23" s="55">
        <v>0</v>
      </c>
      <c r="F23" s="56">
        <v>120808000000</v>
      </c>
      <c r="G23" s="56">
        <v>250235000000</v>
      </c>
      <c r="H23" s="56">
        <v>372374000000</v>
      </c>
      <c r="I23" s="56">
        <v>483868000000</v>
      </c>
      <c r="J23" s="56">
        <v>583621000000</v>
      </c>
      <c r="K23" s="56">
        <v>668457000000</v>
      </c>
      <c r="L23" s="56">
        <v>741088000000</v>
      </c>
      <c r="M23" s="56">
        <v>798361000000</v>
      </c>
      <c r="N23" s="56">
        <v>837110000000</v>
      </c>
      <c r="O23" s="56">
        <v>854571000000</v>
      </c>
      <c r="P23" s="56">
        <v>852327000000</v>
      </c>
      <c r="Q23" s="56">
        <v>824679000000</v>
      </c>
      <c r="R23" s="56">
        <v>772918000000</v>
      </c>
      <c r="S23" s="56">
        <v>697982000000</v>
      </c>
      <c r="T23" s="56">
        <v>603499000000</v>
      </c>
      <c r="U23" s="56">
        <v>489669000000</v>
      </c>
      <c r="V23" s="56">
        <v>356284000000</v>
      </c>
      <c r="W23" s="56">
        <v>207980000000</v>
      </c>
      <c r="X23" s="56">
        <v>44496300000</v>
      </c>
      <c r="Y23" s="56">
        <v>-131162000000</v>
      </c>
      <c r="Z23" s="56">
        <v>-316644000000</v>
      </c>
      <c r="AA23" s="56">
        <v>-508083000000</v>
      </c>
      <c r="AB23" s="56">
        <v>-705640000000</v>
      </c>
      <c r="AC23" s="56">
        <v>-906970000000</v>
      </c>
      <c r="AD23" s="56">
        <v>-1111960000000</v>
      </c>
      <c r="AE23" s="56">
        <v>-1321010000000</v>
      </c>
      <c r="AF23" s="56">
        <v>-1532600000000</v>
      </c>
      <c r="AG23" s="56">
        <v>-1783210000000</v>
      </c>
      <c r="AH23" s="56">
        <v>-2033950000000</v>
      </c>
      <c r="AI23" s="56">
        <v>-2284130000000</v>
      </c>
      <c r="AJ23" s="56">
        <v>-2533580000000</v>
      </c>
    </row>
    <row r="24" spans="1:36" x14ac:dyDescent="0.25">
      <c r="A24" s="55" t="s">
        <v>3</v>
      </c>
      <c r="B24" s="55" t="s">
        <v>87</v>
      </c>
      <c r="C24" s="55" t="s">
        <v>88</v>
      </c>
      <c r="D24" s="55">
        <v>6023.51</v>
      </c>
      <c r="E24" s="55">
        <v>11836.2</v>
      </c>
      <c r="F24" s="55">
        <v>17590.5</v>
      </c>
      <c r="G24" s="55">
        <v>23172.5</v>
      </c>
      <c r="H24" s="55">
        <v>28642.400000000001</v>
      </c>
      <c r="I24" s="55">
        <v>33993.4</v>
      </c>
      <c r="J24" s="55">
        <v>39235.4</v>
      </c>
      <c r="K24" s="55">
        <v>44358.3</v>
      </c>
      <c r="L24" s="55">
        <v>49346.8</v>
      </c>
      <c r="M24" s="55">
        <v>54176.2</v>
      </c>
      <c r="N24" s="55">
        <v>58862.3</v>
      </c>
      <c r="O24" s="55">
        <v>63378.7</v>
      </c>
      <c r="P24" s="55">
        <v>67725.8</v>
      </c>
      <c r="Q24" s="55">
        <v>71875.7</v>
      </c>
      <c r="R24" s="55">
        <v>75862.2</v>
      </c>
      <c r="S24" s="55">
        <v>79674.8</v>
      </c>
      <c r="T24" s="55">
        <v>83309.5</v>
      </c>
      <c r="U24" s="55">
        <v>86779.1</v>
      </c>
      <c r="V24" s="55">
        <v>90095</v>
      </c>
      <c r="W24" s="55">
        <v>93245.9</v>
      </c>
      <c r="X24" s="55">
        <v>96241.8</v>
      </c>
      <c r="Y24" s="55">
        <v>99081.9</v>
      </c>
      <c r="Z24" s="55">
        <v>101766</v>
      </c>
      <c r="AA24" s="55">
        <v>104251</v>
      </c>
      <c r="AB24" s="55">
        <v>106535</v>
      </c>
      <c r="AC24" s="55">
        <v>108623</v>
      </c>
      <c r="AD24" s="55">
        <v>110515</v>
      </c>
      <c r="AE24" s="55">
        <v>112217</v>
      </c>
      <c r="AF24" s="55">
        <v>113720</v>
      </c>
      <c r="AG24" s="55">
        <v>115029</v>
      </c>
      <c r="AH24" s="55">
        <v>116163</v>
      </c>
      <c r="AI24" s="55">
        <v>117115</v>
      </c>
      <c r="AJ24" s="55">
        <v>117872</v>
      </c>
    </row>
    <row r="25" spans="1:36" x14ac:dyDescent="0.25">
      <c r="A25" s="55" t="s">
        <v>73</v>
      </c>
      <c r="B25" s="55" t="s">
        <v>87</v>
      </c>
      <c r="C25" s="55" t="s">
        <v>88</v>
      </c>
      <c r="D25" s="55">
        <v>0</v>
      </c>
      <c r="E25" s="55">
        <v>0</v>
      </c>
      <c r="F25" s="56">
        <v>163198000000</v>
      </c>
      <c r="G25" s="56">
        <v>393550000000</v>
      </c>
      <c r="H25" s="56">
        <v>648357000000</v>
      </c>
      <c r="I25" s="56">
        <v>928352000000</v>
      </c>
      <c r="J25" s="56">
        <v>1228860000000</v>
      </c>
      <c r="K25" s="56">
        <v>1541920000000</v>
      </c>
      <c r="L25" s="56">
        <v>1868420000000</v>
      </c>
      <c r="M25" s="56">
        <v>2201250000000</v>
      </c>
      <c r="N25" s="56">
        <v>2536830000000</v>
      </c>
      <c r="O25" s="56">
        <v>2868870000000</v>
      </c>
      <c r="P25" s="56">
        <v>3197240000000</v>
      </c>
      <c r="Q25" s="56">
        <v>3514420000000</v>
      </c>
      <c r="R25" s="56">
        <v>3821020000000</v>
      </c>
      <c r="S25" s="56">
        <v>4115680000000</v>
      </c>
      <c r="T25" s="56">
        <v>4400430000000</v>
      </c>
      <c r="U25" s="56">
        <v>4674940000000</v>
      </c>
      <c r="V25" s="56">
        <v>4937500000000</v>
      </c>
      <c r="W25" s="56">
        <v>5191830000000</v>
      </c>
      <c r="X25" s="56">
        <v>5436210000000</v>
      </c>
      <c r="Y25" s="56">
        <v>5670470000000</v>
      </c>
      <c r="Z25" s="56">
        <v>5895010000000</v>
      </c>
      <c r="AA25" s="56">
        <v>6114630000000</v>
      </c>
      <c r="AB25" s="56">
        <v>6328990000000</v>
      </c>
      <c r="AC25" s="56">
        <v>6541150000000</v>
      </c>
      <c r="AD25" s="56">
        <v>6751790000000</v>
      </c>
      <c r="AE25" s="56">
        <v>6959010000000</v>
      </c>
      <c r="AF25" s="56">
        <v>7161520000000</v>
      </c>
      <c r="AG25" s="56">
        <v>7319660000000</v>
      </c>
      <c r="AH25" s="56">
        <v>7470970000000</v>
      </c>
      <c r="AI25" s="56">
        <v>7613530000000</v>
      </c>
      <c r="AJ25" s="56">
        <v>7744850000000</v>
      </c>
    </row>
    <row r="26" spans="1:36" x14ac:dyDescent="0.25">
      <c r="A26" s="55" t="s">
        <v>3</v>
      </c>
      <c r="B26" s="55" t="s">
        <v>8</v>
      </c>
      <c r="C26" s="55" t="s">
        <v>71</v>
      </c>
      <c r="D26" s="55">
        <v>6023.51</v>
      </c>
      <c r="E26" s="55">
        <v>11836.2</v>
      </c>
      <c r="F26" s="55">
        <v>17580</v>
      </c>
      <c r="G26" s="55">
        <v>23141.200000000001</v>
      </c>
      <c r="H26" s="55">
        <v>28583.200000000001</v>
      </c>
      <c r="I26" s="55">
        <v>33887.599999999999</v>
      </c>
      <c r="J26" s="55">
        <v>39069.199999999997</v>
      </c>
      <c r="K26" s="55">
        <v>44115.9</v>
      </c>
      <c r="L26" s="55">
        <v>49014.1</v>
      </c>
      <c r="M26" s="55">
        <v>53740.4</v>
      </c>
      <c r="N26" s="55">
        <v>58314.3</v>
      </c>
      <c r="O26" s="55">
        <v>62707.7</v>
      </c>
      <c r="P26" s="55">
        <v>66914.899999999994</v>
      </c>
      <c r="Q26" s="55">
        <v>70911.600000000006</v>
      </c>
      <c r="R26" s="55">
        <v>74729.399999999994</v>
      </c>
      <c r="S26" s="55">
        <v>78359.899999999994</v>
      </c>
      <c r="T26" s="55">
        <v>81798.2</v>
      </c>
      <c r="U26" s="55">
        <v>85059</v>
      </c>
      <c r="V26" s="55">
        <v>88158.1</v>
      </c>
      <c r="W26" s="55">
        <v>91084.9</v>
      </c>
      <c r="X26" s="55">
        <v>93849.2</v>
      </c>
      <c r="Y26" s="55">
        <v>96445.3</v>
      </c>
      <c r="Z26" s="55">
        <v>98872.3</v>
      </c>
      <c r="AA26" s="55">
        <v>101100</v>
      </c>
      <c r="AB26" s="55">
        <v>103118</v>
      </c>
      <c r="AC26" s="55">
        <v>104922</v>
      </c>
      <c r="AD26" s="55">
        <v>106498</v>
      </c>
      <c r="AE26" s="55">
        <v>107845</v>
      </c>
      <c r="AF26" s="55">
        <v>108939</v>
      </c>
      <c r="AG26" s="55">
        <v>109782</v>
      </c>
      <c r="AH26" s="55">
        <v>110382</v>
      </c>
      <c r="AI26" s="55">
        <v>110729</v>
      </c>
      <c r="AJ26" s="55">
        <v>110852</v>
      </c>
    </row>
    <row r="27" spans="1:36" x14ac:dyDescent="0.25">
      <c r="A27" s="55" t="s">
        <v>73</v>
      </c>
      <c r="B27" s="55" t="s">
        <v>8</v>
      </c>
      <c r="C27" s="55" t="s">
        <v>71</v>
      </c>
      <c r="D27" s="55">
        <v>0</v>
      </c>
      <c r="E27" s="55">
        <v>0</v>
      </c>
      <c r="F27" s="56">
        <v>160899000000</v>
      </c>
      <c r="G27" s="56">
        <v>384973000000</v>
      </c>
      <c r="H27" s="56">
        <v>628934000000</v>
      </c>
      <c r="I27" s="56">
        <v>892285000000</v>
      </c>
      <c r="J27" s="56">
        <v>1170600000000</v>
      </c>
      <c r="K27" s="56">
        <v>1456670000000</v>
      </c>
      <c r="L27" s="56">
        <v>1750780000000</v>
      </c>
      <c r="M27" s="56">
        <v>2045560000000</v>
      </c>
      <c r="N27" s="56">
        <v>2337450000000</v>
      </c>
      <c r="O27" s="56">
        <v>2619330000000</v>
      </c>
      <c r="P27" s="56">
        <v>2891030000000</v>
      </c>
      <c r="Q27" s="56">
        <v>3146150000000</v>
      </c>
      <c r="R27" s="56">
        <v>3384960000000</v>
      </c>
      <c r="S27" s="56">
        <v>3605640000000</v>
      </c>
      <c r="T27" s="56">
        <v>3810990000000</v>
      </c>
      <c r="U27" s="56">
        <v>4000270000000</v>
      </c>
      <c r="V27" s="56">
        <v>4171330000000</v>
      </c>
      <c r="W27" s="56">
        <v>4327820000000</v>
      </c>
      <c r="X27" s="56">
        <v>4467580000000</v>
      </c>
      <c r="Y27" s="56">
        <v>4591110000000</v>
      </c>
      <c r="Z27" s="56">
        <v>4698470000000</v>
      </c>
      <c r="AA27" s="56">
        <v>4793610000000</v>
      </c>
      <c r="AB27" s="56">
        <v>4875470000000</v>
      </c>
      <c r="AC27" s="56">
        <v>4948250000000</v>
      </c>
      <c r="AD27" s="56">
        <v>5013980000000</v>
      </c>
      <c r="AE27" s="56">
        <v>5071860000000</v>
      </c>
      <c r="AF27" s="56">
        <v>5121220000000</v>
      </c>
      <c r="AG27" s="56">
        <v>5122820000000</v>
      </c>
      <c r="AH27" s="56">
        <v>5114290000000</v>
      </c>
      <c r="AI27" s="56">
        <v>5094940000000</v>
      </c>
      <c r="AJ27" s="56">
        <v>5062040000000</v>
      </c>
    </row>
    <row r="28" spans="1:36" x14ac:dyDescent="0.25">
      <c r="A28" s="55" t="s">
        <v>3</v>
      </c>
      <c r="B28" s="55" t="s">
        <v>7</v>
      </c>
      <c r="C28" s="55" t="s">
        <v>72</v>
      </c>
      <c r="D28" s="55">
        <v>6023.51</v>
      </c>
      <c r="E28" s="55">
        <v>11836.2</v>
      </c>
      <c r="F28" s="55">
        <v>17578.099999999999</v>
      </c>
      <c r="G28" s="55">
        <v>23136.2</v>
      </c>
      <c r="H28" s="55">
        <v>28574.5</v>
      </c>
      <c r="I28" s="55">
        <v>33875.199999999997</v>
      </c>
      <c r="J28" s="55">
        <v>39053.800000000003</v>
      </c>
      <c r="K28" s="55">
        <v>44098.9</v>
      </c>
      <c r="L28" s="55">
        <v>48997.5</v>
      </c>
      <c r="M28" s="55">
        <v>53726.3</v>
      </c>
      <c r="N28" s="55">
        <v>58305.3</v>
      </c>
      <c r="O28" s="55">
        <v>62707.1</v>
      </c>
      <c r="P28" s="55">
        <v>66926.100000000006</v>
      </c>
      <c r="Q28" s="55">
        <v>70935.600000000006</v>
      </c>
      <c r="R28" s="55">
        <v>74767.199999999997</v>
      </c>
      <c r="S28" s="55">
        <v>78412.600000000006</v>
      </c>
      <c r="T28" s="55">
        <v>81867</v>
      </c>
      <c r="U28" s="55">
        <v>85144.4</v>
      </c>
      <c r="V28" s="55">
        <v>88261.5</v>
      </c>
      <c r="W28" s="55">
        <v>91207.7</v>
      </c>
      <c r="X28" s="55">
        <v>93992.6</v>
      </c>
      <c r="Y28" s="55">
        <v>96610.3</v>
      </c>
      <c r="Z28" s="55">
        <v>99060.3</v>
      </c>
      <c r="AA28" s="55">
        <v>101313</v>
      </c>
      <c r="AB28" s="55">
        <v>103356</v>
      </c>
      <c r="AC28" s="55">
        <v>105188</v>
      </c>
      <c r="AD28" s="55">
        <v>106795</v>
      </c>
      <c r="AE28" s="55">
        <v>108175</v>
      </c>
      <c r="AF28" s="55">
        <v>109306</v>
      </c>
      <c r="AG28" s="55">
        <v>110189</v>
      </c>
      <c r="AH28" s="55">
        <v>110832</v>
      </c>
      <c r="AI28" s="55">
        <v>111225</v>
      </c>
      <c r="AJ28" s="55">
        <v>111400</v>
      </c>
    </row>
    <row r="29" spans="1:36" x14ac:dyDescent="0.25">
      <c r="A29" s="55" t="s">
        <v>73</v>
      </c>
      <c r="B29" s="55" t="s">
        <v>7</v>
      </c>
      <c r="C29" s="55" t="s">
        <v>72</v>
      </c>
      <c r="D29" s="55">
        <v>0</v>
      </c>
      <c r="E29" s="55">
        <v>0</v>
      </c>
      <c r="F29" s="56">
        <v>160643000000</v>
      </c>
      <c r="G29" s="56">
        <v>384223000000</v>
      </c>
      <c r="H29" s="56">
        <v>627478000000</v>
      </c>
      <c r="I29" s="56">
        <v>889919000000</v>
      </c>
      <c r="J29" s="56">
        <v>1167140000000</v>
      </c>
      <c r="K29" s="56">
        <v>1451920000000</v>
      </c>
      <c r="L29" s="56">
        <v>1744580000000</v>
      </c>
      <c r="M29" s="56">
        <v>2037760000000</v>
      </c>
      <c r="N29" s="56">
        <v>2327900000000</v>
      </c>
      <c r="O29" s="56">
        <v>2607940000000</v>
      </c>
      <c r="P29" s="56">
        <v>2877700000000</v>
      </c>
      <c r="Q29" s="56">
        <v>3130780000000</v>
      </c>
      <c r="R29" s="56">
        <v>3367450000000</v>
      </c>
      <c r="S29" s="56">
        <v>3585930000000</v>
      </c>
      <c r="T29" s="56">
        <v>3789080000000</v>
      </c>
      <c r="U29" s="56">
        <v>3976330000000</v>
      </c>
      <c r="V29" s="56">
        <v>4145550000000</v>
      </c>
      <c r="W29" s="56">
        <v>4300400000000</v>
      </c>
      <c r="X29" s="56">
        <v>4438870000000</v>
      </c>
      <c r="Y29" s="56">
        <v>4561590000000</v>
      </c>
      <c r="Z29" s="56">
        <v>4669830000000</v>
      </c>
      <c r="AA29" s="56">
        <v>4768880000000</v>
      </c>
      <c r="AB29" s="56">
        <v>4857440000000</v>
      </c>
      <c r="AC29" s="56">
        <v>4939480000000</v>
      </c>
      <c r="AD29" s="56">
        <v>5016830000000</v>
      </c>
      <c r="AE29" s="56">
        <v>5088500000000</v>
      </c>
      <c r="AF29" s="56">
        <v>5153650000000</v>
      </c>
      <c r="AG29" s="56">
        <v>5172860000000</v>
      </c>
      <c r="AH29" s="56">
        <v>5183610000000</v>
      </c>
      <c r="AI29" s="56">
        <v>5185050000000</v>
      </c>
      <c r="AJ29" s="56">
        <v>5174380000000</v>
      </c>
    </row>
    <row r="30" spans="1:36" x14ac:dyDescent="0.25">
      <c r="A30" s="55" t="s">
        <v>3</v>
      </c>
      <c r="B30" s="55" t="s">
        <v>98</v>
      </c>
      <c r="C30" s="55" t="s">
        <v>99</v>
      </c>
      <c r="D30" s="55">
        <v>6023.51</v>
      </c>
      <c r="E30" s="55">
        <v>11836.2</v>
      </c>
      <c r="F30" s="55">
        <v>17574.099999999999</v>
      </c>
      <c r="G30" s="55">
        <v>23123.7</v>
      </c>
      <c r="H30" s="55">
        <v>28547.9</v>
      </c>
      <c r="I30" s="55">
        <v>33828.699999999997</v>
      </c>
      <c r="J30" s="55">
        <v>38980.699999999997</v>
      </c>
      <c r="K30" s="55">
        <v>43992.1</v>
      </c>
      <c r="L30" s="55">
        <v>48849.599999999999</v>
      </c>
      <c r="M30" s="55">
        <v>53529.4</v>
      </c>
      <c r="N30" s="55">
        <v>58051.3</v>
      </c>
      <c r="O30" s="55">
        <v>62387.5</v>
      </c>
      <c r="P30" s="55">
        <v>66532.3</v>
      </c>
      <c r="Q30" s="55">
        <v>70461.899999999994</v>
      </c>
      <c r="R30" s="55">
        <v>74208.100000000006</v>
      </c>
      <c r="S30" s="55">
        <v>77762.8</v>
      </c>
      <c r="T30" s="55">
        <v>81121.5</v>
      </c>
      <c r="U30" s="55">
        <v>84298.5</v>
      </c>
      <c r="V30" s="55">
        <v>87309.9</v>
      </c>
      <c r="W30" s="55">
        <v>90145.5</v>
      </c>
      <c r="X30" s="55">
        <v>92815</v>
      </c>
      <c r="Y30" s="55">
        <v>95313</v>
      </c>
      <c r="Z30" s="55">
        <v>97638.8</v>
      </c>
      <c r="AA30" s="55">
        <v>99762.8</v>
      </c>
      <c r="AB30" s="55">
        <v>101674</v>
      </c>
      <c r="AC30" s="55">
        <v>103370</v>
      </c>
      <c r="AD30" s="55">
        <v>104837</v>
      </c>
      <c r="AE30" s="55">
        <v>106075</v>
      </c>
      <c r="AF30" s="55">
        <v>107060</v>
      </c>
      <c r="AG30" s="55">
        <v>107795</v>
      </c>
      <c r="AH30" s="55">
        <v>108287</v>
      </c>
      <c r="AI30" s="55">
        <v>108528</v>
      </c>
      <c r="AJ30" s="55">
        <v>108548</v>
      </c>
    </row>
    <row r="31" spans="1:36" x14ac:dyDescent="0.25">
      <c r="A31" s="55" t="s">
        <v>73</v>
      </c>
      <c r="B31" s="55" t="s">
        <v>98</v>
      </c>
      <c r="C31" s="55" t="s">
        <v>99</v>
      </c>
      <c r="D31" s="55">
        <v>0</v>
      </c>
      <c r="E31" s="55">
        <v>0</v>
      </c>
      <c r="F31" s="56">
        <v>160636000000</v>
      </c>
      <c r="G31" s="56">
        <v>384192000000</v>
      </c>
      <c r="H31" s="56">
        <v>627391000000</v>
      </c>
      <c r="I31" s="56">
        <v>889745000000</v>
      </c>
      <c r="J31" s="56">
        <v>1166850000000</v>
      </c>
      <c r="K31" s="56">
        <v>1451490000000</v>
      </c>
      <c r="L31" s="56">
        <v>1743980000000</v>
      </c>
      <c r="M31" s="56">
        <v>2036970000000</v>
      </c>
      <c r="N31" s="56">
        <v>2326880000000</v>
      </c>
      <c r="O31" s="56">
        <v>2606690000000</v>
      </c>
      <c r="P31" s="56">
        <v>2876190000000</v>
      </c>
      <c r="Q31" s="56">
        <v>3129020000000</v>
      </c>
      <c r="R31" s="56">
        <v>3365460000000</v>
      </c>
      <c r="S31" s="56">
        <v>3583730000000</v>
      </c>
      <c r="T31" s="56">
        <v>3786680000000</v>
      </c>
      <c r="U31" s="56">
        <v>3973730000000</v>
      </c>
      <c r="V31" s="56">
        <v>4142780000000</v>
      </c>
      <c r="W31" s="56">
        <v>4297460000000</v>
      </c>
      <c r="X31" s="56">
        <v>4435780000000</v>
      </c>
      <c r="Y31" s="56">
        <v>4558340000000</v>
      </c>
      <c r="Z31" s="56">
        <v>4666450000000</v>
      </c>
      <c r="AA31" s="56">
        <v>4765370000000</v>
      </c>
      <c r="AB31" s="56">
        <v>4853810000000</v>
      </c>
      <c r="AC31" s="56">
        <v>4935740000000</v>
      </c>
      <c r="AD31" s="56">
        <v>5013000000000</v>
      </c>
      <c r="AE31" s="56">
        <v>5084580000000</v>
      </c>
      <c r="AF31" s="56">
        <v>5149650000000</v>
      </c>
      <c r="AG31" s="56">
        <v>5168800000000</v>
      </c>
      <c r="AH31" s="56">
        <v>5179480000000</v>
      </c>
      <c r="AI31" s="56">
        <v>5180870000000</v>
      </c>
      <c r="AJ31" s="56">
        <v>5170150000000</v>
      </c>
    </row>
    <row r="32" spans="1:36" x14ac:dyDescent="0.25">
      <c r="A32" s="55" t="s">
        <v>3</v>
      </c>
      <c r="B32" s="55" t="s">
        <v>89</v>
      </c>
      <c r="C32" s="55" t="s">
        <v>100</v>
      </c>
      <c r="D32" s="55">
        <v>6023.51</v>
      </c>
      <c r="E32" s="55">
        <v>11836.2</v>
      </c>
      <c r="F32" s="55">
        <v>17577.599999999999</v>
      </c>
      <c r="G32" s="55">
        <v>23134</v>
      </c>
      <c r="H32" s="55">
        <v>28568.9</v>
      </c>
      <c r="I32" s="55">
        <v>33864.300000000003</v>
      </c>
      <c r="J32" s="55">
        <v>39034.800000000003</v>
      </c>
      <c r="K32" s="55">
        <v>44069</v>
      </c>
      <c r="L32" s="55">
        <v>48953.599999999999</v>
      </c>
      <c r="M32" s="55">
        <v>53665.2</v>
      </c>
      <c r="N32" s="55">
        <v>58223.5</v>
      </c>
      <c r="O32" s="55">
        <v>62601</v>
      </c>
      <c r="P32" s="55">
        <v>66792.2</v>
      </c>
      <c r="Q32" s="55">
        <v>70773.5</v>
      </c>
      <c r="R32" s="55">
        <v>74576.899999999994</v>
      </c>
      <c r="S32" s="55">
        <v>78194.600000000006</v>
      </c>
      <c r="T32" s="55">
        <v>81622.100000000006</v>
      </c>
      <c r="U32" s="55">
        <v>84874</v>
      </c>
      <c r="V32" s="55">
        <v>87966.7</v>
      </c>
      <c r="W32" s="55">
        <v>90889.8</v>
      </c>
      <c r="X32" s="55">
        <v>93653.7</v>
      </c>
      <c r="Y32" s="55">
        <v>96252.7</v>
      </c>
      <c r="Z32" s="55">
        <v>98686.6</v>
      </c>
      <c r="AA32" s="55">
        <v>100926</v>
      </c>
      <c r="AB32" s="55">
        <v>102960</v>
      </c>
      <c r="AC32" s="55">
        <v>104787</v>
      </c>
      <c r="AD32" s="55">
        <v>106392</v>
      </c>
      <c r="AE32" s="55">
        <v>107776</v>
      </c>
      <c r="AF32" s="55">
        <v>108915</v>
      </c>
      <c r="AG32" s="55">
        <v>109813</v>
      </c>
      <c r="AH32" s="55">
        <v>110477</v>
      </c>
      <c r="AI32" s="55">
        <v>110898</v>
      </c>
      <c r="AJ32" s="55">
        <v>111108</v>
      </c>
    </row>
    <row r="33" spans="1:36" x14ac:dyDescent="0.25">
      <c r="A33" s="55" t="s">
        <v>73</v>
      </c>
      <c r="B33" s="55" t="s">
        <v>89</v>
      </c>
      <c r="C33" s="55" t="s">
        <v>100</v>
      </c>
      <c r="D33" s="55">
        <v>0</v>
      </c>
      <c r="E33" s="55">
        <v>0</v>
      </c>
      <c r="F33" s="56">
        <v>160606000000</v>
      </c>
      <c r="G33" s="56">
        <v>384089000000</v>
      </c>
      <c r="H33" s="56">
        <v>627169000000</v>
      </c>
      <c r="I33" s="56">
        <v>889352000000</v>
      </c>
      <c r="J33" s="56">
        <v>1166230000000</v>
      </c>
      <c r="K33" s="56">
        <v>1450580000000</v>
      </c>
      <c r="L33" s="56">
        <v>1742730000000</v>
      </c>
      <c r="M33" s="56">
        <v>2035310000000</v>
      </c>
      <c r="N33" s="56">
        <v>2324750000000</v>
      </c>
      <c r="O33" s="56">
        <v>2604000000000</v>
      </c>
      <c r="P33" s="56">
        <v>2872890000000</v>
      </c>
      <c r="Q33" s="56">
        <v>3125040000000</v>
      </c>
      <c r="R33" s="56">
        <v>3360720000000</v>
      </c>
      <c r="S33" s="56">
        <v>3578160000000</v>
      </c>
      <c r="T33" s="56">
        <v>3780210000000</v>
      </c>
      <c r="U33" s="56">
        <v>3966290000000</v>
      </c>
      <c r="V33" s="56">
        <v>4134290000000</v>
      </c>
      <c r="W33" s="56">
        <v>4287860000000</v>
      </c>
      <c r="X33" s="56">
        <v>4424990000000</v>
      </c>
      <c r="Y33" s="56">
        <v>4546310000000</v>
      </c>
      <c r="Z33" s="56">
        <v>4653090000000</v>
      </c>
      <c r="AA33" s="56">
        <v>4750620000000</v>
      </c>
      <c r="AB33" s="56">
        <v>4837590000000</v>
      </c>
      <c r="AC33" s="56">
        <v>4918000000000</v>
      </c>
      <c r="AD33" s="56">
        <v>4993660000000</v>
      </c>
      <c r="AE33" s="56">
        <v>5063590000000</v>
      </c>
      <c r="AF33" s="56">
        <v>5126940000000</v>
      </c>
      <c r="AG33" s="56">
        <v>5144310000000</v>
      </c>
      <c r="AH33" s="56">
        <v>5153150000000</v>
      </c>
      <c r="AI33" s="56">
        <v>5152650000000</v>
      </c>
      <c r="AJ33" s="56">
        <v>5139970000000</v>
      </c>
    </row>
    <row r="34" spans="1:36" x14ac:dyDescent="0.25">
      <c r="A34" s="55" t="s">
        <v>3</v>
      </c>
      <c r="B34" s="55" t="s">
        <v>90</v>
      </c>
      <c r="C34" s="55" t="s">
        <v>101</v>
      </c>
      <c r="D34" s="55">
        <v>6023.51</v>
      </c>
      <c r="E34" s="55">
        <v>11836.2</v>
      </c>
      <c r="F34" s="55">
        <v>17576.7</v>
      </c>
      <c r="G34" s="55">
        <v>23131.1</v>
      </c>
      <c r="H34" s="55">
        <v>28562.3</v>
      </c>
      <c r="I34" s="55">
        <v>33852</v>
      </c>
      <c r="J34" s="55">
        <v>39014.6</v>
      </c>
      <c r="K34" s="55">
        <v>44038.2</v>
      </c>
      <c r="L34" s="55">
        <v>48909.2</v>
      </c>
      <c r="M34" s="55">
        <v>53603.7</v>
      </c>
      <c r="N34" s="55">
        <v>58141.3</v>
      </c>
      <c r="O34" s="55">
        <v>62494</v>
      </c>
      <c r="P34" s="55">
        <v>66656</v>
      </c>
      <c r="Q34" s="55">
        <v>70604</v>
      </c>
      <c r="R34" s="55">
        <v>74369.600000000006</v>
      </c>
      <c r="S34" s="55">
        <v>77944.800000000003</v>
      </c>
      <c r="T34" s="55">
        <v>81325</v>
      </c>
      <c r="U34" s="55">
        <v>84524.2</v>
      </c>
      <c r="V34" s="55">
        <v>87558.8</v>
      </c>
      <c r="W34" s="55">
        <v>90418.1</v>
      </c>
      <c r="X34" s="55">
        <v>93112.1</v>
      </c>
      <c r="Y34" s="55">
        <v>95635</v>
      </c>
      <c r="Z34" s="55">
        <v>97986.3</v>
      </c>
      <c r="AA34" s="55">
        <v>100136</v>
      </c>
      <c r="AB34" s="55">
        <v>102073</v>
      </c>
      <c r="AC34" s="55">
        <v>103796</v>
      </c>
      <c r="AD34" s="55">
        <v>105290</v>
      </c>
      <c r="AE34" s="55">
        <v>106554</v>
      </c>
      <c r="AF34" s="55">
        <v>107566</v>
      </c>
      <c r="AG34" s="55">
        <v>108327</v>
      </c>
      <c r="AH34" s="55">
        <v>108846</v>
      </c>
      <c r="AI34" s="55">
        <v>109114</v>
      </c>
      <c r="AJ34" s="55">
        <v>109161</v>
      </c>
    </row>
    <row r="35" spans="1:36" x14ac:dyDescent="0.25">
      <c r="A35" s="55" t="s">
        <v>73</v>
      </c>
      <c r="B35" s="55" t="s">
        <v>90</v>
      </c>
      <c r="C35" s="55" t="s">
        <v>101</v>
      </c>
      <c r="D35" s="55">
        <v>0</v>
      </c>
      <c r="E35" s="55">
        <v>0</v>
      </c>
      <c r="F35" s="56">
        <v>160679000000</v>
      </c>
      <c r="G35" s="56">
        <v>384261000000</v>
      </c>
      <c r="H35" s="56">
        <v>627354000000</v>
      </c>
      <c r="I35" s="56">
        <v>889519000000</v>
      </c>
      <c r="J35" s="56">
        <v>1166260000000</v>
      </c>
      <c r="K35" s="56">
        <v>1450320000000</v>
      </c>
      <c r="L35" s="56">
        <v>1741750000000</v>
      </c>
      <c r="M35" s="56">
        <v>2033800000000</v>
      </c>
      <c r="N35" s="56">
        <v>2323620000000</v>
      </c>
      <c r="O35" s="56">
        <v>2603590000000</v>
      </c>
      <c r="P35" s="56">
        <v>2873260000000</v>
      </c>
      <c r="Q35" s="56">
        <v>3126270000000</v>
      </c>
      <c r="R35" s="56">
        <v>3362900000000</v>
      </c>
      <c r="S35" s="56">
        <v>3581360000000</v>
      </c>
      <c r="T35" s="56">
        <v>3784510000000</v>
      </c>
      <c r="U35" s="56">
        <v>3971770000000</v>
      </c>
      <c r="V35" s="56">
        <v>4141020000000</v>
      </c>
      <c r="W35" s="56">
        <v>4295910000000</v>
      </c>
      <c r="X35" s="56">
        <v>4434440000000</v>
      </c>
      <c r="Y35" s="56">
        <v>4557220000000</v>
      </c>
      <c r="Z35" s="56">
        <v>4665520000000</v>
      </c>
      <c r="AA35" s="56">
        <v>4764630000000</v>
      </c>
      <c r="AB35" s="56">
        <v>4853250000000</v>
      </c>
      <c r="AC35" s="56">
        <v>4935360000000</v>
      </c>
      <c r="AD35" s="56">
        <v>5012780000000</v>
      </c>
      <c r="AE35" s="56">
        <v>5084530000000</v>
      </c>
      <c r="AF35" s="56">
        <v>5149750000000</v>
      </c>
      <c r="AG35" s="56">
        <v>5169050000000</v>
      </c>
      <c r="AH35" s="56">
        <v>5179870000000</v>
      </c>
      <c r="AI35" s="56">
        <v>5181400000000</v>
      </c>
      <c r="AJ35" s="56">
        <v>5170800000000</v>
      </c>
    </row>
    <row r="36" spans="1:36" x14ac:dyDescent="0.25">
      <c r="A36" s="55" t="s">
        <v>3</v>
      </c>
      <c r="B36" s="55" t="s">
        <v>91</v>
      </c>
      <c r="C36" s="55" t="s">
        <v>92</v>
      </c>
      <c r="D36" s="55">
        <v>6023.51</v>
      </c>
      <c r="E36" s="55">
        <v>11836.2</v>
      </c>
      <c r="F36" s="55">
        <v>17585.400000000001</v>
      </c>
      <c r="G36" s="55">
        <v>23157.4</v>
      </c>
      <c r="H36" s="55">
        <v>28615.599999999999</v>
      </c>
      <c r="I36" s="55">
        <v>33941.599999999999</v>
      </c>
      <c r="J36" s="55">
        <v>39149.5</v>
      </c>
      <c r="K36" s="55">
        <v>44227.6</v>
      </c>
      <c r="L36" s="55">
        <v>49162.6</v>
      </c>
      <c r="M36" s="55">
        <v>53930.9</v>
      </c>
      <c r="N36" s="55">
        <v>58552.1</v>
      </c>
      <c r="O36" s="55">
        <v>62998.5</v>
      </c>
      <c r="P36" s="55">
        <v>67264.100000000006</v>
      </c>
      <c r="Q36" s="55">
        <v>71325.100000000006</v>
      </c>
      <c r="R36" s="55">
        <v>75213.7</v>
      </c>
      <c r="S36" s="55">
        <v>78921.5</v>
      </c>
      <c r="T36" s="55">
        <v>82443.600000000006</v>
      </c>
      <c r="U36" s="55">
        <v>85794.6</v>
      </c>
      <c r="V36" s="55">
        <v>88990.3</v>
      </c>
      <c r="W36" s="55">
        <v>92020.3</v>
      </c>
      <c r="X36" s="55">
        <v>94894.7</v>
      </c>
      <c r="Y36" s="55">
        <v>97608.1</v>
      </c>
      <c r="Z36" s="55">
        <v>100160</v>
      </c>
      <c r="AA36" s="55">
        <v>102514</v>
      </c>
      <c r="AB36" s="55">
        <v>104664</v>
      </c>
      <c r="AC36" s="55">
        <v>106607</v>
      </c>
      <c r="AD36" s="55">
        <v>108330</v>
      </c>
      <c r="AE36" s="55">
        <v>109831</v>
      </c>
      <c r="AF36" s="55">
        <v>111092</v>
      </c>
      <c r="AG36" s="55">
        <v>112114</v>
      </c>
      <c r="AH36" s="55">
        <v>112907</v>
      </c>
      <c r="AI36" s="55">
        <v>113455</v>
      </c>
      <c r="AJ36" s="55">
        <v>113780</v>
      </c>
    </row>
    <row r="37" spans="1:36" x14ac:dyDescent="0.25">
      <c r="A37" s="55" t="s">
        <v>73</v>
      </c>
      <c r="B37" s="55" t="s">
        <v>91</v>
      </c>
      <c r="C37" s="55" t="s">
        <v>92</v>
      </c>
      <c r="D37" s="55">
        <v>0</v>
      </c>
      <c r="E37" s="55">
        <v>0</v>
      </c>
      <c r="F37" s="56">
        <v>160786000000</v>
      </c>
      <c r="G37" s="56">
        <v>384636000000</v>
      </c>
      <c r="H37" s="56">
        <v>628063000000</v>
      </c>
      <c r="I37" s="56">
        <v>890506000000</v>
      </c>
      <c r="J37" s="56">
        <v>1167480000000</v>
      </c>
      <c r="K37" s="56">
        <v>1451720000000</v>
      </c>
      <c r="L37" s="56">
        <v>1743220000000</v>
      </c>
      <c r="M37" s="56">
        <v>2035070000000</v>
      </c>
      <c r="N37" s="56">
        <v>2324210000000</v>
      </c>
      <c r="O37" s="56">
        <v>2603610000000</v>
      </c>
      <c r="P37" s="56">
        <v>2873070000000</v>
      </c>
      <c r="Q37" s="56">
        <v>3126240000000</v>
      </c>
      <c r="R37" s="56">
        <v>3363450000000</v>
      </c>
      <c r="S37" s="56">
        <v>3582840000000</v>
      </c>
      <c r="T37" s="56">
        <v>3787260000000</v>
      </c>
      <c r="U37" s="56">
        <v>3976190000000</v>
      </c>
      <c r="V37" s="56">
        <v>4147530000000</v>
      </c>
      <c r="W37" s="56">
        <v>4304890000000</v>
      </c>
      <c r="X37" s="56">
        <v>4446280000000</v>
      </c>
      <c r="Y37" s="56">
        <v>4572270000000</v>
      </c>
      <c r="Z37" s="56">
        <v>4684100000000</v>
      </c>
      <c r="AA37" s="56">
        <v>4786970000000</v>
      </c>
      <c r="AB37" s="56">
        <v>4880170000000</v>
      </c>
      <c r="AC37" s="56">
        <v>4967570000000</v>
      </c>
      <c r="AD37" s="56">
        <v>5050540000000</v>
      </c>
      <c r="AE37" s="56">
        <v>5128060000000</v>
      </c>
      <c r="AF37" s="56">
        <v>5199290000000</v>
      </c>
      <c r="AG37" s="56">
        <v>5224800000000</v>
      </c>
      <c r="AH37" s="56">
        <v>5242000000000</v>
      </c>
      <c r="AI37" s="56">
        <v>5249730000000</v>
      </c>
      <c r="AJ37" s="56">
        <v>5245400000000</v>
      </c>
    </row>
    <row r="38" spans="1:36" x14ac:dyDescent="0.25">
      <c r="A38" s="55" t="s">
        <v>3</v>
      </c>
      <c r="B38" s="55" t="s">
        <v>93</v>
      </c>
      <c r="C38" s="55" t="s">
        <v>94</v>
      </c>
      <c r="D38" s="55">
        <v>6023.51</v>
      </c>
      <c r="E38" s="55">
        <v>11836.2</v>
      </c>
      <c r="F38" s="55">
        <v>17573.400000000001</v>
      </c>
      <c r="G38" s="55">
        <v>23123.3</v>
      </c>
      <c r="H38" s="55">
        <v>28550.1</v>
      </c>
      <c r="I38" s="55">
        <v>33841.5</v>
      </c>
      <c r="J38" s="55">
        <v>39005.199999999997</v>
      </c>
      <c r="K38" s="55">
        <v>44022.2</v>
      </c>
      <c r="L38" s="55">
        <v>48891.6</v>
      </c>
      <c r="M38" s="55">
        <v>53586.9</v>
      </c>
      <c r="N38" s="55">
        <v>58126.5</v>
      </c>
      <c r="O38" s="55">
        <v>62483.5</v>
      </c>
      <c r="P38" s="55">
        <v>66649.100000000006</v>
      </c>
      <c r="Q38" s="55">
        <v>70599.7</v>
      </c>
      <c r="R38" s="55">
        <v>74362</v>
      </c>
      <c r="S38" s="55">
        <v>77941.3</v>
      </c>
      <c r="T38" s="55">
        <v>81322.2</v>
      </c>
      <c r="U38" s="55">
        <v>84530.6</v>
      </c>
      <c r="V38" s="55">
        <v>87567</v>
      </c>
      <c r="W38" s="55">
        <v>90416.5</v>
      </c>
      <c r="X38" s="55">
        <v>93079.4</v>
      </c>
      <c r="Y38" s="55">
        <v>95553.2</v>
      </c>
      <c r="Z38" s="55">
        <v>97842.7</v>
      </c>
      <c r="AA38" s="55">
        <v>99932.9</v>
      </c>
      <c r="AB38" s="55">
        <v>101830</v>
      </c>
      <c r="AC38" s="55">
        <v>103536</v>
      </c>
      <c r="AD38" s="55">
        <v>105053</v>
      </c>
      <c r="AE38" s="55">
        <v>106381</v>
      </c>
      <c r="AF38" s="55">
        <v>107503</v>
      </c>
      <c r="AG38" s="55">
        <v>108404</v>
      </c>
      <c r="AH38" s="55">
        <v>109082</v>
      </c>
      <c r="AI38" s="55">
        <v>109564</v>
      </c>
      <c r="AJ38" s="55">
        <v>109955</v>
      </c>
    </row>
    <row r="39" spans="1:36" x14ac:dyDescent="0.25">
      <c r="A39" s="55" t="s">
        <v>73</v>
      </c>
      <c r="B39" s="55" t="s">
        <v>93</v>
      </c>
      <c r="C39" s="55" t="s">
        <v>94</v>
      </c>
      <c r="D39" s="55">
        <v>0</v>
      </c>
      <c r="E39" s="55">
        <v>0</v>
      </c>
      <c r="F39" s="56">
        <v>160327000000</v>
      </c>
      <c r="G39" s="56">
        <v>382096000000</v>
      </c>
      <c r="H39" s="56">
        <v>620553000000</v>
      </c>
      <c r="I39" s="56">
        <v>873900000000</v>
      </c>
      <c r="J39" s="56">
        <v>1135970000000</v>
      </c>
      <c r="K39" s="56">
        <v>1398720000000</v>
      </c>
      <c r="L39" s="56">
        <v>1663460000000</v>
      </c>
      <c r="M39" s="56">
        <v>1922520000000</v>
      </c>
      <c r="N39" s="56">
        <v>2171080000000</v>
      </c>
      <c r="O39" s="56">
        <v>2402930000000</v>
      </c>
      <c r="P39" s="56">
        <v>2618400000000</v>
      </c>
      <c r="Q39" s="56">
        <v>2811370000000</v>
      </c>
      <c r="R39" s="56">
        <v>2982340000000</v>
      </c>
      <c r="S39" s="56">
        <v>3129670000000</v>
      </c>
      <c r="T39" s="56">
        <v>3255960000000</v>
      </c>
      <c r="U39" s="56">
        <v>3361120000000</v>
      </c>
      <c r="V39" s="56">
        <v>3443710000000</v>
      </c>
      <c r="W39" s="56">
        <v>3507960000000</v>
      </c>
      <c r="X39" s="56">
        <v>3553600000000</v>
      </c>
      <c r="Y39" s="56">
        <v>3582100000000</v>
      </c>
      <c r="Z39" s="56">
        <v>3594830000000</v>
      </c>
      <c r="AA39" s="56">
        <v>3596830000000</v>
      </c>
      <c r="AB39" s="56">
        <v>3586360000000</v>
      </c>
      <c r="AC39" s="56">
        <v>3565820000000</v>
      </c>
      <c r="AD39" s="56">
        <v>3536690000000</v>
      </c>
      <c r="AE39" s="56">
        <v>3498620000000</v>
      </c>
      <c r="AF39" s="56">
        <v>3451880000000</v>
      </c>
      <c r="AG39" s="56">
        <v>3358660000000</v>
      </c>
      <c r="AH39" s="56">
        <v>3258720000000</v>
      </c>
      <c r="AI39" s="56">
        <v>3152910000000</v>
      </c>
      <c r="AJ39" s="56">
        <v>3040490000000</v>
      </c>
    </row>
    <row r="40" spans="1:36" x14ac:dyDescent="0.25">
      <c r="A40" s="55" t="s">
        <v>3</v>
      </c>
      <c r="B40" s="55" t="s">
        <v>17</v>
      </c>
      <c r="C40" s="55" t="s">
        <v>102</v>
      </c>
      <c r="D40" s="55">
        <v>6023.51</v>
      </c>
      <c r="E40" s="55">
        <v>11836.2</v>
      </c>
      <c r="F40" s="55">
        <v>17583.400000000001</v>
      </c>
      <c r="G40" s="55">
        <v>23151.7</v>
      </c>
      <c r="H40" s="55">
        <v>28604.6</v>
      </c>
      <c r="I40" s="55">
        <v>33931</v>
      </c>
      <c r="J40" s="55">
        <v>39141.199999999997</v>
      </c>
      <c r="K40" s="55">
        <v>44217.4</v>
      </c>
      <c r="L40" s="55">
        <v>49155.199999999997</v>
      </c>
      <c r="M40" s="55">
        <v>53926.2</v>
      </c>
      <c r="N40" s="55">
        <v>58545.5</v>
      </c>
      <c r="O40" s="55">
        <v>62987.5</v>
      </c>
      <c r="P40" s="55">
        <v>67251.3</v>
      </c>
      <c r="Q40" s="55">
        <v>71313.3</v>
      </c>
      <c r="R40" s="55">
        <v>75204.399999999994</v>
      </c>
      <c r="S40" s="55">
        <v>78916.100000000006</v>
      </c>
      <c r="T40" s="55">
        <v>82441.899999999994</v>
      </c>
      <c r="U40" s="55">
        <v>85789.6</v>
      </c>
      <c r="V40" s="55">
        <v>88978</v>
      </c>
      <c r="W40" s="55">
        <v>91989.9</v>
      </c>
      <c r="X40" s="55">
        <v>94828.7</v>
      </c>
      <c r="Y40" s="55">
        <v>97487.9</v>
      </c>
      <c r="Z40" s="55">
        <v>99953.9</v>
      </c>
      <c r="AA40" s="55">
        <v>102201</v>
      </c>
      <c r="AB40" s="55">
        <v>104238</v>
      </c>
      <c r="AC40" s="55">
        <v>106068</v>
      </c>
      <c r="AD40" s="55">
        <v>107680</v>
      </c>
      <c r="AE40" s="55">
        <v>109074</v>
      </c>
      <c r="AF40" s="55">
        <v>110229</v>
      </c>
      <c r="AG40" s="55">
        <v>111148</v>
      </c>
      <c r="AH40" s="55">
        <v>111838</v>
      </c>
      <c r="AI40" s="55">
        <v>112291</v>
      </c>
      <c r="AJ40" s="55">
        <v>112496</v>
      </c>
    </row>
    <row r="41" spans="1:36" x14ac:dyDescent="0.25">
      <c r="A41" s="55" t="s">
        <v>73</v>
      </c>
      <c r="B41" s="55" t="s">
        <v>17</v>
      </c>
      <c r="C41" s="55" t="s">
        <v>102</v>
      </c>
      <c r="D41" s="55">
        <v>0</v>
      </c>
      <c r="E41" s="55">
        <v>0</v>
      </c>
      <c r="F41" s="56">
        <v>160160000000</v>
      </c>
      <c r="G41" s="56">
        <v>382883000000</v>
      </c>
      <c r="H41" s="56">
        <v>624650000000</v>
      </c>
      <c r="I41" s="56">
        <v>884707000000</v>
      </c>
      <c r="J41" s="56">
        <v>1157700000000</v>
      </c>
      <c r="K41" s="56">
        <v>1435930000000</v>
      </c>
      <c r="L41" s="56">
        <v>1721350000000</v>
      </c>
      <c r="M41" s="56">
        <v>2005890000000</v>
      </c>
      <c r="N41" s="56">
        <v>2285230000000</v>
      </c>
      <c r="O41" s="56">
        <v>2553610000000</v>
      </c>
      <c r="P41" s="56">
        <v>2811280000000</v>
      </c>
      <c r="Q41" s="56">
        <v>3051580000000</v>
      </c>
      <c r="R41" s="56">
        <v>3274650000000</v>
      </c>
      <c r="S41" s="56">
        <v>3479280000000</v>
      </c>
      <c r="T41" s="56">
        <v>3668390000000</v>
      </c>
      <c r="U41" s="56">
        <v>3841820000000</v>
      </c>
      <c r="V41" s="56">
        <v>3998430000000</v>
      </c>
      <c r="W41" s="56">
        <v>4141980000000</v>
      </c>
      <c r="X41" s="56">
        <v>4270670000000</v>
      </c>
      <c r="Y41" s="56">
        <v>4385930000000</v>
      </c>
      <c r="Z41" s="56">
        <v>4489210000000</v>
      </c>
      <c r="AA41" s="56">
        <v>4586740000000</v>
      </c>
      <c r="AB41" s="56">
        <v>4677600000000</v>
      </c>
      <c r="AC41" s="56">
        <v>4763060000000</v>
      </c>
      <c r="AD41" s="56">
        <v>4843310000000</v>
      </c>
      <c r="AE41" s="56">
        <v>4917550000000</v>
      </c>
      <c r="AF41" s="56">
        <v>4985330000000</v>
      </c>
      <c r="AG41" s="56">
        <v>5008230000000</v>
      </c>
      <c r="AH41" s="56">
        <v>5023100000000</v>
      </c>
      <c r="AI41" s="56">
        <v>5029800000000</v>
      </c>
      <c r="AJ41" s="56">
        <v>5025760000000</v>
      </c>
    </row>
    <row r="42" spans="1:36" x14ac:dyDescent="0.25">
      <c r="A42" s="55" t="s">
        <v>3</v>
      </c>
      <c r="B42" s="55" t="s">
        <v>14</v>
      </c>
      <c r="C42" s="55" t="s">
        <v>15</v>
      </c>
      <c r="D42" s="55">
        <v>6023.51</v>
      </c>
      <c r="E42" s="55">
        <v>11836.2</v>
      </c>
      <c r="F42" s="55">
        <v>17667.3</v>
      </c>
      <c r="G42" s="55">
        <v>23435.200000000001</v>
      </c>
      <c r="H42" s="55">
        <v>29200.2</v>
      </c>
      <c r="I42" s="55">
        <v>34970.5</v>
      </c>
      <c r="J42" s="55">
        <v>40767.4</v>
      </c>
      <c r="K42" s="55">
        <v>46585.4</v>
      </c>
      <c r="L42" s="55">
        <v>52427.199999999997</v>
      </c>
      <c r="M42" s="55">
        <v>58279.4</v>
      </c>
      <c r="N42" s="55">
        <v>64170.7</v>
      </c>
      <c r="O42" s="55">
        <v>70069.2</v>
      </c>
      <c r="P42" s="55">
        <v>75973.2</v>
      </c>
      <c r="Q42" s="55">
        <v>81853.2</v>
      </c>
      <c r="R42" s="55">
        <v>87733.2</v>
      </c>
      <c r="S42" s="55">
        <v>93608.3</v>
      </c>
      <c r="T42" s="55">
        <v>99465.2</v>
      </c>
      <c r="U42" s="55">
        <v>105317</v>
      </c>
      <c r="V42" s="55">
        <v>111177</v>
      </c>
      <c r="W42" s="55">
        <v>117031</v>
      </c>
      <c r="X42" s="55">
        <v>122884</v>
      </c>
      <c r="Y42" s="55">
        <v>128740</v>
      </c>
      <c r="Z42" s="55">
        <v>134607</v>
      </c>
      <c r="AA42" s="55">
        <v>140463</v>
      </c>
      <c r="AB42" s="55">
        <v>146330</v>
      </c>
      <c r="AC42" s="55">
        <v>152204</v>
      </c>
      <c r="AD42" s="55">
        <v>158102</v>
      </c>
      <c r="AE42" s="55">
        <v>164024</v>
      </c>
      <c r="AF42" s="55">
        <v>169968</v>
      </c>
      <c r="AG42" s="55">
        <v>175937</v>
      </c>
      <c r="AH42" s="55">
        <v>181950</v>
      </c>
      <c r="AI42" s="55">
        <v>187992</v>
      </c>
      <c r="AJ42" s="55">
        <v>194053</v>
      </c>
    </row>
    <row r="43" spans="1:36" x14ac:dyDescent="0.25">
      <c r="A43" s="55" t="s">
        <v>73</v>
      </c>
      <c r="B43" s="55" t="s">
        <v>14</v>
      </c>
      <c r="C43" s="55" t="s">
        <v>15</v>
      </c>
      <c r="D43" s="55">
        <v>0</v>
      </c>
      <c r="E43" s="55">
        <v>0</v>
      </c>
      <c r="F43" s="55">
        <v>0</v>
      </c>
      <c r="G43" s="55">
        <v>0</v>
      </c>
      <c r="H43" s="55">
        <v>0</v>
      </c>
      <c r="I43" s="55">
        <v>0</v>
      </c>
      <c r="J43" s="55">
        <v>0</v>
      </c>
      <c r="K43" s="55">
        <v>0</v>
      </c>
      <c r="L43" s="55">
        <v>0</v>
      </c>
      <c r="M43" s="55">
        <v>0</v>
      </c>
      <c r="N43" s="55">
        <v>0</v>
      </c>
      <c r="O43" s="55">
        <v>0</v>
      </c>
      <c r="P43" s="55">
        <v>0</v>
      </c>
      <c r="Q43" s="55">
        <v>0</v>
      </c>
      <c r="R43" s="55">
        <v>0</v>
      </c>
      <c r="S43" s="55">
        <v>0</v>
      </c>
      <c r="T43" s="55">
        <v>0</v>
      </c>
      <c r="U43" s="55">
        <v>0</v>
      </c>
      <c r="V43" s="55">
        <v>0</v>
      </c>
      <c r="W43" s="55">
        <v>0</v>
      </c>
      <c r="X43" s="55">
        <v>0</v>
      </c>
      <c r="Y43" s="55">
        <v>0</v>
      </c>
      <c r="Z43" s="55">
        <v>0</v>
      </c>
      <c r="AA43" s="55">
        <v>0</v>
      </c>
      <c r="AB43" s="55">
        <v>0</v>
      </c>
      <c r="AC43" s="55">
        <v>0</v>
      </c>
      <c r="AD43" s="55">
        <v>0</v>
      </c>
      <c r="AE43" s="55">
        <v>0</v>
      </c>
      <c r="AF43" s="55">
        <v>0</v>
      </c>
      <c r="AG43" s="55">
        <v>0</v>
      </c>
      <c r="AH43" s="55">
        <v>0</v>
      </c>
      <c r="AI43" s="55">
        <v>0</v>
      </c>
      <c r="AJ43" s="55">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599D582-C7B6-41BB-9647-A44DF6A3B7F5}"/>
</file>

<file path=customXml/itemProps2.xml><?xml version="1.0" encoding="utf-8"?>
<ds:datastoreItem xmlns:ds="http://schemas.openxmlformats.org/officeDocument/2006/customXml" ds:itemID="{964FF72D-6186-4DDA-8201-64A86E45673E}"/>
</file>

<file path=customXml/itemProps3.xml><?xml version="1.0" encoding="utf-8"?>
<ds:datastoreItem xmlns:ds="http://schemas.openxmlformats.org/officeDocument/2006/customXml" ds:itemID="{6CE1DB47-82AA-4383-BFE5-8B725946EC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2.0.0-us-NetZero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Robbie Orvis</cp:lastModifiedBy>
  <dcterms:created xsi:type="dcterms:W3CDTF">2017-03-20T18:51:30Z</dcterms:created>
  <dcterms:modified xsi:type="dcterms:W3CDTF">2019-09-12T00:04:42Z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